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18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shares'!$A$1:$FA$216</definedName>
    <definedName name="Expry_Roll___20" localSheetId="17">'NIFTY GRP'!$A$1:$EY$51</definedName>
    <definedName name="fii" localSheetId="18">FII!$A$1:$N$16</definedName>
    <definedName name="_xlnm.Print_Area" localSheetId="14">Disclaimar!$A$1:$A$24</definedName>
    <definedName name="stats__2" localSheetId="15">'Data Vlaue (Cr)'!$A$1:$FB$216</definedName>
  </definedNames>
  <calcPr calcId="144525"/>
</workbook>
</file>

<file path=xl/calcChain.xml><?xml version="1.0" encoding="utf-8"?>
<calcChain xmlns="http://schemas.openxmlformats.org/spreadsheetml/2006/main">
  <c r="F54" i="18" l="1"/>
  <c r="F105" i="18"/>
  <c r="F92" i="18"/>
  <c r="F111" i="18"/>
  <c r="F22" i="18"/>
  <c r="F15" i="18"/>
  <c r="F120" i="18"/>
  <c r="F146" i="18"/>
  <c r="F117" i="18"/>
  <c r="F101" i="18"/>
  <c r="F141" i="18"/>
  <c r="F181" i="18"/>
  <c r="F195" i="18"/>
  <c r="F147" i="18"/>
  <c r="F77" i="18"/>
  <c r="F75" i="18"/>
  <c r="F114" i="18"/>
  <c r="F140" i="18"/>
  <c r="F155" i="18"/>
  <c r="F124" i="18"/>
  <c r="F81" i="18"/>
  <c r="F165" i="18"/>
  <c r="F211" i="18"/>
  <c r="F72" i="18"/>
  <c r="F149" i="18"/>
  <c r="F66" i="18"/>
  <c r="F184" i="18"/>
  <c r="F179" i="18"/>
  <c r="F128" i="18"/>
  <c r="F189" i="18"/>
  <c r="F8" i="18"/>
  <c r="F143" i="18"/>
  <c r="F82" i="18"/>
  <c r="F60" i="18"/>
  <c r="F161" i="18"/>
  <c r="F173" i="18"/>
  <c r="F74" i="18"/>
  <c r="F88" i="18"/>
  <c r="F110" i="18"/>
  <c r="F61" i="18"/>
  <c r="F102" i="18"/>
  <c r="F14" i="18"/>
  <c r="F145" i="18"/>
  <c r="F127" i="18"/>
  <c r="F194" i="18"/>
  <c r="F69" i="18"/>
  <c r="F122" i="18"/>
  <c r="F104" i="18"/>
  <c r="F186" i="18"/>
  <c r="F168" i="18"/>
  <c r="F39" i="18"/>
  <c r="F134" i="18"/>
  <c r="F116" i="18"/>
  <c r="F115" i="18"/>
  <c r="F118" i="18"/>
  <c r="F99" i="18"/>
  <c r="F202" i="18"/>
  <c r="F9" i="18"/>
  <c r="F20" i="18"/>
  <c r="F6" i="18"/>
  <c r="F164" i="18"/>
  <c r="F64" i="18"/>
  <c r="F103" i="18"/>
  <c r="F163" i="18"/>
  <c r="F10" i="18"/>
  <c r="F183" i="18"/>
  <c r="F185" i="18"/>
  <c r="F210" i="18"/>
  <c r="F18" i="18"/>
  <c r="F200" i="18"/>
  <c r="F63" i="18"/>
  <c r="F192" i="18"/>
  <c r="F76" i="18"/>
  <c r="F65" i="18"/>
  <c r="F169" i="18"/>
  <c r="F12" i="18"/>
  <c r="F73" i="18"/>
  <c r="F112" i="18"/>
  <c r="F212" i="18"/>
  <c r="F17" i="18"/>
  <c r="F130" i="18"/>
  <c r="F113" i="18"/>
  <c r="F11" i="18"/>
  <c r="F42" i="18"/>
  <c r="F209" i="18"/>
  <c r="F21" i="18"/>
  <c r="F213" i="18"/>
  <c r="F125" i="18"/>
  <c r="F19" i="18"/>
  <c r="F201" i="18"/>
  <c r="F41" i="18"/>
  <c r="F205" i="18"/>
  <c r="F166" i="18"/>
  <c r="F142" i="18"/>
  <c r="F175" i="18"/>
  <c r="F45" i="18"/>
  <c r="F172" i="18"/>
  <c r="F174" i="18"/>
  <c r="F180" i="18"/>
  <c r="F132" i="18"/>
  <c r="F86" i="18"/>
  <c r="F50" i="18"/>
  <c r="F34" i="18"/>
  <c r="F187" i="18"/>
  <c r="F84" i="18"/>
  <c r="F87" i="18"/>
  <c r="F123" i="18"/>
  <c r="F198" i="18"/>
  <c r="F135" i="18"/>
  <c r="F126" i="18"/>
  <c r="F43" i="18"/>
  <c r="F199" i="18"/>
  <c r="F208" i="18"/>
  <c r="F156" i="18"/>
  <c r="F44" i="18"/>
  <c r="F37" i="18"/>
  <c r="F204" i="18"/>
  <c r="F68" i="18"/>
  <c r="F131" i="18"/>
  <c r="F193" i="18"/>
  <c r="F159" i="18"/>
  <c r="F138" i="18"/>
  <c r="F136" i="18"/>
  <c r="F55" i="18"/>
  <c r="F207" i="18"/>
  <c r="F190" i="18"/>
  <c r="F90" i="18"/>
  <c r="F93" i="18"/>
  <c r="F160" i="18"/>
  <c r="F58" i="18"/>
  <c r="F46" i="18"/>
  <c r="F137" i="18"/>
  <c r="F27" i="18"/>
  <c r="F89" i="18"/>
  <c r="F98" i="18"/>
  <c r="F157" i="18"/>
  <c r="F203" i="18"/>
  <c r="F191" i="18"/>
  <c r="F97" i="18"/>
  <c r="F51" i="18"/>
  <c r="F129" i="18"/>
  <c r="F67" i="18"/>
  <c r="F177" i="18"/>
  <c r="F153" i="18"/>
  <c r="F29" i="18"/>
  <c r="F70" i="18"/>
  <c r="F170" i="18"/>
  <c r="F35" i="18"/>
  <c r="F53" i="18"/>
  <c r="F85" i="18"/>
  <c r="F25" i="18"/>
  <c r="F151" i="18"/>
  <c r="F182" i="18"/>
  <c r="F95" i="18"/>
  <c r="F119" i="18"/>
  <c r="F31" i="18"/>
  <c r="F16" i="18"/>
  <c r="F91" i="18"/>
  <c r="F133" i="18"/>
  <c r="F36" i="18"/>
  <c r="F5" i="18"/>
  <c r="F178" i="18"/>
  <c r="F167" i="18"/>
  <c r="F188" i="18"/>
  <c r="F196" i="18"/>
  <c r="F106" i="18"/>
  <c r="F107" i="18"/>
  <c r="F7" i="18"/>
  <c r="F57" i="18"/>
  <c r="F59" i="18"/>
  <c r="F47" i="18"/>
  <c r="F38" i="18"/>
  <c r="F79" i="18"/>
  <c r="F152" i="18"/>
  <c r="F108" i="18"/>
  <c r="F94" i="18"/>
  <c r="F139" i="18"/>
  <c r="F23" i="18"/>
  <c r="F150" i="18"/>
  <c r="F154" i="18"/>
  <c r="F24" i="18"/>
  <c r="F32" i="18"/>
  <c r="F158" i="18"/>
  <c r="F171" i="18"/>
  <c r="F30" i="18"/>
  <c r="F62" i="18"/>
  <c r="F162" i="18"/>
  <c r="F49" i="18"/>
  <c r="F52" i="18"/>
  <c r="F26" i="18"/>
  <c r="F197" i="18"/>
  <c r="F80" i="18"/>
  <c r="F121" i="18"/>
  <c r="F83" i="18"/>
  <c r="F148" i="18"/>
  <c r="F96" i="18"/>
  <c r="F13" i="18"/>
  <c r="F144" i="18"/>
  <c r="F100" i="18"/>
  <c r="F109" i="18"/>
  <c r="F78" i="18"/>
  <c r="F33" i="18"/>
  <c r="F206" i="18"/>
  <c r="F71" i="18"/>
  <c r="F48" i="18"/>
  <c r="F28" i="18"/>
  <c r="F56" i="18"/>
  <c r="F176" i="18"/>
  <c r="L4" i="21" l="1"/>
  <c r="L3" i="21"/>
  <c r="E52"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65" i="18"/>
  <c r="E73" i="18"/>
  <c r="E194" i="18"/>
  <c r="E147" i="18"/>
  <c r="E113" i="18"/>
  <c r="E13" i="18"/>
  <c r="E10" i="18"/>
  <c r="E171" i="18"/>
  <c r="E118" i="18"/>
  <c r="E42" i="18"/>
  <c r="E205" i="18"/>
  <c r="E6" i="18"/>
  <c r="E160" i="18"/>
  <c r="E76" i="18"/>
  <c r="E83" i="18"/>
  <c r="E192" i="18"/>
  <c r="E57" i="18"/>
  <c r="E132" i="18"/>
  <c r="E155" i="18"/>
  <c r="E56" i="18"/>
  <c r="E207" i="18"/>
  <c r="E162" i="18"/>
  <c r="E102" i="18"/>
  <c r="E54" i="18"/>
  <c r="E30" i="18"/>
  <c r="E59" i="18"/>
  <c r="E70" i="18"/>
  <c r="E91" i="18"/>
  <c r="E44" i="18"/>
  <c r="E139" i="18"/>
  <c r="E198" i="18"/>
  <c r="E103" i="18"/>
  <c r="E174" i="18"/>
  <c r="E90" i="18"/>
  <c r="E22" i="18"/>
  <c r="E142" i="18"/>
  <c r="E98" i="18"/>
  <c r="E202" i="18"/>
  <c r="E180" i="18"/>
  <c r="E176" i="18"/>
  <c r="E123" i="18"/>
  <c r="E136" i="18"/>
  <c r="E9" i="18"/>
  <c r="E208" i="18"/>
  <c r="E74" i="18"/>
  <c r="E158" i="18"/>
  <c r="E14" i="18"/>
  <c r="E149" i="18"/>
  <c r="E145" i="18"/>
  <c r="E127" i="18"/>
  <c r="E185" i="18"/>
  <c r="E69" i="18"/>
  <c r="E26" i="18"/>
  <c r="E168" i="18"/>
  <c r="E131" i="18"/>
  <c r="E154" i="18"/>
  <c r="E135" i="18"/>
  <c r="E199" i="18"/>
  <c r="E209" i="18"/>
  <c r="E68" i="18"/>
  <c r="E204" i="18"/>
  <c r="E108" i="18"/>
  <c r="E128" i="18"/>
  <c r="E129" i="18"/>
  <c r="E21" i="18"/>
  <c r="E62" i="18"/>
  <c r="E19" i="18"/>
  <c r="E11" i="18"/>
  <c r="E78" i="18"/>
  <c r="E85" i="18"/>
  <c r="E134" i="18"/>
  <c r="E115" i="18"/>
  <c r="E29" i="18"/>
  <c r="E184" i="18"/>
  <c r="E36" i="18"/>
  <c r="E24" i="18"/>
  <c r="E15" i="18"/>
  <c r="E80" i="18"/>
  <c r="E197" i="18"/>
  <c r="E124" i="18"/>
  <c r="E156" i="18"/>
  <c r="E170" i="18"/>
  <c r="E112" i="18"/>
  <c r="E163" i="18"/>
  <c r="E82" i="18"/>
  <c r="E206" i="18"/>
  <c r="E99" i="18"/>
  <c r="E50" i="18"/>
  <c r="E101" i="18"/>
  <c r="E66" i="18"/>
  <c r="E55" i="18"/>
  <c r="E143" i="18"/>
  <c r="E173" i="18"/>
  <c r="E178" i="18"/>
  <c r="E84" i="18"/>
  <c r="E183" i="18"/>
  <c r="E201" i="18"/>
  <c r="E28" i="18"/>
  <c r="E200" i="18"/>
  <c r="E20" i="18"/>
  <c r="E97" i="18"/>
  <c r="E34" i="18"/>
  <c r="E51" i="18"/>
  <c r="E96" i="18"/>
  <c r="E8" i="18"/>
  <c r="E161" i="18"/>
  <c r="E166" i="18"/>
  <c r="E92" i="18"/>
  <c r="E196" i="18"/>
  <c r="E89" i="18"/>
  <c r="E210" i="18"/>
  <c r="E152" i="18"/>
  <c r="E60" i="18"/>
  <c r="E47" i="18"/>
  <c r="E114" i="18"/>
  <c r="E122" i="18"/>
  <c r="E159" i="18"/>
  <c r="E18" i="18"/>
  <c r="E41" i="18"/>
  <c r="E107" i="18"/>
  <c r="E87" i="18"/>
  <c r="E138" i="18"/>
  <c r="E111" i="18"/>
  <c r="E49" i="18"/>
  <c r="E63" i="18"/>
  <c r="E72" i="18"/>
  <c r="E100" i="18"/>
  <c r="E45" i="18"/>
  <c r="E137" i="18"/>
  <c r="E181" i="18"/>
  <c r="E5" i="18"/>
  <c r="E37" i="18"/>
  <c r="E33" i="18"/>
  <c r="E126" i="18"/>
  <c r="E7" i="18"/>
  <c r="E17" i="18"/>
  <c r="E93" i="18"/>
  <c r="E125" i="18"/>
  <c r="E172" i="18"/>
  <c r="E40" i="18"/>
  <c r="F40" i="18"/>
  <c r="E175" i="18"/>
  <c r="E105" i="18"/>
  <c r="E190" i="18"/>
  <c r="E169" i="18"/>
  <c r="E71" i="18"/>
  <c r="E141" i="18"/>
  <c r="E65" i="18"/>
  <c r="E191" i="18"/>
  <c r="E35" i="18"/>
  <c r="E119" i="18"/>
  <c r="E27" i="18"/>
  <c r="E157" i="18"/>
  <c r="E182" i="18"/>
  <c r="E64" i="18"/>
  <c r="E164" i="18"/>
  <c r="E203" i="18"/>
  <c r="E16" i="18"/>
  <c r="E86" i="18"/>
  <c r="E130" i="18"/>
  <c r="E153" i="18"/>
  <c r="E67" i="18"/>
  <c r="E177" i="18"/>
  <c r="E12" i="18"/>
  <c r="E43" i="18"/>
  <c r="E179" i="18"/>
  <c r="E167" i="18"/>
  <c r="E140" i="18"/>
  <c r="E109" i="18"/>
  <c r="E94" i="18"/>
  <c r="E31" i="18"/>
  <c r="E186" i="18"/>
  <c r="E48" i="18"/>
  <c r="E61" i="18"/>
  <c r="E106" i="18"/>
  <c r="E53" i="18"/>
  <c r="E75" i="18"/>
  <c r="E187" i="18"/>
  <c r="E110" i="18"/>
  <c r="E151" i="18"/>
  <c r="E117" i="18"/>
  <c r="E120" i="18"/>
  <c r="E81" i="18"/>
  <c r="E25" i="18"/>
  <c r="E189" i="18"/>
  <c r="E195" i="18"/>
  <c r="E95" i="18"/>
  <c r="E212" i="18"/>
  <c r="E88" i="18"/>
  <c r="E146" i="18"/>
  <c r="E79" i="18"/>
  <c r="E116" i="18"/>
  <c r="E38" i="18"/>
  <c r="E58" i="18"/>
  <c r="E213" i="18"/>
  <c r="E32" i="18"/>
  <c r="E148" i="18"/>
  <c r="E188" i="18"/>
  <c r="E104" i="18"/>
  <c r="E121"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A148" i="14"/>
  <c r="D148" i="14" s="1"/>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R119" i="12" s="1"/>
  <c r="J8" i="6"/>
  <c r="C161" i="10"/>
  <c r="L110" i="10"/>
  <c r="Q111" i="2"/>
  <c r="D89" i="2"/>
  <c r="O171" i="3"/>
  <c r="M113" i="7"/>
  <c r="J119" i="6"/>
  <c r="H18" i="7"/>
  <c r="M18" i="7"/>
  <c r="Q143" i="3"/>
  <c r="C165" i="5"/>
  <c r="A137" i="7"/>
  <c r="A77" i="7"/>
  <c r="L77" i="7" s="1"/>
  <c r="A53" i="7"/>
  <c r="L53" i="7" s="1"/>
  <c r="H167" i="6"/>
  <c r="L109" i="6"/>
  <c r="O109" i="12" s="1"/>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C3" i="21"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L10" i="7"/>
  <c r="N35" i="6"/>
  <c r="H242" i="2"/>
  <c r="B56" i="3"/>
  <c r="O165" i="5"/>
  <c r="A158" i="7"/>
  <c r="H158" i="7" s="1"/>
  <c r="F71" i="7"/>
  <c r="A9" i="7"/>
  <c r="B9" i="7" s="1"/>
  <c r="F131" i="6"/>
  <c r="L120" i="6"/>
  <c r="O120" i="12" s="1"/>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M96" i="12" s="1"/>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E52" i="5" s="1"/>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S104" i="12" s="1"/>
  <c r="I94" i="6"/>
  <c r="N77" i="6"/>
  <c r="I25" i="6"/>
  <c r="G16" i="6"/>
  <c r="E171" i="10"/>
  <c r="N164" i="10"/>
  <c r="J157" i="10"/>
  <c r="I156" i="10"/>
  <c r="I141" i="10"/>
  <c r="C141" i="10"/>
  <c r="I121" i="10"/>
  <c r="F120" i="10"/>
  <c r="I110" i="10"/>
  <c r="K96" i="10"/>
  <c r="L94" i="10"/>
  <c r="I86" i="10"/>
  <c r="K56" i="10"/>
  <c r="O112" i="7"/>
  <c r="H181" i="6"/>
  <c r="G122" i="6"/>
  <c r="O114" i="6"/>
  <c r="L69" i="6"/>
  <c r="M72" i="10"/>
  <c r="I61" i="10"/>
  <c r="F56" i="10"/>
  <c r="I34" i="10"/>
  <c r="M140" i="2"/>
  <c r="S104" i="2"/>
  <c r="I76" i="2"/>
  <c r="R20" i="2"/>
  <c r="M16" i="2"/>
  <c r="J183" i="3"/>
  <c r="G143" i="3"/>
  <c r="H143" i="3" s="1"/>
  <c r="Q135" i="3"/>
  <c r="G135" i="3"/>
  <c r="N108" i="3"/>
  <c r="O56" i="3"/>
  <c r="P42" i="3"/>
  <c r="L36" i="3"/>
  <c r="N152" i="7"/>
  <c r="G112" i="7"/>
  <c r="C181" i="6"/>
  <c r="F155" i="6"/>
  <c r="K128" i="6"/>
  <c r="N128" i="12" s="1"/>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E108" i="5" s="1"/>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J40" i="2" s="1"/>
  <c r="K40" i="2" s="1"/>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E32" i="5" s="1"/>
  <c r="F32" i="5" s="1"/>
  <c r="G32" i="5" s="1"/>
  <c r="N20" i="3"/>
  <c r="Q12" i="3"/>
  <c r="D12" i="3"/>
  <c r="M180" i="7"/>
  <c r="L171" i="7"/>
  <c r="R191" i="2"/>
  <c r="Q173" i="2"/>
  <c r="L171" i="3"/>
  <c r="D171" i="3"/>
  <c r="G127" i="3"/>
  <c r="Q72" i="3"/>
  <c r="L189" i="7"/>
  <c r="I171" i="7"/>
  <c r="G113" i="7"/>
  <c r="M112" i="7"/>
  <c r="B90"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P47" i="3"/>
  <c r="J28" i="3"/>
  <c r="H189" i="7"/>
  <c r="E171" i="7"/>
  <c r="E113" i="7"/>
  <c r="S75" i="2"/>
  <c r="I100" i="7"/>
  <c r="I96" i="7"/>
  <c r="G72" i="7"/>
  <c r="C72" i="7"/>
  <c r="O72" i="7"/>
  <c r="D72" i="7"/>
  <c r="I72" i="7"/>
  <c r="I12" i="10"/>
  <c r="L18" i="7"/>
  <c r="I183" i="6"/>
  <c r="K169" i="6"/>
  <c r="N169" i="12" s="1"/>
  <c r="L52" i="6"/>
  <c r="O52" i="12" s="1"/>
  <c r="M187" i="10"/>
  <c r="L133" i="10"/>
  <c r="H133" i="10"/>
  <c r="D133" i="10"/>
  <c r="O132" i="10"/>
  <c r="J132" i="10"/>
  <c r="E132" i="10"/>
  <c r="J125" i="10"/>
  <c r="N69" i="10"/>
  <c r="O68" i="10"/>
  <c r="L57" i="10"/>
  <c r="M49" i="10"/>
  <c r="F18" i="7"/>
  <c r="E183" i="6"/>
  <c r="I169" i="6"/>
  <c r="O130" i="6"/>
  <c r="J97" i="6"/>
  <c r="I77" i="6"/>
  <c r="K52" i="6"/>
  <c r="R52" i="12" s="1"/>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I108" i="6"/>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P65" i="5" s="1"/>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F3" i="21" s="1"/>
  <c r="B137" i="14"/>
  <c r="C129" i="14"/>
  <c r="E126" i="14"/>
  <c r="E123" i="14"/>
  <c r="B95" i="14"/>
  <c r="E93" i="14"/>
  <c r="E17" i="14"/>
  <c r="E15" i="14"/>
  <c r="E14" i="14"/>
  <c r="E12" i="14"/>
  <c r="C165" i="6"/>
  <c r="E165" i="6"/>
  <c r="B138" i="6"/>
  <c r="K138" i="6"/>
  <c r="P120" i="2"/>
  <c r="E120" i="2"/>
  <c r="G120" i="2" s="1"/>
  <c r="P48" i="2"/>
  <c r="E48" i="2"/>
  <c r="Q34" i="2"/>
  <c r="L182" i="3"/>
  <c r="M166" i="3"/>
  <c r="M157" i="3"/>
  <c r="N147" i="3"/>
  <c r="Q133" i="3"/>
  <c r="O104" i="3"/>
  <c r="I94" i="3"/>
  <c r="Q93" i="3"/>
  <c r="G93" i="3"/>
  <c r="Q92" i="3"/>
  <c r="G92" i="3"/>
  <c r="O85" i="3"/>
  <c r="G85" i="3"/>
  <c r="E85" i="5" s="1"/>
  <c r="L47" i="3"/>
  <c r="P40" i="3"/>
  <c r="Q39" i="3"/>
  <c r="I91" i="7"/>
  <c r="O61" i="7"/>
  <c r="L165" i="6"/>
  <c r="F165" i="6"/>
  <c r="C161" i="6"/>
  <c r="I161" i="6"/>
  <c r="F161" i="6"/>
  <c r="E112" i="6"/>
  <c r="L112" i="6"/>
  <c r="I112" i="6"/>
  <c r="Q112" i="12" s="1"/>
  <c r="C95" i="6"/>
  <c r="L95" i="5" s="1"/>
  <c r="L95" i="6"/>
  <c r="O95" i="12" s="1"/>
  <c r="E73" i="6"/>
  <c r="H73" i="6"/>
  <c r="L73" i="12" s="1"/>
  <c r="B73" i="6"/>
  <c r="L73" i="6"/>
  <c r="I12" i="6"/>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P128" i="12" s="1"/>
  <c r="G128" i="6"/>
  <c r="B101" i="6"/>
  <c r="F101" i="6"/>
  <c r="I101" i="6"/>
  <c r="E101" i="6"/>
  <c r="N101" i="6"/>
  <c r="I72" i="6"/>
  <c r="M72" i="12" s="1"/>
  <c r="K72" i="6"/>
  <c r="S72" i="12" s="1"/>
  <c r="G72" i="6"/>
  <c r="C44" i="6"/>
  <c r="G44" i="6"/>
  <c r="H44" i="6"/>
  <c r="E44" i="6"/>
  <c r="M44" i="6"/>
  <c r="I31" i="6"/>
  <c r="Q31" i="12" s="1"/>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J120" i="2" s="1"/>
  <c r="K120" i="2" s="1"/>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83" i="7"/>
  <c r="H113" i="7"/>
  <c r="J94" i="7"/>
  <c r="D93" i="7"/>
  <c r="K91" i="7"/>
  <c r="H72" i="7"/>
  <c r="N71" i="7"/>
  <c r="K27" i="7"/>
  <c r="E27" i="7"/>
  <c r="K21" i="7"/>
  <c r="L181" i="6"/>
  <c r="D181" i="6"/>
  <c r="I180" i="6"/>
  <c r="M180" i="12" s="1"/>
  <c r="M169" i="6"/>
  <c r="E169" i="6"/>
  <c r="I168" i="6"/>
  <c r="Q168" i="12" s="1"/>
  <c r="L167" i="6"/>
  <c r="E167" i="6"/>
  <c r="N165" i="6"/>
  <c r="I165" i="6"/>
  <c r="B165" i="6"/>
  <c r="B114" i="6"/>
  <c r="G114" i="6"/>
  <c r="E114" i="6"/>
  <c r="C71" i="6"/>
  <c r="K71" i="6"/>
  <c r="S71" i="12" s="1"/>
  <c r="O71" i="6"/>
  <c r="G71" i="6"/>
  <c r="D69" i="6"/>
  <c r="I69" i="6"/>
  <c r="N69" i="6"/>
  <c r="E69" i="6"/>
  <c r="J69" i="6"/>
  <c r="B69" i="6"/>
  <c r="H69" i="6"/>
  <c r="M69" i="6"/>
  <c r="B41" i="6"/>
  <c r="I41" i="6"/>
  <c r="Q41" i="12" s="1"/>
  <c r="N41" i="6"/>
  <c r="H41" i="6"/>
  <c r="E27" i="6"/>
  <c r="I27" i="6"/>
  <c r="K27" i="6"/>
  <c r="N27" i="12" s="1"/>
  <c r="G27" i="6"/>
  <c r="C166" i="10"/>
  <c r="G166" i="10"/>
  <c r="K166" i="10"/>
  <c r="E166" i="10"/>
  <c r="B148" i="10"/>
  <c r="G148" i="10"/>
  <c r="N148" i="10"/>
  <c r="C148" i="10"/>
  <c r="I122" i="6"/>
  <c r="M122" i="12" s="1"/>
  <c r="I111" i="6"/>
  <c r="N109" i="6"/>
  <c r="I109" i="6"/>
  <c r="Q109" i="12" s="1"/>
  <c r="D109" i="6"/>
  <c r="K108" i="6"/>
  <c r="N108" i="12" s="1"/>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P10" i="5" s="1"/>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E127" i="14"/>
  <c r="G125" i="14"/>
  <c r="D115" i="14"/>
  <c r="C113" i="14"/>
  <c r="E55" i="14"/>
  <c r="F52" i="14"/>
  <c r="E39" i="14"/>
  <c r="E37" i="14"/>
  <c r="D33" i="14"/>
  <c r="F31" i="14"/>
  <c r="D29" i="14"/>
  <c r="F11" i="14"/>
  <c r="E9" i="14"/>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G3" i="21" s="1"/>
  <c r="B148" i="14"/>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E4" i="21" s="1"/>
  <c r="I33" i="2"/>
  <c r="Q33" i="2"/>
  <c r="I27" i="2"/>
  <c r="Q181" i="3"/>
  <c r="I154" i="3"/>
  <c r="M154" i="3"/>
  <c r="P154" i="3"/>
  <c r="D145" i="3"/>
  <c r="I145" i="3"/>
  <c r="Q145" i="3"/>
  <c r="B144" i="3"/>
  <c r="M144" i="3"/>
  <c r="F144" i="3"/>
  <c r="N144" i="3"/>
  <c r="L141" i="3"/>
  <c r="I141" i="3"/>
  <c r="P141" i="3"/>
  <c r="I134" i="3"/>
  <c r="C134" i="3"/>
  <c r="P134" i="3"/>
  <c r="G134" i="3"/>
  <c r="E134" i="5" s="1"/>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H4" i="21" s="1"/>
  <c r="D36" i="2"/>
  <c r="I4" i="21" s="1"/>
  <c r="M36" i="2"/>
  <c r="E36" i="2"/>
  <c r="J4" i="21" s="1"/>
  <c r="P36" i="2"/>
  <c r="D4" i="21" s="1"/>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3" i="21" s="1"/>
  <c r="I153" i="2"/>
  <c r="C107" i="2"/>
  <c r="I107" i="2"/>
  <c r="S107" i="2"/>
  <c r="D93" i="2"/>
  <c r="I93" i="2"/>
  <c r="L93" i="2"/>
  <c r="D92" i="2"/>
  <c r="B92" i="2"/>
  <c r="M92" i="2"/>
  <c r="E92" i="2"/>
  <c r="Q92" i="2"/>
  <c r="B88" i="2"/>
  <c r="E88" i="2"/>
  <c r="S88" i="2"/>
  <c r="I88" i="2"/>
  <c r="I79" i="2"/>
  <c r="Q79" i="2"/>
  <c r="D60" i="2"/>
  <c r="C60" i="2"/>
  <c r="I60" i="2"/>
  <c r="Q49" i="2"/>
  <c r="D49" i="2"/>
  <c r="H36" i="2"/>
  <c r="B4" i="21" s="1"/>
  <c r="L10" i="2"/>
  <c r="P10" i="2"/>
  <c r="M126" i="3"/>
  <c r="I126" i="3"/>
  <c r="Q126" i="3"/>
  <c r="D119" i="3"/>
  <c r="C119" i="3"/>
  <c r="N119" i="3"/>
  <c r="F119" i="3"/>
  <c r="P119" i="3"/>
  <c r="I119" i="3"/>
  <c r="B101" i="3"/>
  <c r="I101" i="3"/>
  <c r="J101" i="3"/>
  <c r="C157" i="7"/>
  <c r="L157" i="7"/>
  <c r="D152" i="7"/>
  <c r="E152" i="7"/>
  <c r="J152" i="7"/>
  <c r="O152" i="7"/>
  <c r="C145" i="7"/>
  <c r="G145" i="7"/>
  <c r="C136" i="7"/>
  <c r="C109" i="7"/>
  <c r="B107" i="7"/>
  <c r="I13" i="7"/>
  <c r="B187" i="6"/>
  <c r="M187" i="6"/>
  <c r="F187" i="6"/>
  <c r="H187" i="6"/>
  <c r="M172" i="6"/>
  <c r="A172" i="7"/>
  <c r="I172" i="7" s="1"/>
  <c r="I164" i="6"/>
  <c r="Q164" i="12" s="1"/>
  <c r="K164" i="6"/>
  <c r="A164" i="7"/>
  <c r="E164" i="7" s="1"/>
  <c r="B147" i="6"/>
  <c r="F147" i="6"/>
  <c r="I147" i="6"/>
  <c r="M147" i="12" s="1"/>
  <c r="L147" i="6"/>
  <c r="B135" i="6"/>
  <c r="F135" i="6"/>
  <c r="J135" i="6"/>
  <c r="N135" i="6"/>
  <c r="C135" i="6"/>
  <c r="G135" i="6"/>
  <c r="K135" i="6"/>
  <c r="O135" i="6"/>
  <c r="D135" i="6"/>
  <c r="H135" i="6"/>
  <c r="L135" i="6"/>
  <c r="O135" i="12" s="1"/>
  <c r="B125" i="6"/>
  <c r="E125" i="6"/>
  <c r="H125" i="6"/>
  <c r="P125" i="12" s="1"/>
  <c r="J125" i="6"/>
  <c r="A125" i="7"/>
  <c r="E54" i="6"/>
  <c r="J54" i="6"/>
  <c r="A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E117" i="5" s="1"/>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E48" i="5" s="1"/>
  <c r="F48" i="5" s="1"/>
  <c r="G48" i="5" s="1"/>
  <c r="L46" i="3"/>
  <c r="O45" i="3"/>
  <c r="O40" i="3"/>
  <c r="J40" i="3"/>
  <c r="D40" i="3"/>
  <c r="N36" i="3"/>
  <c r="I36" i="3"/>
  <c r="C36" i="3"/>
  <c r="E36" i="3" s="1"/>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N104" i="2" s="1"/>
  <c r="O104" i="2" s="1"/>
  <c r="R80" i="2"/>
  <c r="L143" i="3"/>
  <c r="N136" i="3"/>
  <c r="P133" i="3"/>
  <c r="L130" i="3"/>
  <c r="J127" i="3"/>
  <c r="C122" i="3"/>
  <c r="Q117" i="3"/>
  <c r="C117" i="3"/>
  <c r="N112" i="3"/>
  <c r="C112" i="3"/>
  <c r="E112" i="3" s="1"/>
  <c r="M104" i="3"/>
  <c r="O99" i="3"/>
  <c r="B77" i="3"/>
  <c r="L72" i="3"/>
  <c r="B72" i="3"/>
  <c r="L68" i="3"/>
  <c r="B68" i="3"/>
  <c r="L64" i="3"/>
  <c r="B64" i="3"/>
  <c r="C57" i="3"/>
  <c r="Q49" i="3"/>
  <c r="P48" i="3"/>
  <c r="F48" i="3"/>
  <c r="H48" i="3" s="1"/>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B158" i="7"/>
  <c r="K152" i="7"/>
  <c r="C152" i="7"/>
  <c r="B151" i="7"/>
  <c r="K151" i="7"/>
  <c r="A147" i="7"/>
  <c r="L147" i="7" s="1"/>
  <c r="E136" i="7"/>
  <c r="C119" i="7"/>
  <c r="F119" i="7"/>
  <c r="C77" i="7"/>
  <c r="D77" i="7"/>
  <c r="O77" i="7"/>
  <c r="G77" i="7"/>
  <c r="I77" i="7"/>
  <c r="E185" i="6"/>
  <c r="I185" i="6"/>
  <c r="M185" i="6"/>
  <c r="B141" i="6"/>
  <c r="L141" i="6"/>
  <c r="A141" i="7"/>
  <c r="I135" i="6"/>
  <c r="Q135" i="12" s="1"/>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L134" i="7"/>
  <c r="F132" i="7"/>
  <c r="B14" i="7"/>
  <c r="H14" i="7"/>
  <c r="L187" i="6"/>
  <c r="K160" i="6"/>
  <c r="N160" i="12" s="1"/>
  <c r="A160" i="7"/>
  <c r="I160" i="7" s="1"/>
  <c r="B152" i="6"/>
  <c r="I152" i="6"/>
  <c r="Q152" i="12" s="1"/>
  <c r="E135" i="6"/>
  <c r="F110" i="6"/>
  <c r="I110" i="6"/>
  <c r="K110" i="6"/>
  <c r="S110" i="12" s="1"/>
  <c r="A110" i="7"/>
  <c r="C110" i="7" s="1"/>
  <c r="I102" i="6"/>
  <c r="A102" i="7"/>
  <c r="C87" i="6"/>
  <c r="H87" i="6"/>
  <c r="M87" i="6"/>
  <c r="D87" i="6"/>
  <c r="I87" i="6"/>
  <c r="Q87" i="12" s="1"/>
  <c r="O87" i="6"/>
  <c r="E87" i="6"/>
  <c r="G87" i="6"/>
  <c r="A87" i="7"/>
  <c r="F87" i="7" s="1"/>
  <c r="K87" i="6"/>
  <c r="R87" i="12" s="1"/>
  <c r="E83" i="6"/>
  <c r="G83" i="6"/>
  <c r="I83" i="6"/>
  <c r="Q83" i="12" s="1"/>
  <c r="C83" i="6"/>
  <c r="L83" i="5" s="1"/>
  <c r="M83" i="5" s="1"/>
  <c r="K83" i="6"/>
  <c r="O83" i="6"/>
  <c r="B51" i="6"/>
  <c r="G51" i="6"/>
  <c r="M51" i="6"/>
  <c r="C51" i="6"/>
  <c r="I51" i="6"/>
  <c r="M51" i="12" s="1"/>
  <c r="N51" i="6"/>
  <c r="E51" i="6"/>
  <c r="O51" i="6"/>
  <c r="F51" i="6"/>
  <c r="J51" i="6"/>
  <c r="E28" i="6"/>
  <c r="A28" i="7"/>
  <c r="K173" i="10"/>
  <c r="E94" i="7"/>
  <c r="C73" i="7"/>
  <c r="D61" i="7"/>
  <c r="F42" i="7"/>
  <c r="O33" i="7"/>
  <c r="D33" i="7"/>
  <c r="K31" i="7"/>
  <c r="M27" i="7"/>
  <c r="G27" i="7"/>
  <c r="O21" i="7"/>
  <c r="C21" i="7"/>
  <c r="M12" i="7"/>
  <c r="N10" i="7"/>
  <c r="K7" i="7"/>
  <c r="G180" i="6"/>
  <c r="M177" i="6"/>
  <c r="E177" i="6"/>
  <c r="I176" i="6"/>
  <c r="M176" i="12" s="1"/>
  <c r="I175" i="6"/>
  <c r="O173" i="6"/>
  <c r="H171" i="6"/>
  <c r="L163" i="6"/>
  <c r="O163" i="12" s="1"/>
  <c r="L161" i="6"/>
  <c r="E161" i="6"/>
  <c r="N155" i="6"/>
  <c r="I155" i="6"/>
  <c r="D155" i="6"/>
  <c r="M153" i="6"/>
  <c r="L151" i="6"/>
  <c r="O151" i="12" s="1"/>
  <c r="M149" i="6"/>
  <c r="I138" i="6"/>
  <c r="G132" i="6"/>
  <c r="E130" i="6"/>
  <c r="M128" i="6"/>
  <c r="C128" i="6"/>
  <c r="L128" i="5" s="1"/>
  <c r="M122" i="6"/>
  <c r="B122" i="6"/>
  <c r="H120" i="6"/>
  <c r="N119" i="6"/>
  <c r="I119" i="6"/>
  <c r="C119" i="6"/>
  <c r="G112" i="6"/>
  <c r="N111" i="6"/>
  <c r="C96" i="6"/>
  <c r="O96" i="6"/>
  <c r="G96" i="6"/>
  <c r="G80" i="6"/>
  <c r="K80" i="6"/>
  <c r="E59" i="6"/>
  <c r="J59" i="6"/>
  <c r="L59" i="6"/>
  <c r="L56" i="6"/>
  <c r="D56" i="6"/>
  <c r="I56" i="6"/>
  <c r="Q56" i="12" s="1"/>
  <c r="F42" i="6"/>
  <c r="I42" i="6"/>
  <c r="H36" i="6"/>
  <c r="C31" i="6"/>
  <c r="L31" i="5" s="1"/>
  <c r="K31" i="6"/>
  <c r="S31" i="12" s="1"/>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B52" i="7"/>
  <c r="L49" i="7"/>
  <c r="I31" i="7"/>
  <c r="I12" i="7"/>
  <c r="N183" i="6"/>
  <c r="F183" i="6"/>
  <c r="K181" i="6"/>
  <c r="E181" i="6"/>
  <c r="O180" i="6"/>
  <c r="E180" i="6"/>
  <c r="J177" i="6"/>
  <c r="F175" i="6"/>
  <c r="J161" i="6"/>
  <c r="D161" i="6"/>
  <c r="M155" i="6"/>
  <c r="H155" i="6"/>
  <c r="P155" i="12" s="1"/>
  <c r="I139" i="6"/>
  <c r="F138" i="6"/>
  <c r="L133" i="6"/>
  <c r="K123" i="6"/>
  <c r="S123" i="12" s="1"/>
  <c r="G120" i="6"/>
  <c r="M119" i="6"/>
  <c r="G119" i="6"/>
  <c r="O112" i="6"/>
  <c r="B111" i="6"/>
  <c r="E111" i="6"/>
  <c r="K111" i="6"/>
  <c r="C99" i="6"/>
  <c r="G99" i="6"/>
  <c r="K99" i="6"/>
  <c r="B93" i="6"/>
  <c r="F93" i="6"/>
  <c r="L93" i="6"/>
  <c r="E81" i="6"/>
  <c r="L81" i="6"/>
  <c r="I68" i="6"/>
  <c r="O68" i="6"/>
  <c r="C52" i="6"/>
  <c r="H52" i="6"/>
  <c r="M52" i="6"/>
  <c r="D52" i="6"/>
  <c r="I52" i="6"/>
  <c r="O52" i="6"/>
  <c r="F50" i="6"/>
  <c r="I50" i="6"/>
  <c r="M50" i="12" s="1"/>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12" s="1"/>
  <c r="L119" i="6"/>
  <c r="C112" i="6"/>
  <c r="D112" i="6"/>
  <c r="K112" i="6"/>
  <c r="D85" i="6"/>
  <c r="I85" i="6"/>
  <c r="N85" i="6"/>
  <c r="I63" i="6"/>
  <c r="Q63" i="12" s="1"/>
  <c r="M63" i="6"/>
  <c r="H60" i="6"/>
  <c r="L60" i="6"/>
  <c r="E36" i="6"/>
  <c r="C36" i="6"/>
  <c r="I36" i="6"/>
  <c r="M36" i="12" s="1"/>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R35" i="12" s="1"/>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P34" i="5" s="1"/>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P22" i="5" s="1"/>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9" i="14"/>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N88" i="2" s="1"/>
  <c r="O88" i="2" s="1"/>
  <c r="D88" i="2"/>
  <c r="F88" i="2" s="1"/>
  <c r="Q87" i="2"/>
  <c r="L85" i="2"/>
  <c r="R84" i="2"/>
  <c r="L84" i="2"/>
  <c r="D78" i="2"/>
  <c r="L78" i="2"/>
  <c r="B76" i="2"/>
  <c r="H76" i="2"/>
  <c r="M76" i="2"/>
  <c r="R76" i="2"/>
  <c r="I74" i="2"/>
  <c r="R72" i="2"/>
  <c r="H72" i="2"/>
  <c r="S68" i="2"/>
  <c r="L68" i="2"/>
  <c r="Q64" i="2"/>
  <c r="S59" i="2"/>
  <c r="E56" i="2"/>
  <c r="H56" i="2"/>
  <c r="S56" i="2"/>
  <c r="D48" i="2"/>
  <c r="G48" i="2" s="1"/>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E154" i="5" s="1"/>
  <c r="O154" i="3"/>
  <c r="C151" i="3"/>
  <c r="I151" i="3"/>
  <c r="G146" i="3"/>
  <c r="D146" i="3"/>
  <c r="O146" i="3"/>
  <c r="B142" i="3"/>
  <c r="C142" i="3"/>
  <c r="L142" i="3"/>
  <c r="Q142" i="3"/>
  <c r="D142" i="3"/>
  <c r="M142" i="3"/>
  <c r="G142" i="3"/>
  <c r="E142" i="5" s="1"/>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E119" i="5" s="1"/>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E99" i="5" s="1"/>
  <c r="J98" i="3"/>
  <c r="Q98" i="3"/>
  <c r="N96" i="3"/>
  <c r="C96" i="3"/>
  <c r="N89" i="3"/>
  <c r="G87" i="3"/>
  <c r="I83" i="3"/>
  <c r="F82" i="3"/>
  <c r="P82" i="3"/>
  <c r="D79" i="3"/>
  <c r="E79" i="3" s="1"/>
  <c r="J74" i="3"/>
  <c r="L62" i="3"/>
  <c r="J61" i="3"/>
  <c r="L60" i="3"/>
  <c r="S36" i="2"/>
  <c r="I36" i="2"/>
  <c r="L33" i="2"/>
  <c r="R32" i="2"/>
  <c r="D32" i="2"/>
  <c r="G32" i="2" s="1"/>
  <c r="S27" i="2"/>
  <c r="M20" i="2"/>
  <c r="I12" i="2"/>
  <c r="N187" i="3"/>
  <c r="I187" i="3"/>
  <c r="K187" i="3" s="1"/>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E53" i="5" s="1"/>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B183" i="7"/>
  <c r="D183" i="7"/>
  <c r="L183" i="7"/>
  <c r="E183" i="7"/>
  <c r="M183" i="7"/>
  <c r="I162" i="7"/>
  <c r="M162" i="7"/>
  <c r="J158" i="7"/>
  <c r="K155" i="7"/>
  <c r="N148" i="7"/>
  <c r="F148" i="7"/>
  <c r="O47" i="3"/>
  <c r="G47" i="3"/>
  <c r="J45" i="3"/>
  <c r="P44" i="3"/>
  <c r="M42" i="3"/>
  <c r="F42" i="3"/>
  <c r="Q37" i="3"/>
  <c r="G37" i="3"/>
  <c r="F34" i="3"/>
  <c r="M34" i="3"/>
  <c r="G31" i="3"/>
  <c r="E31" i="5" s="1"/>
  <c r="F31" i="5" s="1"/>
  <c r="G31" i="5" s="1"/>
  <c r="L31" i="3"/>
  <c r="C28" i="3"/>
  <c r="E28" i="3" s="1"/>
  <c r="I28" i="3"/>
  <c r="N28" i="3"/>
  <c r="Q26" i="3"/>
  <c r="D26" i="3"/>
  <c r="M23" i="3"/>
  <c r="J21" i="3"/>
  <c r="J13" i="3"/>
  <c r="I9" i="3"/>
  <c r="F9" i="3"/>
  <c r="C189" i="7"/>
  <c r="D189" i="7"/>
  <c r="I189" i="7"/>
  <c r="N189" i="7"/>
  <c r="J163" i="7"/>
  <c r="M148" i="7"/>
  <c r="M77" i="3"/>
  <c r="M72" i="3"/>
  <c r="F72" i="3"/>
  <c r="P71" i="3"/>
  <c r="M68" i="3"/>
  <c r="F68" i="3"/>
  <c r="O67" i="3"/>
  <c r="M66" i="3"/>
  <c r="M64" i="3"/>
  <c r="F64" i="3"/>
  <c r="N57" i="3"/>
  <c r="P56" i="3"/>
  <c r="G56" i="3"/>
  <c r="M47" i="3"/>
  <c r="F45" i="3"/>
  <c r="H45" i="3" s="1"/>
  <c r="L44" i="3"/>
  <c r="Q42" i="3"/>
  <c r="L42" i="3"/>
  <c r="L39" i="3"/>
  <c r="G39" i="3"/>
  <c r="O37" i="3"/>
  <c r="I35" i="3"/>
  <c r="G35" i="3"/>
  <c r="E35" i="5" s="1"/>
  <c r="F35" i="5" s="1"/>
  <c r="G35" i="5" s="1"/>
  <c r="C32" i="3"/>
  <c r="I32" i="3"/>
  <c r="N32" i="3"/>
  <c r="Q30" i="3"/>
  <c r="M28" i="3"/>
  <c r="F28" i="3"/>
  <c r="Q27" i="3"/>
  <c r="N26" i="3"/>
  <c r="L23" i="3"/>
  <c r="C21" i="3"/>
  <c r="M18" i="3"/>
  <c r="C16" i="3"/>
  <c r="G16" i="3"/>
  <c r="F13" i="3"/>
  <c r="G11" i="3"/>
  <c r="F10" i="3"/>
  <c r="L10" i="3"/>
  <c r="D167" i="7"/>
  <c r="C163" i="7"/>
  <c r="H163" i="7"/>
  <c r="B155" i="7"/>
  <c r="E155" i="7"/>
  <c r="O155" i="7"/>
  <c r="F155" i="7"/>
  <c r="F37" i="3"/>
  <c r="N37" i="3"/>
  <c r="I26" i="3"/>
  <c r="P26" i="3"/>
  <c r="C8" i="3"/>
  <c r="I8" i="3"/>
  <c r="N163" i="7"/>
  <c r="E158" i="7"/>
  <c r="L158" i="7"/>
  <c r="F158" i="7"/>
  <c r="M158" i="7"/>
  <c r="C148" i="7"/>
  <c r="G148" i="7"/>
  <c r="K148" i="7"/>
  <c r="O148" i="7"/>
  <c r="D148" i="7"/>
  <c r="H148" i="7"/>
  <c r="L148" i="7"/>
  <c r="H144" i="7"/>
  <c r="J134" i="7"/>
  <c r="N132" i="7"/>
  <c r="I132" i="7"/>
  <c r="C132" i="7"/>
  <c r="N114" i="7"/>
  <c r="I107" i="7"/>
  <c r="O68" i="7"/>
  <c r="G67" i="7"/>
  <c r="E67" i="7"/>
  <c r="J54" i="7"/>
  <c r="L45" i="7"/>
  <c r="E35" i="7"/>
  <c r="F35" i="7"/>
  <c r="O35" i="7"/>
  <c r="G35" i="7"/>
  <c r="E30" i="7"/>
  <c r="F30" i="7"/>
  <c r="H30" i="7"/>
  <c r="E25" i="7"/>
  <c r="G25" i="7"/>
  <c r="H25" i="7"/>
  <c r="H22" i="7"/>
  <c r="C14" i="7"/>
  <c r="E14" i="7"/>
  <c r="L14" i="7"/>
  <c r="F14" i="7"/>
  <c r="M14" i="7"/>
  <c r="B7" i="7"/>
  <c r="G7" i="7"/>
  <c r="I7" i="7"/>
  <c r="C179" i="6"/>
  <c r="F179" i="6"/>
  <c r="I179" i="6"/>
  <c r="I173" i="6"/>
  <c r="M173" i="12" s="1"/>
  <c r="B172" i="6"/>
  <c r="E172" i="6"/>
  <c r="I172" i="6"/>
  <c r="D171" i="6"/>
  <c r="B171" i="6"/>
  <c r="J171" i="6"/>
  <c r="E171" i="6"/>
  <c r="L171" i="6"/>
  <c r="I149" i="6"/>
  <c r="M149" i="12" s="1"/>
  <c r="B148" i="6"/>
  <c r="C148" i="6"/>
  <c r="K148" i="6"/>
  <c r="R148" i="12" s="1"/>
  <c r="E148" i="6"/>
  <c r="M148" i="6"/>
  <c r="G148" i="6"/>
  <c r="O148" i="6"/>
  <c r="D144" i="6"/>
  <c r="C144" i="6"/>
  <c r="K144" i="6"/>
  <c r="E144" i="6"/>
  <c r="L144" i="6"/>
  <c r="G144" i="6"/>
  <c r="M144" i="6"/>
  <c r="I180" i="7"/>
  <c r="M144" i="7"/>
  <c r="E144" i="7"/>
  <c r="L136" i="7"/>
  <c r="H136" i="7"/>
  <c r="K135" i="7"/>
  <c r="F134" i="7"/>
  <c r="M132" i="7"/>
  <c r="G132" i="7"/>
  <c r="B132" i="7"/>
  <c r="L114" i="7"/>
  <c r="K112" i="7"/>
  <c r="K111" i="7"/>
  <c r="J111" i="12" s="1"/>
  <c r="G107" i="7"/>
  <c r="M105" i="7"/>
  <c r="M97" i="7"/>
  <c r="M94" i="7"/>
  <c r="L92" i="7"/>
  <c r="K88" i="7"/>
  <c r="M72" i="7"/>
  <c r="N68" i="7"/>
  <c r="F68" i="7"/>
  <c r="K41" i="7"/>
  <c r="M35" i="7"/>
  <c r="M30" i="7"/>
  <c r="M25"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L164" i="5" s="1"/>
  <c r="O164" i="6"/>
  <c r="G164" i="6"/>
  <c r="C157" i="6"/>
  <c r="L157" i="5" s="1"/>
  <c r="M157" i="5" s="1"/>
  <c r="E157" i="6"/>
  <c r="I157" i="6"/>
  <c r="M157" i="12" s="1"/>
  <c r="M157" i="6"/>
  <c r="B151" i="6"/>
  <c r="H151" i="6"/>
  <c r="L151" i="12" s="1"/>
  <c r="M151" i="6"/>
  <c r="D151" i="6"/>
  <c r="I151" i="6"/>
  <c r="M151" i="12" s="1"/>
  <c r="N151" i="6"/>
  <c r="E151" i="6"/>
  <c r="J151" i="6"/>
  <c r="C143" i="6"/>
  <c r="L143" i="5" s="1"/>
  <c r="E143" i="6"/>
  <c r="I143" i="6"/>
  <c r="M143" i="12" s="1"/>
  <c r="M143" i="6"/>
  <c r="D49" i="7"/>
  <c r="C45" i="7"/>
  <c r="D45" i="7"/>
  <c r="O45" i="7"/>
  <c r="G45" i="7"/>
  <c r="C22" i="7"/>
  <c r="B22" i="7"/>
  <c r="J22" i="7"/>
  <c r="E22" i="7"/>
  <c r="L22" i="7"/>
  <c r="E20" i="7"/>
  <c r="M20" i="7"/>
  <c r="B173" i="6"/>
  <c r="C173" i="6"/>
  <c r="K173" i="6"/>
  <c r="E173" i="6"/>
  <c r="M173" i="6"/>
  <c r="B160" i="6"/>
  <c r="C160" i="6"/>
  <c r="L160" i="5" s="1"/>
  <c r="O160" i="6"/>
  <c r="G160" i="6"/>
  <c r="I160" i="6"/>
  <c r="B149" i="6"/>
  <c r="F149" i="6"/>
  <c r="J149" i="6"/>
  <c r="N149" i="6"/>
  <c r="C149" i="6"/>
  <c r="G149" i="6"/>
  <c r="K149" i="6"/>
  <c r="R149" i="12" s="1"/>
  <c r="O149" i="6"/>
  <c r="D149" i="6"/>
  <c r="H149" i="6"/>
  <c r="L149" i="6"/>
  <c r="B58" i="7"/>
  <c r="F58" i="7"/>
  <c r="L58" i="7"/>
  <c r="C57" i="7"/>
  <c r="B54" i="7"/>
  <c r="H54" i="7"/>
  <c r="M54" i="7"/>
  <c r="D54" i="7"/>
  <c r="I54" i="7"/>
  <c r="N54" i="7"/>
  <c r="N52" i="7"/>
  <c r="J52" i="7"/>
  <c r="E41" i="7"/>
  <c r="C41" i="7"/>
  <c r="M41" i="7"/>
  <c r="G41" i="7"/>
  <c r="M22" i="7"/>
  <c r="C31" i="7"/>
  <c r="O13" i="7"/>
  <c r="C13" i="7"/>
  <c r="I186" i="6"/>
  <c r="M186" i="12" s="1"/>
  <c r="M183" i="6"/>
  <c r="H183" i="6"/>
  <c r="B183" i="6"/>
  <c r="N181" i="6"/>
  <c r="J181" i="6"/>
  <c r="F181" i="6"/>
  <c r="K180" i="6"/>
  <c r="N180" i="12" s="1"/>
  <c r="C180" i="6"/>
  <c r="N175" i="6"/>
  <c r="D175" i="6"/>
  <c r="F163" i="6"/>
  <c r="M161" i="6"/>
  <c r="H161" i="6"/>
  <c r="B161" i="6"/>
  <c r="L159" i="6"/>
  <c r="I156" i="6"/>
  <c r="Q156" i="12" s="1"/>
  <c r="I153" i="6"/>
  <c r="M153" i="12" s="1"/>
  <c r="N147" i="6"/>
  <c r="D147" i="6"/>
  <c r="K142" i="6"/>
  <c r="H141" i="6"/>
  <c r="P141" i="12" s="1"/>
  <c r="O139" i="6"/>
  <c r="G139" i="6"/>
  <c r="N138" i="6"/>
  <c r="C138" i="6"/>
  <c r="H136" i="6"/>
  <c r="F133" i="6"/>
  <c r="J131" i="6"/>
  <c r="E131" i="6"/>
  <c r="N126" i="6"/>
  <c r="L125" i="6"/>
  <c r="O125" i="12" s="1"/>
  <c r="F123" i="6"/>
  <c r="M120" i="6"/>
  <c r="O116" i="6"/>
  <c r="L115" i="6"/>
  <c r="K114" i="6"/>
  <c r="S114" i="12" s="1"/>
  <c r="M112" i="6"/>
  <c r="H112" i="6"/>
  <c r="M111" i="6"/>
  <c r="G111" i="6"/>
  <c r="C108" i="6"/>
  <c r="I107" i="6"/>
  <c r="M107" i="12" s="1"/>
  <c r="G104" i="6"/>
  <c r="K103" i="6"/>
  <c r="C103" i="6"/>
  <c r="M101" i="6"/>
  <c r="H101" i="6"/>
  <c r="O99" i="6"/>
  <c r="I99" i="6"/>
  <c r="D99" i="6"/>
  <c r="F97" i="6"/>
  <c r="G95" i="6"/>
  <c r="J93" i="6"/>
  <c r="E93" i="6"/>
  <c r="O92" i="6"/>
  <c r="L91" i="6"/>
  <c r="L89" i="6"/>
  <c r="K88" i="6"/>
  <c r="L85" i="6"/>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N126" i="12" s="1"/>
  <c r="L121" i="6"/>
  <c r="O121" i="12" s="1"/>
  <c r="L116" i="6"/>
  <c r="O116" i="12" s="1"/>
  <c r="F115" i="6"/>
  <c r="G107" i="6"/>
  <c r="H105" i="6"/>
  <c r="M99" i="6"/>
  <c r="H99" i="6"/>
  <c r="L99" i="12" s="1"/>
  <c r="M97" i="6"/>
  <c r="B97" i="6"/>
  <c r="O95" i="6"/>
  <c r="D95" i="6"/>
  <c r="N93" i="6"/>
  <c r="I93" i="6"/>
  <c r="M93" i="12" s="1"/>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Q43" i="12" s="1"/>
  <c r="E35" i="6"/>
  <c r="G35" i="6"/>
  <c r="O35" i="6"/>
  <c r="I35" i="6"/>
  <c r="Q35" i="12" s="1"/>
  <c r="J33" i="6"/>
  <c r="L25" i="6"/>
  <c r="L21" i="6"/>
  <c r="E19" i="6"/>
  <c r="H19" i="6"/>
  <c r="H14" i="6"/>
  <c r="L14" i="12" s="1"/>
  <c r="E14" i="6"/>
  <c r="L14" i="6"/>
  <c r="D11" i="6"/>
  <c r="I11" i="6"/>
  <c r="N11" i="6"/>
  <c r="E11" i="6"/>
  <c r="J11" i="6"/>
  <c r="B181" i="10"/>
  <c r="C181" i="10"/>
  <c r="K181" i="10"/>
  <c r="E181" i="10"/>
  <c r="M181" i="10"/>
  <c r="G181" i="10"/>
  <c r="O181" i="10"/>
  <c r="K139" i="6"/>
  <c r="C139" i="6"/>
  <c r="L137" i="6"/>
  <c r="O137" i="12" s="1"/>
  <c r="M131" i="6"/>
  <c r="H131" i="6"/>
  <c r="B131" i="6"/>
  <c r="G127" i="6"/>
  <c r="C126" i="6"/>
  <c r="F121" i="6"/>
  <c r="I117" i="6"/>
  <c r="Q117" i="12" s="1"/>
  <c r="D116" i="6"/>
  <c r="O107" i="6"/>
  <c r="D107" i="6"/>
  <c r="O100" i="6"/>
  <c r="M93" i="6"/>
  <c r="H93" i="6"/>
  <c r="P93" i="12" s="1"/>
  <c r="C92" i="6"/>
  <c r="L92" i="5" s="1"/>
  <c r="E89" i="6"/>
  <c r="B85" i="6"/>
  <c r="H85" i="6"/>
  <c r="M85" i="6"/>
  <c r="G84" i="6"/>
  <c r="I84" i="6"/>
  <c r="Q84" i="12" s="1"/>
  <c r="M81" i="6"/>
  <c r="B77" i="6"/>
  <c r="H77" i="6"/>
  <c r="M77" i="6"/>
  <c r="G76" i="6"/>
  <c r="I76" i="6"/>
  <c r="O67" i="6"/>
  <c r="D64" i="6"/>
  <c r="G64" i="6"/>
  <c r="K62" i="6"/>
  <c r="N55" i="6"/>
  <c r="E46" i="6"/>
  <c r="C46" i="6"/>
  <c r="L46" i="5" s="1"/>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L55" i="5" s="1"/>
  <c r="E55" i="6"/>
  <c r="J55" i="6"/>
  <c r="O55" i="6"/>
  <c r="F55" i="6"/>
  <c r="K55" i="6"/>
  <c r="C47" i="6"/>
  <c r="L47" i="5" s="1"/>
  <c r="G47" i="6"/>
  <c r="I47" i="6"/>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M39" i="12" s="1"/>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P119" i="5" s="1"/>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P48" i="5" s="1"/>
  <c r="C48" i="5"/>
  <c r="K46" i="5"/>
  <c r="N45" i="5"/>
  <c r="O44" i="5"/>
  <c r="C44" i="5"/>
  <c r="K42" i="5"/>
  <c r="N41" i="5"/>
  <c r="O40" i="5"/>
  <c r="C40" i="5"/>
  <c r="K38" i="5"/>
  <c r="N37" i="5"/>
  <c r="O36" i="5"/>
  <c r="C36" i="5"/>
  <c r="K34" i="5"/>
  <c r="N33" i="5"/>
  <c r="O32" i="5"/>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P159" i="5" s="1"/>
  <c r="N155" i="5"/>
  <c r="I150" i="5"/>
  <c r="N143" i="5"/>
  <c r="O137" i="5"/>
  <c r="P137" i="5" s="1"/>
  <c r="C135" i="5"/>
  <c r="I134" i="5"/>
  <c r="N127" i="5"/>
  <c r="O121" i="5"/>
  <c r="C119" i="5"/>
  <c r="I118" i="5"/>
  <c r="N111" i="5"/>
  <c r="P111" i="5" s="1"/>
  <c r="N108" i="5"/>
  <c r="N107" i="5"/>
  <c r="N104" i="5"/>
  <c r="N103" i="5"/>
  <c r="N100" i="5"/>
  <c r="N99" i="5"/>
  <c r="N96" i="5"/>
  <c r="N95" i="5"/>
  <c r="N92" i="5"/>
  <c r="N91" i="5"/>
  <c r="N88" i="5"/>
  <c r="N87" i="5"/>
  <c r="P87" i="5" s="1"/>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G189"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N120" i="2"/>
  <c r="O120" i="2" s="1"/>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E143" i="3" s="1"/>
  <c r="I143" i="3"/>
  <c r="N143" i="3"/>
  <c r="P139" i="3"/>
  <c r="J139" i="3"/>
  <c r="M138" i="3"/>
  <c r="D137" i="3"/>
  <c r="Q137" i="3"/>
  <c r="Q134" i="3"/>
  <c r="L131" i="3"/>
  <c r="P130" i="3"/>
  <c r="N129" i="3"/>
  <c r="M127" i="3"/>
  <c r="B126" i="3"/>
  <c r="C126" i="3"/>
  <c r="O126" i="3"/>
  <c r="O123" i="3"/>
  <c r="M116" i="3"/>
  <c r="D115" i="3"/>
  <c r="O115" i="3"/>
  <c r="G115" i="3"/>
  <c r="E115" i="5" s="1"/>
  <c r="Q115" i="3"/>
  <c r="B114" i="3"/>
  <c r="M114" i="3"/>
  <c r="F114" i="3"/>
  <c r="P114" i="3"/>
  <c r="Q111" i="3"/>
  <c r="D110" i="3"/>
  <c r="N110" i="3"/>
  <c r="F110" i="3"/>
  <c r="Q110" i="3"/>
  <c r="B109" i="3"/>
  <c r="M109" i="3"/>
  <c r="F109" i="3"/>
  <c r="H109" i="3" s="1"/>
  <c r="O109" i="3"/>
  <c r="G107" i="3"/>
  <c r="E107" i="5" s="1"/>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E150" i="5" s="1"/>
  <c r="O150" i="3"/>
  <c r="B139" i="3"/>
  <c r="G139" i="3"/>
  <c r="E139" i="5" s="1"/>
  <c r="M139" i="3"/>
  <c r="Q139" i="3"/>
  <c r="B138" i="3"/>
  <c r="G138" i="3"/>
  <c r="E138" i="5" s="1"/>
  <c r="O138" i="3"/>
  <c r="F136" i="3"/>
  <c r="Q136" i="3"/>
  <c r="B123" i="3"/>
  <c r="G123" i="3"/>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J60" i="2" s="1"/>
  <c r="K60" i="2" s="1"/>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H167" i="3" s="1"/>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F52" i="2" s="1"/>
  <c r="C51" i="2"/>
  <c r="I51" i="2"/>
  <c r="D44" i="2"/>
  <c r="F44" i="2" s="1"/>
  <c r="P44" i="2"/>
  <c r="I42" i="2"/>
  <c r="P40" i="2"/>
  <c r="E40" i="2"/>
  <c r="C32" i="2"/>
  <c r="H32" i="2"/>
  <c r="J32" i="2" s="1"/>
  <c r="K32" i="2" s="1"/>
  <c r="P32" i="2"/>
  <c r="S24" i="2"/>
  <c r="L24" i="2"/>
  <c r="C24" i="2"/>
  <c r="Q13" i="2"/>
  <c r="S12" i="2"/>
  <c r="L12" i="2"/>
  <c r="E12" i="2"/>
  <c r="G12" i="2" s="1"/>
  <c r="Q186" i="3"/>
  <c r="I186" i="3"/>
  <c r="Q185" i="3"/>
  <c r="J184" i="3"/>
  <c r="L181" i="3"/>
  <c r="C179" i="3"/>
  <c r="I179" i="3"/>
  <c r="N179" i="3"/>
  <c r="J176" i="3"/>
  <c r="L173" i="3"/>
  <c r="Q170" i="3"/>
  <c r="I170" i="3"/>
  <c r="Q169" i="3"/>
  <c r="J168" i="3"/>
  <c r="K168" i="3" s="1"/>
  <c r="Q167" i="3"/>
  <c r="L167" i="3"/>
  <c r="C167" i="3"/>
  <c r="M160" i="3"/>
  <c r="B160" i="3"/>
  <c r="N160" i="3"/>
  <c r="M159" i="3"/>
  <c r="F159" i="3"/>
  <c r="H159" i="3" s="1"/>
  <c r="P158" i="3"/>
  <c r="G158" i="3"/>
  <c r="C155" i="3"/>
  <c r="E155" i="3" s="1"/>
  <c r="I155" i="3"/>
  <c r="K155" i="3" s="1"/>
  <c r="N155" i="3"/>
  <c r="L151" i="3"/>
  <c r="D151" i="3"/>
  <c r="P150" i="3"/>
  <c r="D150" i="3"/>
  <c r="M149" i="3"/>
  <c r="D147" i="3"/>
  <c r="E147" i="3" s="1"/>
  <c r="J147" i="3"/>
  <c r="K147" i="3" s="1"/>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E95" i="5" s="1"/>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E60" i="3" s="1"/>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D24" i="3"/>
  <c r="J24" i="3"/>
  <c r="O24" i="3"/>
  <c r="B22" i="3"/>
  <c r="L22" i="3"/>
  <c r="B21" i="3"/>
  <c r="I21" i="3"/>
  <c r="K21" i="3" s="1"/>
  <c r="O21" i="3"/>
  <c r="M20" i="3"/>
  <c r="F20" i="3"/>
  <c r="H20" i="3" s="1"/>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K64" i="3" s="1"/>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H24" i="3" s="1"/>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K20" i="3" s="1"/>
  <c r="O20" i="3"/>
  <c r="L18" i="3"/>
  <c r="D16" i="3"/>
  <c r="J16" i="3"/>
  <c r="O16" i="3"/>
  <c r="I15" i="3"/>
  <c r="C11" i="3"/>
  <c r="L11" i="3"/>
  <c r="B10" i="3"/>
  <c r="J10" i="3"/>
  <c r="K10" i="3" s="1"/>
  <c r="P10" i="3"/>
  <c r="N8" i="3"/>
  <c r="F8" i="3"/>
  <c r="I184" i="7"/>
  <c r="I179" i="7"/>
  <c r="F173" i="7"/>
  <c r="O183" i="7"/>
  <c r="K183" i="7"/>
  <c r="G183" i="7"/>
  <c r="C183" i="7"/>
  <c r="I177" i="7"/>
  <c r="O171" i="7"/>
  <c r="K171" i="7"/>
  <c r="G171" i="7"/>
  <c r="C171" i="7"/>
  <c r="M164" i="7"/>
  <c r="I157" i="7"/>
  <c r="N155" i="7"/>
  <c r="I155" i="7"/>
  <c r="C155" i="7"/>
  <c r="F151" i="7"/>
  <c r="K145" i="7"/>
  <c r="E145" i="7"/>
  <c r="O144" i="7"/>
  <c r="K144" i="7"/>
  <c r="G144" i="7"/>
  <c r="C144" i="7"/>
  <c r="I135" i="7"/>
  <c r="N134" i="7"/>
  <c r="I134" i="7"/>
  <c r="D134" i="7"/>
  <c r="B119" i="7"/>
  <c r="I119" i="7"/>
  <c r="D118" i="7"/>
  <c r="N118" i="7"/>
  <c r="K113" i="7"/>
  <c r="B112" i="7"/>
  <c r="F112" i="7"/>
  <c r="J112" i="7"/>
  <c r="N112" i="7"/>
  <c r="K107" i="7"/>
  <c r="K105" i="7"/>
  <c r="N103" i="7"/>
  <c r="G92" i="7"/>
  <c r="F88" i="7"/>
  <c r="K83" i="7"/>
  <c r="N183" i="7"/>
  <c r="J183" i="7"/>
  <c r="F183" i="7"/>
  <c r="O180" i="7"/>
  <c r="G180" i="7"/>
  <c r="N171" i="7"/>
  <c r="J171" i="7"/>
  <c r="F171" i="7"/>
  <c r="H167" i="7"/>
  <c r="M166" i="7"/>
  <c r="K164" i="7"/>
  <c r="J164" i="12" s="1"/>
  <c r="G157" i="7"/>
  <c r="M155" i="7"/>
  <c r="G155" i="7"/>
  <c r="L152" i="7"/>
  <c r="H152" i="7"/>
  <c r="N151" i="7"/>
  <c r="C151" i="7"/>
  <c r="O145" i="7"/>
  <c r="I145" i="7"/>
  <c r="D145" i="7"/>
  <c r="N144" i="7"/>
  <c r="J144" i="7"/>
  <c r="F144" i="7"/>
  <c r="F135" i="7"/>
  <c r="M134" i="7"/>
  <c r="H134" i="7"/>
  <c r="L132" i="7"/>
  <c r="H132" i="7"/>
  <c r="K119" i="7"/>
  <c r="B114" i="7"/>
  <c r="I114" i="7"/>
  <c r="D113" i="7"/>
  <c r="I113" i="7"/>
  <c r="O113" i="7"/>
  <c r="E107" i="7"/>
  <c r="J107" i="7"/>
  <c r="O107" i="7"/>
  <c r="F107" i="7"/>
  <c r="M107" i="7"/>
  <c r="G105" i="7"/>
  <c r="F103" i="7"/>
  <c r="M92" i="7"/>
  <c r="M88" i="7"/>
  <c r="D82" i="7"/>
  <c r="E166" i="7"/>
  <c r="O157" i="7"/>
  <c r="D157" i="7"/>
  <c r="M145" i="7"/>
  <c r="H145" i="7"/>
  <c r="N135" i="7"/>
  <c r="C135" i="7"/>
  <c r="N130" i="7"/>
  <c r="G117" i="7"/>
  <c r="C101" i="7"/>
  <c r="G101" i="7"/>
  <c r="L101" i="7"/>
  <c r="B92" i="7"/>
  <c r="F92" i="7"/>
  <c r="J92" i="7"/>
  <c r="N92" i="7"/>
  <c r="D92" i="7"/>
  <c r="I92" i="7"/>
  <c r="O92" i="7"/>
  <c r="E92" i="7"/>
  <c r="K92" i="7"/>
  <c r="D88" i="7"/>
  <c r="H88" i="7"/>
  <c r="L88" i="7"/>
  <c r="C88" i="7"/>
  <c r="I88" i="7"/>
  <c r="N88" i="7"/>
  <c r="E88" i="7"/>
  <c r="J88" i="7"/>
  <c r="O88" i="7"/>
  <c r="E105" i="7"/>
  <c r="L105" i="7"/>
  <c r="H105" i="7"/>
  <c r="B103" i="7"/>
  <c r="I103" i="7"/>
  <c r="K103" i="7"/>
  <c r="H92" i="7"/>
  <c r="G88" i="7"/>
  <c r="F83" i="7"/>
  <c r="M83" i="7"/>
  <c r="E83" i="7"/>
  <c r="O83" i="7"/>
  <c r="G83" i="7"/>
  <c r="L80" i="7"/>
  <c r="E80" i="7"/>
  <c r="O80" i="7"/>
  <c r="B96" i="7"/>
  <c r="F96" i="7"/>
  <c r="J96" i="7"/>
  <c r="N96" i="7"/>
  <c r="C93" i="7"/>
  <c r="G93" i="7"/>
  <c r="M91"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I98" i="7"/>
  <c r="D97" i="7"/>
  <c r="K96" i="7"/>
  <c r="E96" i="7"/>
  <c r="L93" i="7"/>
  <c r="F91" i="7"/>
  <c r="E7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89" i="6"/>
  <c r="O190" i="12" s="1"/>
  <c r="B189" i="6"/>
  <c r="F189" i="6"/>
  <c r="J189" i="6"/>
  <c r="N189" i="6"/>
  <c r="D64" i="7"/>
  <c r="H64" i="7"/>
  <c r="L64" i="7"/>
  <c r="B64" i="7"/>
  <c r="F64" i="7"/>
  <c r="J64" i="7"/>
  <c r="N64" i="7"/>
  <c r="B60" i="7"/>
  <c r="K24" i="7"/>
  <c r="D24" i="7"/>
  <c r="C19" i="7"/>
  <c r="I19" i="7"/>
  <c r="M19" i="7"/>
  <c r="E19" i="7"/>
  <c r="D184" i="6"/>
  <c r="E184" i="6"/>
  <c r="M184" i="6"/>
  <c r="G184" i="6"/>
  <c r="O184" i="6"/>
  <c r="C184" i="6"/>
  <c r="K184" i="6"/>
  <c r="B74" i="7"/>
  <c r="L74" i="7"/>
  <c r="G69" i="7"/>
  <c r="F67" i="7"/>
  <c r="M67" i="7"/>
  <c r="B67" i="7"/>
  <c r="J67" i="7"/>
  <c r="O64" i="7"/>
  <c r="G64" i="7"/>
  <c r="C53" i="7"/>
  <c r="G53" i="7"/>
  <c r="J51" i="7"/>
  <c r="M51" i="7"/>
  <c r="G11" i="7"/>
  <c r="D188" i="6"/>
  <c r="E188" i="6"/>
  <c r="M188" i="6"/>
  <c r="G188" i="6"/>
  <c r="O188" i="6"/>
  <c r="C188" i="6"/>
  <c r="K188" i="6"/>
  <c r="I65" i="7"/>
  <c r="L46" i="7"/>
  <c r="L42" i="7"/>
  <c r="L41" i="7"/>
  <c r="K35" i="7"/>
  <c r="F31" i="7"/>
  <c r="L30" i="7"/>
  <c r="L25" i="7"/>
  <c r="N22" i="7"/>
  <c r="I22" i="7"/>
  <c r="D22" i="7"/>
  <c r="M21" i="7"/>
  <c r="N14" i="7"/>
  <c r="I14" i="7"/>
  <c r="D14" i="7"/>
  <c r="M13" i="7"/>
  <c r="K8" i="7"/>
  <c r="M7" i="7"/>
  <c r="E7" i="7"/>
  <c r="J179" i="6"/>
  <c r="E179" i="6"/>
  <c r="I178" i="6"/>
  <c r="M178" i="12" s="1"/>
  <c r="J175" i="6"/>
  <c r="E175" i="6"/>
  <c r="L173" i="6"/>
  <c r="H173" i="6"/>
  <c r="D173" i="6"/>
  <c r="O172" i="6"/>
  <c r="G172" i="6"/>
  <c r="N171" i="6"/>
  <c r="I171" i="6"/>
  <c r="Q171" i="12" s="1"/>
  <c r="L169" i="6"/>
  <c r="H169" i="6"/>
  <c r="D169" i="6"/>
  <c r="O168" i="6"/>
  <c r="G168" i="6"/>
  <c r="N167" i="6"/>
  <c r="I167" i="6"/>
  <c r="O165" i="6"/>
  <c r="K165" i="6"/>
  <c r="R165" i="12" s="1"/>
  <c r="G165" i="6"/>
  <c r="M164" i="6"/>
  <c r="E164" i="6"/>
  <c r="M163" i="6"/>
  <c r="H163" i="6"/>
  <c r="B163" i="6"/>
  <c r="O161" i="6"/>
  <c r="K161" i="6"/>
  <c r="G161" i="6"/>
  <c r="M160" i="6"/>
  <c r="E160" i="6"/>
  <c r="M159" i="6"/>
  <c r="H159" i="6"/>
  <c r="B159" i="6"/>
  <c r="N157" i="6"/>
  <c r="J157" i="6"/>
  <c r="F157" i="6"/>
  <c r="B157" i="6"/>
  <c r="K156" i="6"/>
  <c r="C156" i="6"/>
  <c r="L156" i="5" s="1"/>
  <c r="N153" i="6"/>
  <c r="J153" i="6"/>
  <c r="F153" i="6"/>
  <c r="B153" i="6"/>
  <c r="K152" i="6"/>
  <c r="N152" i="12" s="1"/>
  <c r="C152" i="6"/>
  <c r="L152" i="5" s="1"/>
  <c r="J147" i="6"/>
  <c r="E147" i="6"/>
  <c r="I146" i="6"/>
  <c r="O144" i="6"/>
  <c r="I144" i="6"/>
  <c r="N143" i="6"/>
  <c r="J143" i="6"/>
  <c r="F143" i="6"/>
  <c r="B143" i="6"/>
  <c r="I142" i="6"/>
  <c r="M141" i="6"/>
  <c r="F141" i="6"/>
  <c r="L139" i="6"/>
  <c r="O139" i="12" s="1"/>
  <c r="H139" i="6"/>
  <c r="P139" i="12" s="1"/>
  <c r="D139" i="6"/>
  <c r="O138" i="6"/>
  <c r="J138" i="6"/>
  <c r="E138" i="6"/>
  <c r="N137" i="6"/>
  <c r="D137" i="6"/>
  <c r="K136" i="6"/>
  <c r="C136" i="6"/>
  <c r="M133" i="6"/>
  <c r="H133" i="6"/>
  <c r="B133" i="6"/>
  <c r="I132" i="6"/>
  <c r="O131" i="6"/>
  <c r="K131" i="6"/>
  <c r="R131" i="12" s="1"/>
  <c r="G131" i="6"/>
  <c r="M130" i="6"/>
  <c r="F130" i="6"/>
  <c r="F129" i="6"/>
  <c r="L128" i="6"/>
  <c r="O128" i="12" s="1"/>
  <c r="M127" i="6"/>
  <c r="H127" i="6"/>
  <c r="P127" i="12" s="1"/>
  <c r="F125" i="6"/>
  <c r="M125" i="6"/>
  <c r="M123" i="6"/>
  <c r="G123" i="6"/>
  <c r="K122" i="6"/>
  <c r="R122" i="12" s="1"/>
  <c r="C120" i="6"/>
  <c r="K120" i="6"/>
  <c r="N120" i="12" s="1"/>
  <c r="J117" i="6"/>
  <c r="M115" i="6"/>
  <c r="H115" i="6"/>
  <c r="F114" i="6"/>
  <c r="M114" i="6"/>
  <c r="D111" i="6"/>
  <c r="H111" i="6"/>
  <c r="P111" i="12" s="1"/>
  <c r="L111" i="6"/>
  <c r="B110" i="6"/>
  <c r="C110" i="6"/>
  <c r="L110" i="5" s="1"/>
  <c r="N110" i="6"/>
  <c r="K107" i="6"/>
  <c r="S107" i="12" s="1"/>
  <c r="E107" i="6"/>
  <c r="J105" i="6"/>
  <c r="I104" i="6"/>
  <c r="Q104" i="12" s="1"/>
  <c r="O103" i="6"/>
  <c r="I103" i="6"/>
  <c r="M103" i="12" s="1"/>
  <c r="C100" i="6"/>
  <c r="L100" i="5" s="1"/>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L67" i="6"/>
  <c r="O67" i="12" s="1"/>
  <c r="B67" i="6"/>
  <c r="F67" i="6"/>
  <c r="J67" i="6"/>
  <c r="N67" i="6"/>
  <c r="O63" i="6"/>
  <c r="G63" i="6"/>
  <c r="N62" i="6"/>
  <c r="D61" i="6"/>
  <c r="N61" i="6"/>
  <c r="I61" i="6"/>
  <c r="Q61" i="12" s="1"/>
  <c r="C60" i="6"/>
  <c r="K60" i="6"/>
  <c r="S60" i="12" s="1"/>
  <c r="G60" i="6"/>
  <c r="M60" i="6"/>
  <c r="I57" i="6"/>
  <c r="M57" i="12" s="1"/>
  <c r="O54" i="6"/>
  <c r="B127" i="6"/>
  <c r="F127" i="6"/>
  <c r="J127" i="6"/>
  <c r="N127" i="6"/>
  <c r="D123" i="6"/>
  <c r="H123" i="6"/>
  <c r="P123" i="12" s="1"/>
  <c r="L123" i="6"/>
  <c r="B117" i="6"/>
  <c r="H117" i="6"/>
  <c r="M117" i="6"/>
  <c r="C115" i="6"/>
  <c r="G115" i="6"/>
  <c r="K115" i="6"/>
  <c r="R115" i="12" s="1"/>
  <c r="O115" i="6"/>
  <c r="D105" i="6"/>
  <c r="I105" i="6"/>
  <c r="M105" i="12" s="1"/>
  <c r="N105" i="6"/>
  <c r="C102" i="6"/>
  <c r="L102" i="5" s="1"/>
  <c r="E102" i="6"/>
  <c r="B91" i="6"/>
  <c r="F91" i="6"/>
  <c r="J91" i="6"/>
  <c r="N91" i="6"/>
  <c r="E88" i="6"/>
  <c r="M88" i="6"/>
  <c r="D79" i="6"/>
  <c r="H79" i="6"/>
  <c r="L79" i="6"/>
  <c r="B79" i="6"/>
  <c r="F79" i="6"/>
  <c r="J79" i="6"/>
  <c r="N79" i="6"/>
  <c r="B65" i="6"/>
  <c r="J65" i="6"/>
  <c r="F65" i="6"/>
  <c r="M65" i="6"/>
  <c r="E62" i="6"/>
  <c r="J62" i="6"/>
  <c r="O62" i="6"/>
  <c r="B62" i="6"/>
  <c r="G62" i="6"/>
  <c r="M62" i="6"/>
  <c r="D53" i="6"/>
  <c r="N53" i="6"/>
  <c r="L53" i="6"/>
  <c r="O53" i="12" s="1"/>
  <c r="F53" i="6"/>
  <c r="I23" i="7"/>
  <c r="M179" i="6"/>
  <c r="H179" i="6"/>
  <c r="B179" i="6"/>
  <c r="M175" i="6"/>
  <c r="H175" i="6"/>
  <c r="B175" i="6"/>
  <c r="N173" i="6"/>
  <c r="J173" i="6"/>
  <c r="F173" i="6"/>
  <c r="K172" i="6"/>
  <c r="C172" i="6"/>
  <c r="N169" i="6"/>
  <c r="J169" i="6"/>
  <c r="F169" i="6"/>
  <c r="K168" i="6"/>
  <c r="C168" i="6"/>
  <c r="J163" i="6"/>
  <c r="E232" i="2" s="1"/>
  <c r="E163" i="6"/>
  <c r="I162" i="6"/>
  <c r="J159" i="6"/>
  <c r="E159" i="6"/>
  <c r="L157" i="6"/>
  <c r="O157" i="12" s="1"/>
  <c r="H157" i="6"/>
  <c r="P157" i="12" s="1"/>
  <c r="D157" i="6"/>
  <c r="O156" i="6"/>
  <c r="G156" i="6"/>
  <c r="L153" i="6"/>
  <c r="O153" i="12" s="1"/>
  <c r="H153" i="6"/>
  <c r="P153" i="12" s="1"/>
  <c r="D153" i="6"/>
  <c r="O152" i="6"/>
  <c r="G152" i="6"/>
  <c r="M147" i="6"/>
  <c r="H147" i="6"/>
  <c r="L143" i="6"/>
  <c r="O143" i="12" s="1"/>
  <c r="H143" i="6"/>
  <c r="P143" i="12" s="1"/>
  <c r="D143" i="6"/>
  <c r="N142" i="6"/>
  <c r="C142" i="6"/>
  <c r="L142" i="5" s="1"/>
  <c r="J141" i="6"/>
  <c r="N139" i="6"/>
  <c r="J139" i="6"/>
  <c r="F139" i="6"/>
  <c r="M138" i="6"/>
  <c r="G138" i="6"/>
  <c r="I137" i="6"/>
  <c r="M136" i="6"/>
  <c r="G136" i="6"/>
  <c r="J133" i="6"/>
  <c r="E133" i="6"/>
  <c r="O132" i="6"/>
  <c r="D132" i="6"/>
  <c r="J130" i="6"/>
  <c r="D128" i="6"/>
  <c r="I128" i="6"/>
  <c r="Q128" i="12" s="1"/>
  <c r="K127" i="6"/>
  <c r="E127" i="6"/>
  <c r="B126" i="6"/>
  <c r="I126" i="6"/>
  <c r="C11" i="28" s="1"/>
  <c r="O123" i="6"/>
  <c r="J123" i="6"/>
  <c r="E123" i="6"/>
  <c r="E122" i="6"/>
  <c r="J122" i="6"/>
  <c r="O122" i="6"/>
  <c r="B121" i="6"/>
  <c r="D121" i="6"/>
  <c r="N121" i="6"/>
  <c r="N117" i="6"/>
  <c r="F117" i="6"/>
  <c r="C116" i="6"/>
  <c r="L116" i="5" s="1"/>
  <c r="I116" i="6"/>
  <c r="Q116" i="12" s="1"/>
  <c r="J115" i="6"/>
  <c r="E115" i="6"/>
  <c r="M107" i="6"/>
  <c r="H107" i="6"/>
  <c r="L107" i="12" s="1"/>
  <c r="M105" i="6"/>
  <c r="F105" i="6"/>
  <c r="O104" i="6"/>
  <c r="B103" i="6"/>
  <c r="F103" i="6"/>
  <c r="J103" i="6"/>
  <c r="N103" i="6"/>
  <c r="K100" i="6"/>
  <c r="R100" i="12" s="1"/>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N157" i="12" s="1"/>
  <c r="G157" i="6"/>
  <c r="M156" i="6"/>
  <c r="E156" i="6"/>
  <c r="O153" i="6"/>
  <c r="K153" i="6"/>
  <c r="G153" i="6"/>
  <c r="M152" i="6"/>
  <c r="E152" i="6"/>
  <c r="O143" i="6"/>
  <c r="K143" i="6"/>
  <c r="R143" i="12" s="1"/>
  <c r="G143" i="6"/>
  <c r="F137" i="6"/>
  <c r="L136" i="6"/>
  <c r="N133" i="6"/>
  <c r="I133" i="6"/>
  <c r="O127" i="6"/>
  <c r="I127" i="6"/>
  <c r="D127" i="6"/>
  <c r="N123" i="6"/>
  <c r="I123" i="6"/>
  <c r="Q123" i="12" s="1"/>
  <c r="C123" i="6"/>
  <c r="L117" i="6"/>
  <c r="O117" i="12" s="1"/>
  <c r="E117" i="6"/>
  <c r="N115" i="6"/>
  <c r="I115" i="6"/>
  <c r="D115" i="6"/>
  <c r="B107" i="6"/>
  <c r="F107" i="6"/>
  <c r="J107" i="6"/>
  <c r="N107" i="6"/>
  <c r="L105" i="6"/>
  <c r="O105" i="12" s="1"/>
  <c r="E105" i="6"/>
  <c r="E104" i="6"/>
  <c r="M104" i="6"/>
  <c r="M102" i="6"/>
  <c r="I100" i="6"/>
  <c r="M100" i="12" s="1"/>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P55" i="12" s="1"/>
  <c r="D55" i="6"/>
  <c r="D51" i="6"/>
  <c r="H51" i="6"/>
  <c r="P51" i="12" s="1"/>
  <c r="L51" i="6"/>
  <c r="O51" i="12" s="1"/>
  <c r="C50" i="6"/>
  <c r="L50" i="5" s="1"/>
  <c r="N50" i="6"/>
  <c r="L48" i="6"/>
  <c r="M47" i="6"/>
  <c r="H47" i="6"/>
  <c r="K46" i="6"/>
  <c r="S46" i="12" s="1"/>
  <c r="M43" i="6"/>
  <c r="G43" i="6"/>
  <c r="M39" i="6"/>
  <c r="H39" i="6"/>
  <c r="L39" i="12" s="1"/>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N47" i="12" s="1"/>
  <c r="E47" i="6"/>
  <c r="B46" i="6"/>
  <c r="G46" i="6"/>
  <c r="M46" i="6"/>
  <c r="O43" i="6"/>
  <c r="J43" i="6"/>
  <c r="E43" i="6"/>
  <c r="K42" i="6"/>
  <c r="N42" i="12" s="1"/>
  <c r="K39" i="6"/>
  <c r="S39" i="12" s="1"/>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M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O33" i="12" s="1"/>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H92" i="3"/>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P163" i="5"/>
  <c r="K146" i="5"/>
  <c r="K142" i="5"/>
  <c r="P139" i="5"/>
  <c r="K138" i="5"/>
  <c r="K134" i="5"/>
  <c r="K130" i="5"/>
  <c r="K126" i="5"/>
  <c r="K122" i="5"/>
  <c r="K118" i="5"/>
  <c r="K114" i="5"/>
  <c r="K110" i="5"/>
  <c r="O108" i="5"/>
  <c r="C108" i="5"/>
  <c r="P107" i="5"/>
  <c r="K106" i="5"/>
  <c r="O104" i="5"/>
  <c r="C104" i="5"/>
  <c r="K102" i="5"/>
  <c r="O100" i="5"/>
  <c r="C100" i="5"/>
  <c r="K98" i="5"/>
  <c r="O96" i="5"/>
  <c r="C96" i="5"/>
  <c r="K94" i="5"/>
  <c r="O92" i="5"/>
  <c r="C92" i="5"/>
  <c r="K90" i="5"/>
  <c r="O88" i="5"/>
  <c r="C88" i="5"/>
  <c r="K86" i="5"/>
  <c r="O84" i="5"/>
  <c r="C84" i="5"/>
  <c r="K82" i="5"/>
  <c r="O80" i="5"/>
  <c r="C80" i="5"/>
  <c r="K78" i="5"/>
  <c r="O76" i="5"/>
  <c r="C76" i="5"/>
  <c r="K74" i="5"/>
  <c r="O72" i="5"/>
  <c r="P72" i="5" s="1"/>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H36" i="3"/>
  <c r="P149" i="5"/>
  <c r="O146" i="5"/>
  <c r="O142" i="5"/>
  <c r="O138" i="5"/>
  <c r="O134" i="5"/>
  <c r="P134" i="5" s="1"/>
  <c r="O130" i="5"/>
  <c r="P130" i="5" s="1"/>
  <c r="O126" i="5"/>
  <c r="P126" i="5" s="1"/>
  <c r="P125" i="5"/>
  <c r="O122" i="5"/>
  <c r="O118" i="5"/>
  <c r="O114" i="5"/>
  <c r="O110" i="5"/>
  <c r="K108" i="5"/>
  <c r="O106" i="5"/>
  <c r="K104" i="5"/>
  <c r="O102" i="5"/>
  <c r="K100" i="5"/>
  <c r="O98" i="5"/>
  <c r="P98" i="5" s="1"/>
  <c r="K96" i="5"/>
  <c r="O94" i="5"/>
  <c r="P93" i="5"/>
  <c r="K92" i="5"/>
  <c r="O90" i="5"/>
  <c r="P90" i="5" s="1"/>
  <c r="K88" i="5"/>
  <c r="O86" i="5"/>
  <c r="P86" i="5" s="1"/>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G12" i="14"/>
  <c r="G8"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H150" i="2"/>
  <c r="J150" i="2" s="1"/>
  <c r="K150" i="2" s="1"/>
  <c r="L150" i="2"/>
  <c r="P150" i="2"/>
  <c r="B150" i="2"/>
  <c r="M150" i="2"/>
  <c r="R150" i="2"/>
  <c r="E150" i="2"/>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N50" i="2" s="1"/>
  <c r="O50" i="2" s="1"/>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J180" i="2" s="1"/>
  <c r="K180" i="2" s="1"/>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N145" i="2" s="1"/>
  <c r="O145" i="2" s="1"/>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J67" i="2" s="1"/>
  <c r="K67" i="2" s="1"/>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C148" i="2"/>
  <c r="F148" i="2" s="1"/>
  <c r="H148" i="2"/>
  <c r="M148" i="2"/>
  <c r="N148" i="2" s="1"/>
  <c r="O148" i="2" s="1"/>
  <c r="S148" i="2"/>
  <c r="E148" i="2"/>
  <c r="G148" i="2" s="1"/>
  <c r="P148" i="2"/>
  <c r="D146" i="2"/>
  <c r="H146" i="2"/>
  <c r="L146" i="2"/>
  <c r="P146" i="2"/>
  <c r="E146" i="2"/>
  <c r="B146" i="2"/>
  <c r="M146" i="2"/>
  <c r="R146" i="2"/>
  <c r="C142" i="2"/>
  <c r="S142" i="2"/>
  <c r="E142" i="2"/>
  <c r="P142" i="2"/>
  <c r="B142" i="2"/>
  <c r="H142" i="2"/>
  <c r="M142" i="2"/>
  <c r="N142" i="2" s="1"/>
  <c r="O142" i="2" s="1"/>
  <c r="R142" i="2"/>
  <c r="C134" i="2"/>
  <c r="S134" i="2"/>
  <c r="E134" i="2"/>
  <c r="P134" i="2"/>
  <c r="B134" i="2"/>
  <c r="H134" i="2"/>
  <c r="M134" i="2"/>
  <c r="N134" i="2" s="1"/>
  <c r="O134" i="2" s="1"/>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N94" i="2" s="1"/>
  <c r="O94" i="2" s="1"/>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N62" i="2" s="1"/>
  <c r="O62" i="2" s="1"/>
  <c r="R62" i="2"/>
  <c r="C54" i="2"/>
  <c r="F54" i="2" s="1"/>
  <c r="S54" i="2"/>
  <c r="E54" i="2"/>
  <c r="G54" i="2" s="1"/>
  <c r="P54" i="2"/>
  <c r="B54" i="2"/>
  <c r="H54" i="2"/>
  <c r="M54" i="2"/>
  <c r="R54" i="2"/>
  <c r="C46" i="2"/>
  <c r="F46" i="2" s="1"/>
  <c r="S46" i="2"/>
  <c r="E46" i="2"/>
  <c r="G46" i="2" s="1"/>
  <c r="P46" i="2"/>
  <c r="B46" i="2"/>
  <c r="H46" i="2"/>
  <c r="M46" i="2"/>
  <c r="N46" i="2" s="1"/>
  <c r="O46" i="2" s="1"/>
  <c r="R46" i="2"/>
  <c r="C38" i="2"/>
  <c r="S38" i="2"/>
  <c r="E38" i="2"/>
  <c r="P38" i="2"/>
  <c r="B38" i="2"/>
  <c r="H38" i="2"/>
  <c r="M38" i="2"/>
  <c r="R38" i="2"/>
  <c r="C30" i="2"/>
  <c r="S30" i="2"/>
  <c r="E30" i="2"/>
  <c r="P30" i="2"/>
  <c r="B30" i="2"/>
  <c r="H30" i="2"/>
  <c r="M30" i="2"/>
  <c r="N30" i="2" s="1"/>
  <c r="O30" i="2" s="1"/>
  <c r="R30" i="2"/>
  <c r="C14" i="2"/>
  <c r="S14" i="2"/>
  <c r="D14" i="2"/>
  <c r="I14" i="2"/>
  <c r="E14" i="2"/>
  <c r="P14" i="2"/>
  <c r="B14" i="2"/>
  <c r="H14" i="2"/>
  <c r="M14" i="2"/>
  <c r="N14" i="2" s="1"/>
  <c r="O14" i="2" s="1"/>
  <c r="R14" i="2"/>
  <c r="I170" i="2"/>
  <c r="Q192" i="2"/>
  <c r="I192" i="2"/>
  <c r="D190" i="2"/>
  <c r="H190" i="2"/>
  <c r="J190" i="2" s="1"/>
  <c r="K190" i="2" s="1"/>
  <c r="L190" i="2"/>
  <c r="N190" i="2" s="1"/>
  <c r="O190" i="2" s="1"/>
  <c r="P190" i="2"/>
  <c r="B190" i="2"/>
  <c r="R190" i="2"/>
  <c r="M188" i="2"/>
  <c r="E188" i="2"/>
  <c r="M186" i="2"/>
  <c r="E186" i="2"/>
  <c r="B184" i="2"/>
  <c r="R184" i="2"/>
  <c r="D184" i="2"/>
  <c r="H184" i="2"/>
  <c r="L184" i="2"/>
  <c r="N184" i="2" s="1"/>
  <c r="O184" i="2" s="1"/>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D3" i="21" s="1"/>
  <c r="B149" i="2"/>
  <c r="H149" i="2"/>
  <c r="J149" i="2" s="1"/>
  <c r="K149" i="2" s="1"/>
  <c r="M149" i="2"/>
  <c r="R149" i="2"/>
  <c r="E3" i="21" s="1"/>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N113" i="2" s="1"/>
  <c r="O113" i="2" s="1"/>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J55" i="2" s="1"/>
  <c r="K55" i="2" s="1"/>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N33" i="2" s="1"/>
  <c r="O33" i="2" s="1"/>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K184" i="3"/>
  <c r="D184" i="3"/>
  <c r="L184" i="3"/>
  <c r="P184" i="3"/>
  <c r="C184" i="3"/>
  <c r="G184" i="3"/>
  <c r="O184" i="3"/>
  <c r="C181" i="3"/>
  <c r="G181" i="3"/>
  <c r="O181" i="3"/>
  <c r="B181" i="3"/>
  <c r="F181" i="3"/>
  <c r="J181" i="3"/>
  <c r="K181" i="3" s="1"/>
  <c r="N181" i="3"/>
  <c r="J180" i="3"/>
  <c r="K180" i="3" s="1"/>
  <c r="L177" i="3"/>
  <c r="N172" i="3"/>
  <c r="F172" i="3"/>
  <c r="P169" i="3"/>
  <c r="D168" i="3"/>
  <c r="L168" i="3"/>
  <c r="P168" i="3"/>
  <c r="C168" i="3"/>
  <c r="G168" i="3"/>
  <c r="O168" i="3"/>
  <c r="C165" i="3"/>
  <c r="E165" i="3" s="1"/>
  <c r="G165" i="3"/>
  <c r="O165" i="3"/>
  <c r="B165" i="3"/>
  <c r="F165" i="3"/>
  <c r="J165" i="3"/>
  <c r="K165" i="3" s="1"/>
  <c r="N165" i="3"/>
  <c r="J164" i="3"/>
  <c r="L161" i="3"/>
  <c r="N156" i="3"/>
  <c r="F156" i="3"/>
  <c r="P153" i="3"/>
  <c r="D152" i="3"/>
  <c r="L152" i="3"/>
  <c r="P152" i="3"/>
  <c r="C152" i="3"/>
  <c r="G152" i="3"/>
  <c r="O152" i="3"/>
  <c r="C149" i="3"/>
  <c r="E149" i="3" s="1"/>
  <c r="G149" i="3"/>
  <c r="E149" i="5" s="1"/>
  <c r="O149" i="3"/>
  <c r="B149" i="3"/>
  <c r="F149" i="3"/>
  <c r="J149" i="3"/>
  <c r="N149" i="3"/>
  <c r="J148" i="3"/>
  <c r="L145" i="3"/>
  <c r="N140" i="3"/>
  <c r="F140" i="3"/>
  <c r="P137" i="3"/>
  <c r="D136" i="3"/>
  <c r="L136" i="3"/>
  <c r="P136" i="3"/>
  <c r="C136" i="3"/>
  <c r="G136" i="3"/>
  <c r="O136" i="3"/>
  <c r="C133" i="3"/>
  <c r="G133" i="3"/>
  <c r="E133" i="5" s="1"/>
  <c r="O133" i="3"/>
  <c r="B133" i="3"/>
  <c r="F133" i="3"/>
  <c r="J133" i="3"/>
  <c r="K133" i="3" s="1"/>
  <c r="N133" i="3"/>
  <c r="J132" i="3"/>
  <c r="K132" i="3" s="1"/>
  <c r="D124" i="3"/>
  <c r="L124" i="3"/>
  <c r="P124" i="3"/>
  <c r="B124" i="3"/>
  <c r="F124" i="3"/>
  <c r="J124" i="3"/>
  <c r="N124" i="3"/>
  <c r="C124" i="3"/>
  <c r="G124" i="3"/>
  <c r="E124" i="5" s="1"/>
  <c r="O124" i="3"/>
  <c r="Q113" i="3"/>
  <c r="Q107" i="3"/>
  <c r="Q97" i="3"/>
  <c r="D180" i="3"/>
  <c r="L180" i="3"/>
  <c r="P180" i="3"/>
  <c r="C180" i="3"/>
  <c r="G180" i="3"/>
  <c r="O180" i="3"/>
  <c r="C177" i="3"/>
  <c r="E177" i="3" s="1"/>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K145" i="3" s="1"/>
  <c r="N145" i="3"/>
  <c r="D132" i="3"/>
  <c r="L132" i="3"/>
  <c r="P132" i="3"/>
  <c r="C132" i="3"/>
  <c r="G132" i="3"/>
  <c r="E132" i="5" s="1"/>
  <c r="O132" i="3"/>
  <c r="B8" i="28" s="1"/>
  <c r="D128" i="3"/>
  <c r="L128" i="3"/>
  <c r="P128" i="3"/>
  <c r="B128" i="3"/>
  <c r="F128" i="3"/>
  <c r="J128" i="3"/>
  <c r="N128" i="3"/>
  <c r="C128" i="3"/>
  <c r="G128" i="3"/>
  <c r="E128" i="5" s="1"/>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I6" i="3"/>
  <c r="L6" i="3"/>
  <c r="F6" i="3"/>
  <c r="D188" i="3"/>
  <c r="L188" i="3"/>
  <c r="P188" i="3"/>
  <c r="L185" i="3"/>
  <c r="M184" i="3"/>
  <c r="N180" i="3"/>
  <c r="F180" i="3"/>
  <c r="P177" i="3"/>
  <c r="D176" i="3"/>
  <c r="L176" i="3"/>
  <c r="P176" i="3"/>
  <c r="C176" i="3"/>
  <c r="G176" i="3"/>
  <c r="O176" i="3"/>
  <c r="C173" i="3"/>
  <c r="G173" i="3"/>
  <c r="O173" i="3"/>
  <c r="B173" i="3"/>
  <c r="F173" i="3"/>
  <c r="J173" i="3"/>
  <c r="N173" i="3"/>
  <c r="J172" i="3"/>
  <c r="H171" i="3"/>
  <c r="L169" i="3"/>
  <c r="M168" i="3"/>
  <c r="N164" i="3"/>
  <c r="F164" i="3"/>
  <c r="P161" i="3"/>
  <c r="D160" i="3"/>
  <c r="L160" i="3"/>
  <c r="P160" i="3"/>
  <c r="C160" i="3"/>
  <c r="G160" i="3"/>
  <c r="O160" i="3"/>
  <c r="C157" i="3"/>
  <c r="E157" i="3" s="1"/>
  <c r="G157" i="3"/>
  <c r="E157" i="5" s="1"/>
  <c r="O157" i="3"/>
  <c r="B157" i="3"/>
  <c r="F157" i="3"/>
  <c r="J157" i="3"/>
  <c r="K157" i="3" s="1"/>
  <c r="N157" i="3"/>
  <c r="J156" i="3"/>
  <c r="K156" i="3" s="1"/>
  <c r="L153" i="3"/>
  <c r="M152" i="3"/>
  <c r="N148" i="3"/>
  <c r="F148" i="3"/>
  <c r="P145" i="3"/>
  <c r="D144" i="3"/>
  <c r="L144" i="3"/>
  <c r="P144" i="3"/>
  <c r="C144" i="3"/>
  <c r="G144" i="3"/>
  <c r="O144" i="3"/>
  <c r="C141" i="3"/>
  <c r="G141" i="3"/>
  <c r="E141" i="5" s="1"/>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E110" i="3" s="1"/>
  <c r="G110" i="3"/>
  <c r="H110" i="3" s="1"/>
  <c r="O110" i="3"/>
  <c r="D105" i="3"/>
  <c r="L105" i="3"/>
  <c r="P105" i="3"/>
  <c r="B99" i="3"/>
  <c r="F99" i="3"/>
  <c r="J99" i="3"/>
  <c r="K99" i="3" s="1"/>
  <c r="N99" i="3"/>
  <c r="C94" i="3"/>
  <c r="E94" i="3" s="1"/>
  <c r="G94" i="3"/>
  <c r="H94" i="3" s="1"/>
  <c r="O94" i="3"/>
  <c r="O91" i="3"/>
  <c r="I91" i="3"/>
  <c r="D91" i="3"/>
  <c r="E91" i="3" s="1"/>
  <c r="D89" i="3"/>
  <c r="E89" i="3" s="1"/>
  <c r="L89" i="3"/>
  <c r="P89" i="3"/>
  <c r="N86" i="3"/>
  <c r="I86" i="3"/>
  <c r="D86" i="3"/>
  <c r="B83" i="3"/>
  <c r="F83" i="3"/>
  <c r="J83" i="3"/>
  <c r="N83" i="3"/>
  <c r="N81" i="3"/>
  <c r="I81" i="3"/>
  <c r="C81" i="3"/>
  <c r="C78" i="3"/>
  <c r="G78" i="3"/>
  <c r="O78" i="3"/>
  <c r="O75" i="3"/>
  <c r="I75" i="3"/>
  <c r="D75" i="3"/>
  <c r="D73" i="3"/>
  <c r="E73" i="3" s="1"/>
  <c r="L73" i="3"/>
  <c r="P73" i="3"/>
  <c r="N70" i="3"/>
  <c r="I70" i="3"/>
  <c r="D70" i="3"/>
  <c r="B67" i="3"/>
  <c r="F67" i="3"/>
  <c r="H67" i="3" s="1"/>
  <c r="J67" i="3"/>
  <c r="N67" i="3"/>
  <c r="N65" i="3"/>
  <c r="I65" i="3"/>
  <c r="C65" i="3"/>
  <c r="C62" i="3"/>
  <c r="G62" i="3"/>
  <c r="O62" i="3"/>
  <c r="O59" i="3"/>
  <c r="I59" i="3"/>
  <c r="D59" i="3"/>
  <c r="E59" i="3" s="1"/>
  <c r="D57" i="3"/>
  <c r="E57" i="3" s="1"/>
  <c r="L57" i="3"/>
  <c r="P57" i="3"/>
  <c r="N54" i="3"/>
  <c r="I54" i="3"/>
  <c r="D54" i="3"/>
  <c r="B51" i="3"/>
  <c r="F51" i="3"/>
  <c r="H51" i="3" s="1"/>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E30" i="3" s="1"/>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L60" i="5"/>
  <c r="D59" i="5"/>
  <c r="H59" i="5"/>
  <c r="D58" i="5"/>
  <c r="H58" i="5"/>
  <c r="D57" i="5"/>
  <c r="H57" i="5"/>
  <c r="D56" i="5"/>
  <c r="H56" i="5"/>
  <c r="D55" i="5"/>
  <c r="H55" i="5"/>
  <c r="D54" i="5"/>
  <c r="H54" i="5"/>
  <c r="D53" i="5"/>
  <c r="H53" i="5"/>
  <c r="D52" i="5"/>
  <c r="H52" i="5"/>
  <c r="D51" i="5"/>
  <c r="H51" i="5"/>
  <c r="D50" i="5"/>
  <c r="H50" i="5"/>
  <c r="E12" i="5"/>
  <c r="F12" i="5" s="1"/>
  <c r="G12" i="5" s="1"/>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K78" i="3" s="1"/>
  <c r="H77" i="3"/>
  <c r="D77" i="3"/>
  <c r="L77" i="3"/>
  <c r="P77" i="3"/>
  <c r="M75" i="3"/>
  <c r="O73" i="3"/>
  <c r="J73" i="3"/>
  <c r="K73" i="3" s="1"/>
  <c r="B71" i="3"/>
  <c r="F71" i="3"/>
  <c r="H71" i="3" s="1"/>
  <c r="J71" i="3"/>
  <c r="N71" i="3"/>
  <c r="M70" i="3"/>
  <c r="P67" i="3"/>
  <c r="C66" i="3"/>
  <c r="G66" i="3"/>
  <c r="H66" i="3" s="1"/>
  <c r="O66" i="3"/>
  <c r="M65" i="3"/>
  <c r="G65" i="3"/>
  <c r="H65" i="3" s="1"/>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K42" i="3"/>
  <c r="O41" i="3"/>
  <c r="J41" i="3"/>
  <c r="K41" i="3" s="1"/>
  <c r="B39" i="3"/>
  <c r="F39" i="3"/>
  <c r="H39" i="3" s="1"/>
  <c r="J39" i="3"/>
  <c r="N39" i="3"/>
  <c r="M38" i="3"/>
  <c r="P35" i="3"/>
  <c r="C34" i="3"/>
  <c r="G34" i="3"/>
  <c r="O34" i="3"/>
  <c r="M33" i="3"/>
  <c r="G33" i="3"/>
  <c r="E33" i="5" s="1"/>
  <c r="F33" i="5" s="1"/>
  <c r="G33" i="5" s="1"/>
  <c r="P30" i="3"/>
  <c r="J30" i="3"/>
  <c r="K30" i="3" s="1"/>
  <c r="H29" i="3"/>
  <c r="D29" i="3"/>
  <c r="L29" i="3"/>
  <c r="P29" i="3"/>
  <c r="M27" i="3"/>
  <c r="O25" i="3"/>
  <c r="J25" i="3"/>
  <c r="K25" i="3" s="1"/>
  <c r="B23" i="3"/>
  <c r="F23" i="3"/>
  <c r="H23" i="3" s="1"/>
  <c r="J23" i="3"/>
  <c r="N23" i="3"/>
  <c r="M22" i="3"/>
  <c r="P19" i="3"/>
  <c r="C18" i="3"/>
  <c r="G18" i="3"/>
  <c r="O18" i="3"/>
  <c r="M17" i="3"/>
  <c r="G17" i="3"/>
  <c r="E17" i="5" s="1"/>
  <c r="F17" i="5" s="1"/>
  <c r="G17" i="5" s="1"/>
  <c r="P14" i="3"/>
  <c r="J14" i="3"/>
  <c r="K14" i="3" s="1"/>
  <c r="H13" i="3"/>
  <c r="D13" i="3"/>
  <c r="L13" i="3"/>
  <c r="P13" i="3"/>
  <c r="M11" i="3"/>
  <c r="O9" i="3"/>
  <c r="J9" i="3"/>
  <c r="B7" i="3"/>
  <c r="F7" i="3"/>
  <c r="J7" i="3"/>
  <c r="N7" i="3"/>
  <c r="E166" i="5"/>
  <c r="E162" i="5"/>
  <c r="E159" i="5"/>
  <c r="E158" i="5"/>
  <c r="E151" i="5"/>
  <c r="E147" i="5"/>
  <c r="E123" i="5"/>
  <c r="E116" i="5"/>
  <c r="E109" i="5"/>
  <c r="E103" i="5"/>
  <c r="E101" i="5"/>
  <c r="E93" i="5"/>
  <c r="E92" i="5"/>
  <c r="E84" i="5"/>
  <c r="E71" i="5"/>
  <c r="E68" i="5"/>
  <c r="E67" i="5"/>
  <c r="E64" i="5"/>
  <c r="N62" i="5"/>
  <c r="K61" i="5"/>
  <c r="K60" i="5"/>
  <c r="K59" i="5"/>
  <c r="K58" i="5"/>
  <c r="K57" i="5"/>
  <c r="K56" i="5"/>
  <c r="K55" i="5"/>
  <c r="K54" i="5"/>
  <c r="K53" i="5"/>
  <c r="K52" i="5"/>
  <c r="K51" i="5"/>
  <c r="K50" i="5"/>
  <c r="D170" i="7"/>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H59" i="3" s="1"/>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59" i="5"/>
  <c r="E56" i="5"/>
  <c r="E47" i="5"/>
  <c r="F47" i="5" s="1"/>
  <c r="G47" i="5" s="1"/>
  <c r="E43" i="5"/>
  <c r="F43" i="5" s="1"/>
  <c r="G43" i="5" s="1"/>
  <c r="E39" i="5"/>
  <c r="F39" i="5" s="1"/>
  <c r="G39" i="5" s="1"/>
  <c r="E29" i="5"/>
  <c r="F29" i="5" s="1"/>
  <c r="G29"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H162" i="3" s="1"/>
  <c r="N158" i="3"/>
  <c r="J158" i="3"/>
  <c r="K158" i="3" s="1"/>
  <c r="F158" i="3"/>
  <c r="N154" i="3"/>
  <c r="J154" i="3"/>
  <c r="F154" i="3"/>
  <c r="N150" i="3"/>
  <c r="J150" i="3"/>
  <c r="F150" i="3"/>
  <c r="N146" i="3"/>
  <c r="J146" i="3"/>
  <c r="K146" i="3" s="1"/>
  <c r="F146" i="3"/>
  <c r="N142" i="3"/>
  <c r="J142" i="3"/>
  <c r="K142" i="3" s="1"/>
  <c r="F142" i="3"/>
  <c r="N138" i="3"/>
  <c r="J138" i="3"/>
  <c r="F138" i="3"/>
  <c r="N134" i="3"/>
  <c r="J134" i="3"/>
  <c r="F134" i="3"/>
  <c r="N130" i="3"/>
  <c r="J130" i="3"/>
  <c r="K130" i="3" s="1"/>
  <c r="F130" i="3"/>
  <c r="O129" i="3"/>
  <c r="G129" i="3"/>
  <c r="H129" i="3" s="1"/>
  <c r="N126" i="3"/>
  <c r="J126" i="3"/>
  <c r="K126" i="3" s="1"/>
  <c r="F126" i="3"/>
  <c r="O125" i="3"/>
  <c r="G125" i="3"/>
  <c r="N122" i="3"/>
  <c r="J122" i="3"/>
  <c r="K122" i="3" s="1"/>
  <c r="F122" i="3"/>
  <c r="O121" i="3"/>
  <c r="G121" i="3"/>
  <c r="D117" i="3"/>
  <c r="E117" i="3" s="1"/>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K95" i="3" s="1"/>
  <c r="N95" i="3"/>
  <c r="M94" i="3"/>
  <c r="B94" i="3"/>
  <c r="N93" i="3"/>
  <c r="I93" i="3"/>
  <c r="K93" i="3" s="1"/>
  <c r="C93" i="3"/>
  <c r="P91" i="3"/>
  <c r="C90" i="3"/>
  <c r="E90" i="3" s="1"/>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H57" i="3" s="1"/>
  <c r="B57" i="3"/>
  <c r="O55" i="3"/>
  <c r="I55" i="3"/>
  <c r="D55" i="3"/>
  <c r="P54" i="3"/>
  <c r="J54" i="3"/>
  <c r="D53" i="3"/>
  <c r="L53" i="3"/>
  <c r="P53" i="3"/>
  <c r="M51" i="3"/>
  <c r="C51" i="3"/>
  <c r="N50" i="3"/>
  <c r="I50" i="3"/>
  <c r="K50" i="3" s="1"/>
  <c r="D50" i="3"/>
  <c r="O49" i="3"/>
  <c r="J49" i="3"/>
  <c r="B47" i="3"/>
  <c r="F47" i="3"/>
  <c r="H47" i="3" s="1"/>
  <c r="J47" i="3"/>
  <c r="N47" i="3"/>
  <c r="M46" i="3"/>
  <c r="B46" i="3"/>
  <c r="N45" i="3"/>
  <c r="I45" i="3"/>
  <c r="C45" i="3"/>
  <c r="P43" i="3"/>
  <c r="C42" i="3"/>
  <c r="E42" i="3" s="1"/>
  <c r="G42" i="3"/>
  <c r="H42" i="3" s="1"/>
  <c r="O42" i="3"/>
  <c r="M41" i="3"/>
  <c r="G41" i="3"/>
  <c r="H41" i="3" s="1"/>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E21" i="3" s="1"/>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J157" i="5" s="1"/>
  <c r="D156" i="5"/>
  <c r="H156" i="5"/>
  <c r="D155" i="5"/>
  <c r="H155" i="5"/>
  <c r="J155" i="5" s="1"/>
  <c r="D154" i="5"/>
  <c r="H154" i="5"/>
  <c r="J154" i="5" s="1"/>
  <c r="D153" i="5"/>
  <c r="H153" i="5"/>
  <c r="J153" i="5" s="1"/>
  <c r="D152" i="5"/>
  <c r="H152" i="5"/>
  <c r="D151" i="5"/>
  <c r="H151" i="5"/>
  <c r="J151" i="5" s="1"/>
  <c r="D150" i="5"/>
  <c r="H150" i="5"/>
  <c r="J150" i="5" s="1"/>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L132" i="5"/>
  <c r="D131" i="5"/>
  <c r="H131" i="5"/>
  <c r="J131" i="5" s="1"/>
  <c r="D130" i="5"/>
  <c r="H130" i="5"/>
  <c r="J130" i="5" s="1"/>
  <c r="D129" i="5"/>
  <c r="H129" i="5"/>
  <c r="D128" i="5"/>
  <c r="H128" i="5"/>
  <c r="D127" i="5"/>
  <c r="H127" i="5"/>
  <c r="J127" i="5" s="1"/>
  <c r="D126" i="5"/>
  <c r="H126" i="5"/>
  <c r="L126" i="5"/>
  <c r="M126" i="5" s="1"/>
  <c r="D125" i="5"/>
  <c r="H125" i="5"/>
  <c r="J125" i="5" s="1"/>
  <c r="D124" i="5"/>
  <c r="H124" i="5"/>
  <c r="D123" i="5"/>
  <c r="H123" i="5"/>
  <c r="J123" i="5" s="1"/>
  <c r="D122" i="5"/>
  <c r="H122" i="5"/>
  <c r="J122" i="5" s="1"/>
  <c r="L122" i="5"/>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L108" i="5"/>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M88" i="5" s="1"/>
  <c r="D87" i="5"/>
  <c r="H87" i="5"/>
  <c r="J87" i="5" s="1"/>
  <c r="D86" i="5"/>
  <c r="H86" i="5"/>
  <c r="D85" i="5"/>
  <c r="H85" i="5"/>
  <c r="J85" i="5" s="1"/>
  <c r="D84" i="5"/>
  <c r="H84" i="5"/>
  <c r="J84" i="5" s="1"/>
  <c r="L84" i="5"/>
  <c r="D83" i="5"/>
  <c r="H83" i="5"/>
  <c r="J83" i="5" s="1"/>
  <c r="D82" i="5"/>
  <c r="H82" i="5"/>
  <c r="D81" i="5"/>
  <c r="H81" i="5"/>
  <c r="J81" i="5" s="1"/>
  <c r="D80" i="5"/>
  <c r="H80" i="5"/>
  <c r="J80" i="5" s="1"/>
  <c r="L80" i="5"/>
  <c r="M80" i="5" s="1"/>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P49" i="5"/>
  <c r="P32" i="5"/>
  <c r="P20" i="5"/>
  <c r="P8" i="5"/>
  <c r="C182" i="7"/>
  <c r="G182" i="7"/>
  <c r="K182" i="7"/>
  <c r="O182" i="7"/>
  <c r="D182" i="7"/>
  <c r="H182" i="7"/>
  <c r="H182" i="12" s="1"/>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H180" i="12" s="1"/>
  <c r="D180" i="7"/>
  <c r="H176" i="7"/>
  <c r="L172" i="7"/>
  <c r="H172" i="7"/>
  <c r="D172" i="7"/>
  <c r="L164" i="7"/>
  <c r="K164" i="12" s="1"/>
  <c r="H164" i="7"/>
  <c r="D164" i="7"/>
  <c r="L160" i="7"/>
  <c r="H160" i="7"/>
  <c r="D160" i="7"/>
  <c r="C158" i="7"/>
  <c r="G158" i="7"/>
  <c r="K158" i="7"/>
  <c r="O158" i="7"/>
  <c r="K157" i="7"/>
  <c r="E157" i="7"/>
  <c r="O151" i="7"/>
  <c r="J151" i="7"/>
  <c r="E151" i="7"/>
  <c r="E146" i="7"/>
  <c r="O135" i="7"/>
  <c r="J135" i="7"/>
  <c r="E135" i="7"/>
  <c r="L131" i="7"/>
  <c r="M127" i="7"/>
  <c r="O119" i="7"/>
  <c r="J119" i="7"/>
  <c r="E119" i="7"/>
  <c r="J114" i="7"/>
  <c r="E114" i="7"/>
  <c r="M111" i="7"/>
  <c r="G111" i="7"/>
  <c r="K109" i="7"/>
  <c r="E109" i="7"/>
  <c r="M106" i="7"/>
  <c r="B105" i="7"/>
  <c r="F105" i="7"/>
  <c r="J105" i="7"/>
  <c r="N105" i="7"/>
  <c r="O103" i="7"/>
  <c r="J103" i="7"/>
  <c r="E103" i="7"/>
  <c r="M101" i="7"/>
  <c r="H101" i="7"/>
  <c r="D99" i="7"/>
  <c r="H99" i="7"/>
  <c r="J98" i="7"/>
  <c r="E98" i="7"/>
  <c r="M95" i="7"/>
  <c r="G95" i="7"/>
  <c r="C94" i="7"/>
  <c r="G94" i="7"/>
  <c r="K94" i="7"/>
  <c r="O94" i="7"/>
  <c r="K93" i="7"/>
  <c r="E93" i="7"/>
  <c r="M90" i="7"/>
  <c r="H90" i="7"/>
  <c r="D83" i="7"/>
  <c r="H83" i="7"/>
  <c r="L83" i="7"/>
  <c r="M79" i="7"/>
  <c r="G79" i="7"/>
  <c r="K77" i="7"/>
  <c r="E77" i="7"/>
  <c r="M74" i="7"/>
  <c r="H74" i="7"/>
  <c r="F73" i="7"/>
  <c r="O71" i="7"/>
  <c r="J71" i="7"/>
  <c r="E71" i="7"/>
  <c r="D67" i="7"/>
  <c r="H67" i="7"/>
  <c r="L67" i="7"/>
  <c r="M63" i="7"/>
  <c r="G63" i="7"/>
  <c r="G62" i="7"/>
  <c r="M58" i="7"/>
  <c r="H58" i="7"/>
  <c r="B57" i="7"/>
  <c r="F57" i="7"/>
  <c r="J57" i="7"/>
  <c r="N57" i="7"/>
  <c r="M53" i="7"/>
  <c r="H53" i="7"/>
  <c r="H51" i="7"/>
  <c r="J50" i="7"/>
  <c r="E50" i="7"/>
  <c r="C46" i="7"/>
  <c r="G46" i="7"/>
  <c r="K46" i="7"/>
  <c r="O46" i="7"/>
  <c r="K45" i="7"/>
  <c r="E45" i="7"/>
  <c r="M42" i="7"/>
  <c r="H42" i="7"/>
  <c r="B41" i="7"/>
  <c r="F41" i="7"/>
  <c r="J41" i="7"/>
  <c r="N41" i="7"/>
  <c r="M37" i="7"/>
  <c r="H37" i="7"/>
  <c r="D35" i="7"/>
  <c r="H35" i="7"/>
  <c r="L35" i="7"/>
  <c r="M31" i="7"/>
  <c r="G31" i="7"/>
  <c r="C30" i="7"/>
  <c r="G30" i="7"/>
  <c r="K30" i="7"/>
  <c r="O30" i="7"/>
  <c r="K29" i="7"/>
  <c r="E29" i="7"/>
  <c r="M26" i="7"/>
  <c r="H26" i="7"/>
  <c r="B25" i="7"/>
  <c r="F25" i="7"/>
  <c r="J25" i="7"/>
  <c r="N25" i="7"/>
  <c r="O23" i="7"/>
  <c r="G23" i="7"/>
  <c r="K19" i="7"/>
  <c r="M182" i="6"/>
  <c r="M174" i="6"/>
  <c r="M166" i="6"/>
  <c r="M158" i="6"/>
  <c r="M150" i="6"/>
  <c r="C145" i="6"/>
  <c r="L145" i="5" s="1"/>
  <c r="M145" i="5" s="1"/>
  <c r="G145" i="6"/>
  <c r="K145" i="6"/>
  <c r="R145" i="12" s="1"/>
  <c r="B145" i="6"/>
  <c r="H145" i="6"/>
  <c r="P145" i="12" s="1"/>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L113" i="5" s="1"/>
  <c r="M113" i="5" s="1"/>
  <c r="G113" i="6"/>
  <c r="K113" i="6"/>
  <c r="R113" i="12" s="1"/>
  <c r="O113" i="6"/>
  <c r="B113" i="6"/>
  <c r="H113" i="6"/>
  <c r="M113" i="6"/>
  <c r="D113" i="6"/>
  <c r="I113" i="6"/>
  <c r="Q113" i="12" s="1"/>
  <c r="N113" i="6"/>
  <c r="E113" i="6"/>
  <c r="J113" i="6"/>
  <c r="H127" i="7"/>
  <c r="K122" i="7"/>
  <c r="J80" i="12"/>
  <c r="I183" i="12"/>
  <c r="D111" i="7"/>
  <c r="H111" i="7"/>
  <c r="H111" i="12" s="1"/>
  <c r="L111" i="7"/>
  <c r="K111" i="12" s="1"/>
  <c r="B101" i="7"/>
  <c r="F101" i="7"/>
  <c r="J101" i="7"/>
  <c r="N101" i="7"/>
  <c r="D95" i="7"/>
  <c r="H95" i="7"/>
  <c r="L95" i="7"/>
  <c r="K95" i="12" s="1"/>
  <c r="C90" i="7"/>
  <c r="G90" i="7"/>
  <c r="K90" i="7"/>
  <c r="O90" i="7"/>
  <c r="D79" i="7"/>
  <c r="H79" i="7"/>
  <c r="L79" i="7"/>
  <c r="C74" i="7"/>
  <c r="G74" i="7"/>
  <c r="K74" i="7"/>
  <c r="O74" i="7"/>
  <c r="N69" i="7"/>
  <c r="D63" i="7"/>
  <c r="H63" i="7"/>
  <c r="L63" i="7"/>
  <c r="C58" i="7"/>
  <c r="G58" i="7"/>
  <c r="K58" i="7"/>
  <c r="O58" i="7"/>
  <c r="B53" i="7"/>
  <c r="F53" i="7"/>
  <c r="J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R170" i="12" s="1"/>
  <c r="O170" i="6"/>
  <c r="D170" i="6"/>
  <c r="H170" i="6"/>
  <c r="L170" i="6"/>
  <c r="I166" i="6"/>
  <c r="Q166" i="12" s="1"/>
  <c r="Q162" i="12"/>
  <c r="B162" i="6"/>
  <c r="F162" i="6"/>
  <c r="J162" i="6"/>
  <c r="N162" i="6"/>
  <c r="C162" i="6"/>
  <c r="G162" i="6"/>
  <c r="K162" i="6"/>
  <c r="S162" i="12" s="1"/>
  <c r="O162" i="6"/>
  <c r="D162" i="6"/>
  <c r="H162" i="6"/>
  <c r="P162" i="12" s="1"/>
  <c r="L162" i="6"/>
  <c r="O162" i="12" s="1"/>
  <c r="I158" i="6"/>
  <c r="Q158" i="12" s="1"/>
  <c r="B154" i="6"/>
  <c r="F154" i="6"/>
  <c r="J154" i="6"/>
  <c r="N154" i="6"/>
  <c r="C154" i="6"/>
  <c r="G154" i="6"/>
  <c r="K154" i="6"/>
  <c r="O154" i="6"/>
  <c r="D154" i="6"/>
  <c r="H154" i="6"/>
  <c r="L154" i="12" s="1"/>
  <c r="L154" i="6"/>
  <c r="O154" i="12" s="1"/>
  <c r="I150" i="6"/>
  <c r="Q150" i="12" s="1"/>
  <c r="Q146" i="12"/>
  <c r="B146" i="6"/>
  <c r="F146" i="6"/>
  <c r="J146" i="6"/>
  <c r="N146" i="6"/>
  <c r="C146" i="6"/>
  <c r="L146" i="5" s="1"/>
  <c r="G146" i="6"/>
  <c r="K146" i="6"/>
  <c r="O146" i="6"/>
  <c r="D146" i="6"/>
  <c r="H146" i="6"/>
  <c r="L146" i="12" s="1"/>
  <c r="L146" i="6"/>
  <c r="O146" i="12" s="1"/>
  <c r="L140" i="6"/>
  <c r="O140" i="12" s="1"/>
  <c r="B124" i="6"/>
  <c r="F124" i="6"/>
  <c r="J124" i="6"/>
  <c r="N124" i="6"/>
  <c r="C124" i="6"/>
  <c r="L124" i="5" s="1"/>
  <c r="H124" i="6"/>
  <c r="L124" i="12" s="1"/>
  <c r="M124" i="6"/>
  <c r="A124" i="7"/>
  <c r="K117" i="12" s="1"/>
  <c r="D124" i="6"/>
  <c r="I124" i="6"/>
  <c r="Q124" i="12" s="1"/>
  <c r="O124" i="6"/>
  <c r="E124" i="6"/>
  <c r="K124" i="6"/>
  <c r="S124" i="12" s="1"/>
  <c r="H49" i="5"/>
  <c r="H48" i="5"/>
  <c r="H47" i="5"/>
  <c r="J47" i="5" s="1"/>
  <c r="H46" i="5"/>
  <c r="H45" i="5"/>
  <c r="H44" i="5"/>
  <c r="H43" i="5"/>
  <c r="H42" i="5"/>
  <c r="H41" i="5"/>
  <c r="J41" i="5" s="1"/>
  <c r="H40" i="5"/>
  <c r="L39" i="5"/>
  <c r="H39" i="5"/>
  <c r="J39" i="5" s="1"/>
  <c r="H38" i="5"/>
  <c r="J38" i="5" s="1"/>
  <c r="H37" i="5"/>
  <c r="H36" i="5"/>
  <c r="J36" i="5" s="1"/>
  <c r="H35" i="5"/>
  <c r="L34" i="5"/>
  <c r="M34" i="5" s="1"/>
  <c r="H34" i="5"/>
  <c r="H33" i="5"/>
  <c r="H32" i="5"/>
  <c r="J32" i="5" s="1"/>
  <c r="H31" i="5"/>
  <c r="H30" i="5"/>
  <c r="L29" i="5"/>
  <c r="H29" i="5"/>
  <c r="H28" i="5"/>
  <c r="J28" i="5" s="1"/>
  <c r="H27" i="5"/>
  <c r="J27" i="5" s="1"/>
  <c r="H26" i="5"/>
  <c r="J26" i="5" s="1"/>
  <c r="H25" i="5"/>
  <c r="H24" i="5"/>
  <c r="H23" i="5"/>
  <c r="H22" i="5"/>
  <c r="H21" i="5"/>
  <c r="J21" i="5" s="1"/>
  <c r="H20" i="5"/>
  <c r="H19" i="5"/>
  <c r="H18" i="5"/>
  <c r="H17" i="5"/>
  <c r="L16" i="5"/>
  <c r="H16" i="5"/>
  <c r="H15" i="5"/>
  <c r="H14" i="5"/>
  <c r="J14" i="5" s="1"/>
  <c r="H13" i="5"/>
  <c r="H12" i="5"/>
  <c r="J12" i="5" s="1"/>
  <c r="H11" i="5"/>
  <c r="H10" i="5"/>
  <c r="H9" i="5"/>
  <c r="L8" i="5"/>
  <c r="H8" i="5"/>
  <c r="H7" i="5"/>
  <c r="J7" i="5" s="1"/>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N160" i="7"/>
  <c r="J160" i="7"/>
  <c r="F160" i="7"/>
  <c r="N158" i="7"/>
  <c r="I158" i="7"/>
  <c r="D158" i="7"/>
  <c r="M157" i="7"/>
  <c r="H157" i="7"/>
  <c r="D155" i="7"/>
  <c r="H155" i="7"/>
  <c r="L155" i="7"/>
  <c r="M151" i="7"/>
  <c r="G151" i="7"/>
  <c r="B145" i="7"/>
  <c r="F145" i="7"/>
  <c r="J145" i="7"/>
  <c r="N145" i="7"/>
  <c r="H141" i="7"/>
  <c r="M135" i="7"/>
  <c r="G135" i="7"/>
  <c r="C134" i="7"/>
  <c r="G134" i="7"/>
  <c r="K134" i="7"/>
  <c r="O134" i="7"/>
  <c r="N131" i="7"/>
  <c r="O127"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H98" i="7"/>
  <c r="B97" i="7"/>
  <c r="F97" i="7"/>
  <c r="J97" i="7"/>
  <c r="N97" i="7"/>
  <c r="O95" i="7"/>
  <c r="J95" i="7"/>
  <c r="E95" i="7"/>
  <c r="N94" i="7"/>
  <c r="I94" i="7"/>
  <c r="D94" i="7"/>
  <c r="M93" i="7"/>
  <c r="H93" i="7"/>
  <c r="H91" i="7"/>
  <c r="J90" i="7"/>
  <c r="E90"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C54" i="7"/>
  <c r="G54" i="7"/>
  <c r="K54" i="7"/>
  <c r="O54" i="7"/>
  <c r="K53" i="7"/>
  <c r="E53" i="7"/>
  <c r="I51" i="7"/>
  <c r="M50" i="7"/>
  <c r="B49" i="7"/>
  <c r="F49" i="7"/>
  <c r="J49" i="7"/>
  <c r="N49" i="7"/>
  <c r="N46" i="7"/>
  <c r="I46" i="7"/>
  <c r="D46" i="7"/>
  <c r="M45" i="7"/>
  <c r="H45" i="7"/>
  <c r="J42" i="7"/>
  <c r="E42" i="7"/>
  <c r="O41" i="7"/>
  <c r="I41" i="7"/>
  <c r="D41" i="7"/>
  <c r="K37" i="7"/>
  <c r="E37" i="7"/>
  <c r="N35" i="7"/>
  <c r="I35" i="7"/>
  <c r="C35" i="7"/>
  <c r="B33" i="7"/>
  <c r="O31" i="7"/>
  <c r="J31" i="7"/>
  <c r="E31" i="7"/>
  <c r="N30" i="7"/>
  <c r="I30" i="7"/>
  <c r="D30" i="7"/>
  <c r="M29" i="7"/>
  <c r="H29" i="7"/>
  <c r="D27" i="7"/>
  <c r="H27" i="7"/>
  <c r="L27" i="7"/>
  <c r="J26" i="7"/>
  <c r="E26" i="7"/>
  <c r="O25" i="7"/>
  <c r="I25" i="7"/>
  <c r="D25" i="7"/>
  <c r="K23" i="7"/>
  <c r="B21" i="7"/>
  <c r="F21" i="7"/>
  <c r="J21" i="7"/>
  <c r="N21" i="7"/>
  <c r="D21" i="7"/>
  <c r="H21" i="7"/>
  <c r="L21" i="7"/>
  <c r="O19" i="7"/>
  <c r="G19" i="7"/>
  <c r="B13" i="7"/>
  <c r="F13" i="7"/>
  <c r="J13" i="7"/>
  <c r="N13" i="7"/>
  <c r="D13" i="7"/>
  <c r="H13" i="7"/>
  <c r="L13" i="7"/>
  <c r="M186" i="6"/>
  <c r="M178" i="6"/>
  <c r="M170" i="6"/>
  <c r="M162" i="6"/>
  <c r="M154" i="6"/>
  <c r="M146" i="6"/>
  <c r="L145" i="6"/>
  <c r="S134" i="12"/>
  <c r="D134" i="6"/>
  <c r="H134" i="6"/>
  <c r="L134" i="6"/>
  <c r="O134" i="12" s="1"/>
  <c r="B134" i="6"/>
  <c r="G134" i="6"/>
  <c r="M134" i="6"/>
  <c r="C134" i="6"/>
  <c r="L134" i="5" s="1"/>
  <c r="M134" i="5" s="1"/>
  <c r="I134" i="6"/>
  <c r="Q134" i="12" s="1"/>
  <c r="N134" i="6"/>
  <c r="E134" i="6"/>
  <c r="J134" i="6"/>
  <c r="O134" i="6"/>
  <c r="C129" i="6"/>
  <c r="L129" i="5" s="1"/>
  <c r="M129" i="5" s="1"/>
  <c r="G129" i="6"/>
  <c r="K129" i="6"/>
  <c r="O129" i="6"/>
  <c r="B129" i="6"/>
  <c r="H129" i="6"/>
  <c r="M129" i="6"/>
  <c r="D129" i="6"/>
  <c r="I129" i="6"/>
  <c r="N129" i="6"/>
  <c r="E129" i="6"/>
  <c r="J129" i="6"/>
  <c r="K118" i="6"/>
  <c r="S118" i="12" s="1"/>
  <c r="L113" i="6"/>
  <c r="Q106" i="12"/>
  <c r="D106" i="6"/>
  <c r="H106" i="6"/>
  <c r="L106" i="12" s="1"/>
  <c r="L106" i="6"/>
  <c r="B106" i="6"/>
  <c r="F106" i="6"/>
  <c r="J106" i="6"/>
  <c r="N106" i="6"/>
  <c r="C106" i="6"/>
  <c r="L106" i="5" s="1"/>
  <c r="M106" i="5" s="1"/>
  <c r="K106" i="6"/>
  <c r="S106" i="12" s="1"/>
  <c r="E106" i="6"/>
  <c r="M106" i="6"/>
  <c r="G106" i="6"/>
  <c r="O106" i="6"/>
  <c r="B157" i="7"/>
  <c r="F157" i="7"/>
  <c r="J157" i="7"/>
  <c r="N157" i="7"/>
  <c r="D151" i="7"/>
  <c r="H151" i="7"/>
  <c r="L151" i="7"/>
  <c r="O146" i="7"/>
  <c r="B141" i="7"/>
  <c r="J141" i="7"/>
  <c r="D135" i="7"/>
  <c r="H135" i="7"/>
  <c r="L135" i="7"/>
  <c r="D119" i="7"/>
  <c r="H119" i="7"/>
  <c r="L119" i="7"/>
  <c r="I117" i="7"/>
  <c r="C114" i="7"/>
  <c r="G114" i="7"/>
  <c r="K114" i="7"/>
  <c r="O114" i="7"/>
  <c r="N111" i="7"/>
  <c r="I111" i="7"/>
  <c r="I111" i="12" s="1"/>
  <c r="C111" i="7"/>
  <c r="B109" i="7"/>
  <c r="F109" i="7"/>
  <c r="J109" i="7"/>
  <c r="N109" i="7"/>
  <c r="D103" i="7"/>
  <c r="H103" i="7"/>
  <c r="L103" i="7"/>
  <c r="O101" i="7"/>
  <c r="I101" i="7"/>
  <c r="D101" i="7"/>
  <c r="C98" i="7"/>
  <c r="G98" i="7"/>
  <c r="K98" i="7"/>
  <c r="O98" i="7"/>
  <c r="N95" i="7"/>
  <c r="I95" i="7"/>
  <c r="C95" i="7"/>
  <c r="B93" i="7"/>
  <c r="F93" i="7"/>
  <c r="J93" i="7"/>
  <c r="N93" i="7"/>
  <c r="N90" i="7"/>
  <c r="I90" i="7"/>
  <c r="D90" i="7"/>
  <c r="D87" i="7"/>
  <c r="C82" i="7"/>
  <c r="G82" i="7"/>
  <c r="K82" i="7"/>
  <c r="O82" i="7"/>
  <c r="N79" i="7"/>
  <c r="I79" i="7"/>
  <c r="C79" i="7"/>
  <c r="B77" i="7"/>
  <c r="F77" i="7"/>
  <c r="J77" i="7"/>
  <c r="N77" i="7"/>
  <c r="N74" i="7"/>
  <c r="I74" i="7"/>
  <c r="D74" i="7"/>
  <c r="D71" i="7"/>
  <c r="H71" i="7"/>
  <c r="L71" i="7"/>
  <c r="O66" i="7"/>
  <c r="N63" i="7"/>
  <c r="I63" i="7"/>
  <c r="C63" i="7"/>
  <c r="N58" i="7"/>
  <c r="I58" i="7"/>
  <c r="D58" i="7"/>
  <c r="O53" i="7"/>
  <c r="I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12" s="1"/>
  <c r="L174" i="6"/>
  <c r="O174" i="12" s="1"/>
  <c r="B166" i="6"/>
  <c r="F166" i="6"/>
  <c r="J166" i="6"/>
  <c r="N166" i="6"/>
  <c r="C166" i="6"/>
  <c r="G166" i="6"/>
  <c r="K166" i="6"/>
  <c r="O166" i="6"/>
  <c r="D166" i="6"/>
  <c r="H166" i="6"/>
  <c r="L166" i="12" s="1"/>
  <c r="L166" i="6"/>
  <c r="O166" i="12" s="1"/>
  <c r="B158" i="6"/>
  <c r="F158" i="6"/>
  <c r="J158" i="6"/>
  <c r="N158" i="6"/>
  <c r="C158" i="6"/>
  <c r="G158" i="6"/>
  <c r="K158" i="6"/>
  <c r="S158" i="12" s="1"/>
  <c r="O158" i="6"/>
  <c r="D158" i="6"/>
  <c r="H158" i="6"/>
  <c r="L158" i="6"/>
  <c r="O158" i="12" s="1"/>
  <c r="B150" i="6"/>
  <c r="F150" i="6"/>
  <c r="J150" i="6"/>
  <c r="N150" i="6"/>
  <c r="C150" i="6"/>
  <c r="L150" i="5" s="1"/>
  <c r="G150" i="6"/>
  <c r="K150" i="6"/>
  <c r="S150" i="12" s="1"/>
  <c r="O150" i="6"/>
  <c r="D150" i="6"/>
  <c r="H150" i="6"/>
  <c r="L150" i="6"/>
  <c r="O150" i="12" s="1"/>
  <c r="B140" i="6"/>
  <c r="F140" i="6"/>
  <c r="J140" i="6"/>
  <c r="N140" i="6"/>
  <c r="C140" i="6"/>
  <c r="L140" i="5" s="1"/>
  <c r="H140" i="6"/>
  <c r="L140" i="12" s="1"/>
  <c r="M140" i="6"/>
  <c r="A140" i="7"/>
  <c r="D140" i="6"/>
  <c r="I140" i="6"/>
  <c r="Q140" i="12" s="1"/>
  <c r="O140" i="6"/>
  <c r="E140" i="6"/>
  <c r="K140" i="6"/>
  <c r="S140" i="12" s="1"/>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S40" i="12" s="1"/>
  <c r="C40" i="6"/>
  <c r="L43" i="5" s="1"/>
  <c r="H40" i="6"/>
  <c r="M40" i="6"/>
  <c r="B32" i="6"/>
  <c r="F32" i="6"/>
  <c r="J32" i="6"/>
  <c r="N32" i="6"/>
  <c r="C32" i="6"/>
  <c r="L32" i="5" s="1"/>
  <c r="H32" i="6"/>
  <c r="M32" i="6"/>
  <c r="E32" i="6"/>
  <c r="K32" i="6"/>
  <c r="O13" i="12"/>
  <c r="M23" i="12"/>
  <c r="O25" i="12"/>
  <c r="M27" i="12"/>
  <c r="M13" i="12"/>
  <c r="M25" i="12"/>
  <c r="M61" i="12"/>
  <c r="L19" i="12"/>
  <c r="L31" i="12"/>
  <c r="O40" i="12"/>
  <c r="M46" i="12"/>
  <c r="L47" i="12"/>
  <c r="M74" i="12"/>
  <c r="M78" i="12"/>
  <c r="M12" i="12"/>
  <c r="L13" i="12"/>
  <c r="O61" i="12"/>
  <c r="O48" i="12"/>
  <c r="O65" i="12"/>
  <c r="M82" i="12"/>
  <c r="M86" i="12"/>
  <c r="M90" i="12"/>
  <c r="M94" i="12"/>
  <c r="M98" i="12"/>
  <c r="O49" i="12"/>
  <c r="M55" i="12"/>
  <c r="O64" i="12"/>
  <c r="L79" i="12"/>
  <c r="M85" i="12"/>
  <c r="O87" i="12"/>
  <c r="O103" i="12"/>
  <c r="O107" i="12"/>
  <c r="O115" i="12"/>
  <c r="M121" i="12"/>
  <c r="M88" i="12"/>
  <c r="M111" i="12"/>
  <c r="M115" i="12"/>
  <c r="O131" i="12"/>
  <c r="M138" i="12"/>
  <c r="M144" i="12"/>
  <c r="N149" i="12"/>
  <c r="M156" i="12"/>
  <c r="M160" i="12"/>
  <c r="O127" i="12"/>
  <c r="L135" i="12"/>
  <c r="O173" i="12"/>
  <c r="M175" i="12"/>
  <c r="M179" i="12"/>
  <c r="O123" i="12"/>
  <c r="N134" i="12"/>
  <c r="N135" i="12"/>
  <c r="O144" i="12"/>
  <c r="M146" i="12"/>
  <c r="L101" i="12"/>
  <c r="L105" i="12"/>
  <c r="L109" i="12"/>
  <c r="L117" i="12"/>
  <c r="M161" i="12"/>
  <c r="M169" i="12"/>
  <c r="M185" i="12"/>
  <c r="L153" i="12"/>
  <c r="M184" i="12"/>
  <c r="M188" i="12"/>
  <c r="L165" i="12"/>
  <c r="L169"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L141" i="5" s="1"/>
  <c r="M141" i="5" s="1"/>
  <c r="G141" i="6"/>
  <c r="K141" i="6"/>
  <c r="N141" i="12" s="1"/>
  <c r="O141" i="6"/>
  <c r="M137" i="6"/>
  <c r="H137" i="6"/>
  <c r="L137" i="12" s="1"/>
  <c r="B136" i="6"/>
  <c r="F136" i="6"/>
  <c r="J136" i="6"/>
  <c r="N136" i="6"/>
  <c r="M132" i="6"/>
  <c r="H132" i="6"/>
  <c r="R130" i="12"/>
  <c r="D130" i="6"/>
  <c r="H130" i="6"/>
  <c r="P130" i="12" s="1"/>
  <c r="L130" i="6"/>
  <c r="O130" i="12" s="1"/>
  <c r="M126" i="6"/>
  <c r="G126" i="6"/>
  <c r="C125" i="6"/>
  <c r="L125" i="5" s="1"/>
  <c r="M125" i="5" s="1"/>
  <c r="G125" i="6"/>
  <c r="K125" i="6"/>
  <c r="N125" i="12" s="1"/>
  <c r="O125" i="6"/>
  <c r="M121" i="6"/>
  <c r="H121" i="6"/>
  <c r="L121" i="12" s="1"/>
  <c r="B120" i="6"/>
  <c r="F120" i="6"/>
  <c r="J120" i="6"/>
  <c r="N120" i="6"/>
  <c r="M116" i="6"/>
  <c r="H116" i="6"/>
  <c r="P116" i="12" s="1"/>
  <c r="D114" i="6"/>
  <c r="H114" i="6"/>
  <c r="L114" i="6"/>
  <c r="M110" i="6"/>
  <c r="G110" i="6"/>
  <c r="Q108" i="12"/>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9" i="12" s="1"/>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M56" i="5" s="1"/>
  <c r="H56" i="6"/>
  <c r="P56" i="12" s="1"/>
  <c r="M56" i="6"/>
  <c r="Q48" i="12"/>
  <c r="B48" i="6"/>
  <c r="F48" i="6"/>
  <c r="J48" i="6"/>
  <c r="N48" i="6"/>
  <c r="C48" i="6"/>
  <c r="H48" i="6"/>
  <c r="P48" i="12" s="1"/>
  <c r="M48" i="6"/>
  <c r="E48" i="6"/>
  <c r="K48" i="6"/>
  <c r="N45" i="6"/>
  <c r="I40" i="6"/>
  <c r="Q40" i="12" s="1"/>
  <c r="N37" i="6"/>
  <c r="N34" i="6"/>
  <c r="I32" i="6"/>
  <c r="B10" i="6"/>
  <c r="F10" i="6"/>
  <c r="J10" i="6"/>
  <c r="N10" i="6"/>
  <c r="C10" i="6"/>
  <c r="L10" i="5" s="1"/>
  <c r="M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S156" i="12"/>
  <c r="Q148" i="12"/>
  <c r="D142" i="6"/>
  <c r="H142" i="6"/>
  <c r="L142" i="6"/>
  <c r="C137" i="6"/>
  <c r="G137" i="6"/>
  <c r="K137" i="6"/>
  <c r="R137" i="12" s="1"/>
  <c r="O137" i="6"/>
  <c r="Q132" i="12"/>
  <c r="B132" i="6"/>
  <c r="F132" i="6"/>
  <c r="J132" i="6"/>
  <c r="N132" i="6"/>
  <c r="D126" i="6"/>
  <c r="H126" i="6"/>
  <c r="P126" i="12" s="1"/>
  <c r="L126" i="6"/>
  <c r="Q121" i="12"/>
  <c r="C121" i="6"/>
  <c r="G121" i="6"/>
  <c r="K121" i="6"/>
  <c r="O121" i="6"/>
  <c r="B116" i="6"/>
  <c r="F116" i="6"/>
  <c r="J116" i="6"/>
  <c r="N116" i="6"/>
  <c r="D110" i="6"/>
  <c r="H110" i="6"/>
  <c r="P110" i="12" s="1"/>
  <c r="L110" i="6"/>
  <c r="Q102" i="12"/>
  <c r="D102" i="6"/>
  <c r="H102" i="6"/>
  <c r="L102" i="6"/>
  <c r="B102" i="6"/>
  <c r="F102" i="6"/>
  <c r="J102" i="6"/>
  <c r="N102" i="6"/>
  <c r="M98" i="6"/>
  <c r="E98" i="6"/>
  <c r="Q94" i="12"/>
  <c r="D94" i="6"/>
  <c r="H94" i="6"/>
  <c r="L94" i="6"/>
  <c r="O94" i="12" s="1"/>
  <c r="B94" i="6"/>
  <c r="F94" i="6"/>
  <c r="J94" i="6"/>
  <c r="N94" i="6"/>
  <c r="M90" i="6"/>
  <c r="E90" i="6"/>
  <c r="Q86" i="12"/>
  <c r="D86" i="6"/>
  <c r="H86" i="6"/>
  <c r="L86" i="6"/>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L37" i="5" s="1"/>
  <c r="G37" i="6"/>
  <c r="K37" i="6"/>
  <c r="B233" i="2" s="1"/>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N28" i="12" s="1"/>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D172" i="6"/>
  <c r="O171" i="6"/>
  <c r="K171" i="6"/>
  <c r="G171" i="6"/>
  <c r="C171" i="6"/>
  <c r="S169" i="12"/>
  <c r="Q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Q138" i="12"/>
  <c r="D138" i="6"/>
  <c r="H138" i="6"/>
  <c r="L138" i="12" s="1"/>
  <c r="L138" i="6"/>
  <c r="O138" i="12" s="1"/>
  <c r="J137" i="6"/>
  <c r="E137" i="6"/>
  <c r="O136" i="6"/>
  <c r="I136" i="6"/>
  <c r="M136" i="12" s="1"/>
  <c r="D136" i="6"/>
  <c r="Q133" i="12"/>
  <c r="C133" i="6"/>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E50" i="6"/>
  <c r="J50" i="6"/>
  <c r="O50" i="6"/>
  <c r="B50" i="6"/>
  <c r="G50" i="6"/>
  <c r="M50" i="6"/>
  <c r="G48" i="6"/>
  <c r="I45" i="6"/>
  <c r="D42" i="6"/>
  <c r="H42" i="6"/>
  <c r="L42" i="12" s="1"/>
  <c r="L42" i="6"/>
  <c r="B42" i="6"/>
  <c r="G42" i="6"/>
  <c r="M42" i="6"/>
  <c r="E42" i="6"/>
  <c r="J42" i="6"/>
  <c r="O42" i="6"/>
  <c r="O40" i="6"/>
  <c r="D40" i="6"/>
  <c r="I37" i="6"/>
  <c r="Q37" i="12" s="1"/>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105" i="12"/>
  <c r="P101" i="12"/>
  <c r="P97" i="12"/>
  <c r="P89" i="12"/>
  <c r="P85" i="12"/>
  <c r="Q85" i="12"/>
  <c r="Q77" i="12"/>
  <c r="Q73" i="12"/>
  <c r="Q69" i="12"/>
  <c r="C65" i="6"/>
  <c r="G65" i="6"/>
  <c r="K65" i="6"/>
  <c r="N65" i="12" s="1"/>
  <c r="O65" i="6"/>
  <c r="B60" i="6"/>
  <c r="F60" i="6"/>
  <c r="J60" i="6"/>
  <c r="N60" i="6"/>
  <c r="D54" i="6"/>
  <c r="H54" i="6"/>
  <c r="L54" i="12" s="1"/>
  <c r="L54" i="6"/>
  <c r="O54" i="12" s="1"/>
  <c r="C49" i="6"/>
  <c r="L49" i="5" s="1"/>
  <c r="M49" i="5" s="1"/>
  <c r="G49" i="6"/>
  <c r="K49" i="6"/>
  <c r="N49" i="12" s="1"/>
  <c r="O49" i="6"/>
  <c r="S44" i="12"/>
  <c r="B44" i="6"/>
  <c r="F44" i="6"/>
  <c r="J44" i="6"/>
  <c r="N44" i="6"/>
  <c r="D38" i="6"/>
  <c r="H38" i="6"/>
  <c r="P38" i="12" s="1"/>
  <c r="L38" i="6"/>
  <c r="C33" i="6"/>
  <c r="L33" i="5" s="1"/>
  <c r="M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P135" i="12"/>
  <c r="R135" i="12"/>
  <c r="S135" i="12"/>
  <c r="S127" i="12"/>
  <c r="R127" i="12"/>
  <c r="P119" i="12"/>
  <c r="Q115" i="12"/>
  <c r="S111" i="12"/>
  <c r="Q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R83" i="12"/>
  <c r="S83" i="12"/>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S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D49" i="6"/>
  <c r="Q46" i="12"/>
  <c r="D46" i="6"/>
  <c r="H46" i="6"/>
  <c r="P46" i="12" s="1"/>
  <c r="L46" i="6"/>
  <c r="O46" i="12" s="1"/>
  <c r="O44" i="6"/>
  <c r="I44" i="6"/>
  <c r="M44" i="12" s="1"/>
  <c r="D44" i="6"/>
  <c r="C41" i="6"/>
  <c r="G41" i="6"/>
  <c r="K41" i="6"/>
  <c r="O41" i="6"/>
  <c r="N38" i="6"/>
  <c r="I38" i="6"/>
  <c r="M38" i="12" s="1"/>
  <c r="C38" i="6"/>
  <c r="L38" i="5" s="1"/>
  <c r="M38" i="5" s="1"/>
  <c r="B36" i="6"/>
  <c r="F36" i="6"/>
  <c r="J36" i="6"/>
  <c r="N36" i="6"/>
  <c r="N33" i="6"/>
  <c r="I33" i="6"/>
  <c r="Q33" i="12" s="1"/>
  <c r="D33" i="6"/>
  <c r="Q30" i="12"/>
  <c r="B30" i="6"/>
  <c r="F30" i="6"/>
  <c r="J30" i="6"/>
  <c r="N30" i="6"/>
  <c r="D30" i="6"/>
  <c r="H30" i="6"/>
  <c r="L30" i="12" s="1"/>
  <c r="L30" i="6"/>
  <c r="O30" i="12" s="1"/>
  <c r="B26" i="6"/>
  <c r="F26" i="6"/>
  <c r="J26" i="6"/>
  <c r="N26" i="6"/>
  <c r="C26" i="6"/>
  <c r="L26" i="5" s="1"/>
  <c r="M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Q47" i="12"/>
  <c r="R47" i="12"/>
  <c r="P31" i="12"/>
  <c r="O29" i="6"/>
  <c r="K29" i="6"/>
  <c r="G29" i="6"/>
  <c r="Q27" i="12"/>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P19" i="12"/>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L190" i="12"/>
  <c r="B190" i="12"/>
  <c r="F190" i="12"/>
  <c r="J190" i="12"/>
  <c r="O172"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N188" i="12"/>
  <c r="D188" i="12"/>
  <c r="B184" i="12"/>
  <c r="F184" i="12"/>
  <c r="N184" i="12"/>
  <c r="D184" i="12"/>
  <c r="B180" i="12"/>
  <c r="F180" i="12"/>
  <c r="D180" i="12"/>
  <c r="B176" i="12"/>
  <c r="F176" i="12"/>
  <c r="N176" i="12"/>
  <c r="D176" i="12"/>
  <c r="M172" i="12"/>
  <c r="E172" i="12"/>
  <c r="M168" i="12"/>
  <c r="E168" i="12"/>
  <c r="E164" i="12"/>
  <c r="C162" i="12"/>
  <c r="G162" i="12"/>
  <c r="D162" i="12"/>
  <c r="L162" i="12"/>
  <c r="B162" i="12"/>
  <c r="F162" i="12"/>
  <c r="R162" i="12"/>
  <c r="C154" i="12"/>
  <c r="G154" i="12"/>
  <c r="S154" i="12"/>
  <c r="D154" i="12"/>
  <c r="B154" i="12"/>
  <c r="F154" i="12"/>
  <c r="N154" i="12"/>
  <c r="R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L172" i="12"/>
  <c r="P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P160" i="12"/>
  <c r="L160" i="12"/>
  <c r="D160" i="12"/>
  <c r="G159" i="12"/>
  <c r="D156" i="12"/>
  <c r="S155" i="12"/>
  <c r="O155" i="12"/>
  <c r="G155" i="12"/>
  <c r="D152" i="12"/>
  <c r="G151" i="12"/>
  <c r="F150" i="12"/>
  <c r="B150" i="12"/>
  <c r="H148" i="12"/>
  <c r="D148" i="12"/>
  <c r="O147" i="12"/>
  <c r="G147" i="12"/>
  <c r="F146" i="12"/>
  <c r="B146" i="12"/>
  <c r="P144" i="12"/>
  <c r="L144" i="12"/>
  <c r="D144" i="12"/>
  <c r="R142" i="12"/>
  <c r="G142" i="12"/>
  <c r="E141" i="12"/>
  <c r="D138" i="12"/>
  <c r="N137" i="12"/>
  <c r="B136" i="12"/>
  <c r="F136" i="12"/>
  <c r="E134" i="12"/>
  <c r="M133" i="12"/>
  <c r="E132" i="12"/>
  <c r="S130" i="12"/>
  <c r="N130" i="12"/>
  <c r="C129" i="12"/>
  <c r="G129" i="12"/>
  <c r="O129" i="12"/>
  <c r="G126" i="12"/>
  <c r="E125" i="12"/>
  <c r="D122" i="12"/>
  <c r="B118" i="12"/>
  <c r="F118" i="12"/>
  <c r="D118" i="12"/>
  <c r="S116" i="12"/>
  <c r="B114" i="12"/>
  <c r="F114" i="12"/>
  <c r="R114" i="12"/>
  <c r="D114" i="12"/>
  <c r="S112" i="12"/>
  <c r="B110" i="12"/>
  <c r="F110" i="12"/>
  <c r="R110" i="12"/>
  <c r="D110" i="12"/>
  <c r="L110" i="12"/>
  <c r="S108" i="12"/>
  <c r="B106" i="12"/>
  <c r="F106" i="12"/>
  <c r="D106" i="12"/>
  <c r="B102" i="12"/>
  <c r="F102" i="12"/>
  <c r="N102" i="12"/>
  <c r="R102" i="12"/>
  <c r="D102" i="12"/>
  <c r="P102" i="12"/>
  <c r="D142" i="12"/>
  <c r="B140" i="12"/>
  <c r="F140" i="12"/>
  <c r="C133" i="12"/>
  <c r="G133" i="12"/>
  <c r="O133" i="12"/>
  <c r="D126" i="12"/>
  <c r="B124" i="12"/>
  <c r="F124" i="12"/>
  <c r="D120" i="12"/>
  <c r="P120" i="12"/>
  <c r="B120" i="12"/>
  <c r="F120" i="12"/>
  <c r="D116" i="12"/>
  <c r="B116" i="12"/>
  <c r="F116" i="12"/>
  <c r="D112" i="12"/>
  <c r="P112" i="12"/>
  <c r="B112" i="12"/>
  <c r="F112" i="12"/>
  <c r="N112" i="12"/>
  <c r="R112" i="12"/>
  <c r="D108" i="12"/>
  <c r="B108" i="12"/>
  <c r="F108" i="12"/>
  <c r="D104" i="12"/>
  <c r="L104" i="12"/>
  <c r="B104" i="12"/>
  <c r="F104" i="12"/>
  <c r="R104" i="12"/>
  <c r="D100" i="12"/>
  <c r="B100" i="12"/>
  <c r="F100" i="12"/>
  <c r="F160" i="12"/>
  <c r="R156" i="12"/>
  <c r="N156" i="12"/>
  <c r="F156" i="12"/>
  <c r="F152" i="12"/>
  <c r="D150" i="12"/>
  <c r="J148" i="12"/>
  <c r="F148" i="12"/>
  <c r="P146" i="12"/>
  <c r="D146" i="12"/>
  <c r="F144" i="12"/>
  <c r="O142" i="12"/>
  <c r="E142" i="12"/>
  <c r="E140" i="12"/>
  <c r="C137" i="12"/>
  <c r="G137" i="12"/>
  <c r="S137" i="12"/>
  <c r="R134" i="12"/>
  <c r="G134" i="12"/>
  <c r="E133" i="12"/>
  <c r="D130" i="12"/>
  <c r="B128" i="12"/>
  <c r="F128" i="12"/>
  <c r="O126" i="12"/>
  <c r="E126" i="12"/>
  <c r="P124" i="12"/>
  <c r="E124" i="12"/>
  <c r="G120" i="12"/>
  <c r="G116" i="12"/>
  <c r="O112" i="12"/>
  <c r="G112" i="12"/>
  <c r="G108" i="12"/>
  <c r="M106" i="12"/>
  <c r="E106" i="12"/>
  <c r="O104" i="12"/>
  <c r="G104" i="12"/>
  <c r="M102" i="12"/>
  <c r="E102" i="12"/>
  <c r="G100" i="12"/>
  <c r="C96" i="12"/>
  <c r="G96" i="12"/>
  <c r="S96" i="12"/>
  <c r="D96" i="12"/>
  <c r="L96" i="12"/>
  <c r="B96" i="12"/>
  <c r="F96" i="12"/>
  <c r="J96" i="12"/>
  <c r="N96" i="12"/>
  <c r="R96" i="12"/>
  <c r="G150" i="12"/>
  <c r="G146" i="12"/>
  <c r="S142" i="12"/>
  <c r="N142" i="12"/>
  <c r="C142" i="12"/>
  <c r="C141" i="12"/>
  <c r="G141" i="12"/>
  <c r="O141" i="12"/>
  <c r="D140" i="12"/>
  <c r="D134" i="12"/>
  <c r="L134" i="12"/>
  <c r="P134" i="12"/>
  <c r="D133" i="12"/>
  <c r="B132" i="12"/>
  <c r="F132" i="12"/>
  <c r="S126" i="12"/>
  <c r="C126" i="12"/>
  <c r="C125" i="12"/>
  <c r="G125" i="12"/>
  <c r="D124" i="12"/>
  <c r="E120" i="12"/>
  <c r="E116" i="12"/>
  <c r="M112" i="12"/>
  <c r="E112" i="12"/>
  <c r="M108" i="12"/>
  <c r="E108" i="12"/>
  <c r="E104" i="12"/>
  <c r="E100" i="12"/>
  <c r="G121" i="12"/>
  <c r="G117" i="12"/>
  <c r="O113" i="12"/>
  <c r="G113" i="12"/>
  <c r="G109" i="12"/>
  <c r="G105" i="12"/>
  <c r="O101" i="12"/>
  <c r="G101" i="12"/>
  <c r="L98" i="12"/>
  <c r="D98" i="12"/>
  <c r="O97" i="12"/>
  <c r="G97" i="12"/>
  <c r="D94" i="12"/>
  <c r="G93" i="12"/>
  <c r="R92" i="12"/>
  <c r="N92" i="12"/>
  <c r="F92" i="12"/>
  <c r="B92" i="12"/>
  <c r="D90" i="12"/>
  <c r="G89" i="12"/>
  <c r="R88" i="12"/>
  <c r="N88" i="12"/>
  <c r="F88" i="12"/>
  <c r="B88" i="12"/>
  <c r="D86" i="12"/>
  <c r="O85" i="12"/>
  <c r="G85" i="12"/>
  <c r="F84" i="12"/>
  <c r="B84" i="12"/>
  <c r="C80" i="12"/>
  <c r="G80" i="12"/>
  <c r="S80" i="12"/>
  <c r="M77" i="12"/>
  <c r="G77" i="12"/>
  <c r="P76" i="12"/>
  <c r="E76" i="12"/>
  <c r="D73" i="12"/>
  <c r="B71" i="12"/>
  <c r="F71" i="12"/>
  <c r="D71" i="12"/>
  <c r="O69" i="12"/>
  <c r="G69" i="12"/>
  <c r="R68" i="12"/>
  <c r="D60" i="12"/>
  <c r="L60" i="12"/>
  <c r="P60" i="12"/>
  <c r="B60" i="12"/>
  <c r="G60" i="12"/>
  <c r="E60" i="12"/>
  <c r="O60" i="12"/>
  <c r="Q52" i="12"/>
  <c r="N51" i="12"/>
  <c r="D77" i="12"/>
  <c r="L77" i="12"/>
  <c r="P77" i="12"/>
  <c r="B75" i="12"/>
  <c r="F75" i="12"/>
  <c r="B66" i="12"/>
  <c r="F66" i="12"/>
  <c r="E66" i="12"/>
  <c r="C66" i="12"/>
  <c r="M66" i="12"/>
  <c r="C51" i="12"/>
  <c r="G51" i="12"/>
  <c r="S51" i="12"/>
  <c r="B51" i="12"/>
  <c r="R51" i="12"/>
  <c r="E51" i="12"/>
  <c r="B50" i="12"/>
  <c r="F50" i="12"/>
  <c r="N50" i="12"/>
  <c r="R50" i="12"/>
  <c r="D50" i="12"/>
  <c r="O50" i="12"/>
  <c r="E50" i="12"/>
  <c r="C50" i="12"/>
  <c r="S50" i="12"/>
  <c r="F98" i="12"/>
  <c r="F94" i="12"/>
  <c r="D92" i="12"/>
  <c r="R90" i="12"/>
  <c r="F90" i="12"/>
  <c r="D88" i="12"/>
  <c r="R86" i="12"/>
  <c r="N86" i="12"/>
  <c r="F86" i="12"/>
  <c r="D84" i="12"/>
  <c r="D81" i="12"/>
  <c r="B79" i="12"/>
  <c r="F79" i="12"/>
  <c r="E77" i="12"/>
  <c r="P75" i="12"/>
  <c r="E75" i="12"/>
  <c r="S69" i="12"/>
  <c r="N68" i="12"/>
  <c r="C67" i="12"/>
  <c r="G67" i="12"/>
  <c r="S67" i="12"/>
  <c r="B67" i="12"/>
  <c r="E67" i="12"/>
  <c r="P67" i="12"/>
  <c r="N59" i="12"/>
  <c r="B58" i="12"/>
  <c r="F58" i="12"/>
  <c r="N58" i="12"/>
  <c r="R58" i="12"/>
  <c r="C58" i="12"/>
  <c r="H58" i="12"/>
  <c r="S58" i="12"/>
  <c r="E58" i="12"/>
  <c r="K58" i="12"/>
  <c r="D52" i="12"/>
  <c r="L52" i="12"/>
  <c r="P52" i="12"/>
  <c r="E52" i="12"/>
  <c r="B52" i="12"/>
  <c r="G52" i="12"/>
  <c r="M52" i="12"/>
  <c r="S92" i="12"/>
  <c r="G92" i="12"/>
  <c r="S88" i="12"/>
  <c r="G88" i="12"/>
  <c r="G84" i="12"/>
  <c r="C77" i="12"/>
  <c r="C76" i="12"/>
  <c r="G76" i="12"/>
  <c r="D75" i="12"/>
  <c r="D69" i="12"/>
  <c r="L69" i="12"/>
  <c r="P69" i="12"/>
  <c r="B69" i="12"/>
  <c r="F69" i="12"/>
  <c r="D68" i="12"/>
  <c r="E68" i="12"/>
  <c r="S68" i="12"/>
  <c r="B68" i="12"/>
  <c r="G68" i="12"/>
  <c r="M68" i="12"/>
  <c r="Q68" i="12"/>
  <c r="Q66" i="12"/>
  <c r="G66" i="12"/>
  <c r="C59" i="12"/>
  <c r="G59" i="12"/>
  <c r="O59" i="12"/>
  <c r="S59" i="12"/>
  <c r="E59" i="12"/>
  <c r="B59" i="12"/>
  <c r="R59" i="12"/>
  <c r="Q51" i="12"/>
  <c r="F51" i="12"/>
  <c r="D64" i="12"/>
  <c r="B62" i="12"/>
  <c r="F62" i="12"/>
  <c r="N62" i="12"/>
  <c r="R62" i="12"/>
  <c r="C55" i="12"/>
  <c r="G55" i="12"/>
  <c r="O55" i="12"/>
  <c r="S55" i="12"/>
  <c r="D48" i="12"/>
  <c r="B46" i="12"/>
  <c r="F46" i="12"/>
  <c r="R46" i="12"/>
  <c r="O44" i="12"/>
  <c r="E44" i="12"/>
  <c r="R43" i="12"/>
  <c r="E42" i="12"/>
  <c r="C39" i="12"/>
  <c r="G39" i="12"/>
  <c r="O39" i="12"/>
  <c r="R36" i="12"/>
  <c r="G36" i="12"/>
  <c r="D34" i="12"/>
  <c r="B34" i="12"/>
  <c r="F34" i="12"/>
  <c r="O32" i="12"/>
  <c r="G32" i="12"/>
  <c r="D30" i="12"/>
  <c r="P30" i="12"/>
  <c r="B30" i="12"/>
  <c r="F30" i="12"/>
  <c r="G28" i="12"/>
  <c r="D26" i="12"/>
  <c r="B26" i="12"/>
  <c r="F26" i="12"/>
  <c r="R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K72" i="12"/>
  <c r="G72" i="12"/>
  <c r="I64" i="12"/>
  <c r="C64" i="12"/>
  <c r="C63" i="12"/>
  <c r="G63" i="12"/>
  <c r="O63" i="12"/>
  <c r="D62" i="12"/>
  <c r="D56" i="12"/>
  <c r="N55" i="12"/>
  <c r="D55" i="12"/>
  <c r="B54" i="12"/>
  <c r="F54" i="12"/>
  <c r="N54" i="12"/>
  <c r="R54" i="12"/>
  <c r="C48" i="12"/>
  <c r="C47" i="12"/>
  <c r="G47" i="12"/>
  <c r="O47" i="12"/>
  <c r="D46" i="12"/>
  <c r="R44" i="12"/>
  <c r="G44" i="12"/>
  <c r="E43" i="12"/>
  <c r="D40" i="12"/>
  <c r="L40" i="12"/>
  <c r="P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L32" i="12"/>
  <c r="P32" i="12"/>
  <c r="B28" i="12"/>
  <c r="F28" i="12"/>
  <c r="D28" i="12"/>
  <c r="B24" i="12"/>
  <c r="F24" i="12"/>
  <c r="R24" i="12"/>
  <c r="D24" i="12"/>
  <c r="B20" i="12"/>
  <c r="F20" i="12"/>
  <c r="D20" i="12"/>
  <c r="B16" i="12"/>
  <c r="F16" i="12"/>
  <c r="R16" i="12"/>
  <c r="D16" i="12"/>
  <c r="B12" i="12"/>
  <c r="F12" i="12"/>
  <c r="N12" i="12"/>
  <c r="R12" i="12"/>
  <c r="D12" i="12"/>
  <c r="B8" i="12"/>
  <c r="F8" i="12"/>
  <c r="D8" i="12"/>
  <c r="S35" i="12"/>
  <c r="O35" i="12"/>
  <c r="G35" i="12"/>
  <c r="G31" i="12"/>
  <c r="S27" i="12"/>
  <c r="G27" i="12"/>
  <c r="G23" i="12"/>
  <c r="G19" i="12"/>
  <c r="O15" i="12"/>
  <c r="G15" i="12"/>
  <c r="G11" i="12"/>
  <c r="S7" i="12"/>
  <c r="O7"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G162" i="14" s="1"/>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G122" i="14" s="1"/>
  <c r="F122" i="14"/>
  <c r="E120" i="14"/>
  <c r="E114" i="14"/>
  <c r="B112" i="14"/>
  <c r="F112" i="14"/>
  <c r="D112" i="14"/>
  <c r="D106" i="14"/>
  <c r="B106" i="14"/>
  <c r="F106" i="14"/>
  <c r="E104" i="14"/>
  <c r="E98" i="14"/>
  <c r="B96" i="14"/>
  <c r="G96" i="14" s="1"/>
  <c r="F96" i="14"/>
  <c r="D96" i="14"/>
  <c r="D90" i="14"/>
  <c r="B90" i="14"/>
  <c r="F90" i="14"/>
  <c r="E88" i="14"/>
  <c r="C82" i="14"/>
  <c r="D82" i="14"/>
  <c r="B82" i="14"/>
  <c r="G82" i="14" s="1"/>
  <c r="F82" i="14"/>
  <c r="B166" i="14"/>
  <c r="F166" i="14"/>
  <c r="D163" i="14"/>
  <c r="D158" i="14"/>
  <c r="C152" i="14"/>
  <c r="B150" i="14"/>
  <c r="F150" i="14"/>
  <c r="D147" i="14"/>
  <c r="G143"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G94" i="14" s="1"/>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G22" i="14" s="1"/>
  <c r="F22" i="14"/>
  <c r="B54" i="14"/>
  <c r="F54" i="14"/>
  <c r="D42" i="14"/>
  <c r="B42" i="14"/>
  <c r="F42" i="14"/>
  <c r="E40" i="14"/>
  <c r="G37" i="14"/>
  <c r="B32" i="14"/>
  <c r="G4" i="21" s="1"/>
  <c r="F32" i="14"/>
  <c r="D32" i="14"/>
  <c r="D26" i="14"/>
  <c r="B26" i="14"/>
  <c r="G26" i="14" s="1"/>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F4" i="21" s="1"/>
  <c r="B24" i="14"/>
  <c r="F24" i="14"/>
  <c r="D24" i="14"/>
  <c r="D20" i="14"/>
  <c r="F18" i="14"/>
  <c r="B18" i="14"/>
  <c r="G18" i="14" s="1"/>
  <c r="D16" i="14"/>
  <c r="F14" i="14"/>
  <c r="B14" i="14"/>
  <c r="G14" i="14" s="1"/>
  <c r="D12" i="14"/>
  <c r="F10" i="14"/>
  <c r="B10" i="14"/>
  <c r="D8" i="14"/>
  <c r="F20" i="14"/>
  <c r="D18" i="14"/>
  <c r="F16" i="14"/>
  <c r="D14" i="14"/>
  <c r="F12" i="14"/>
  <c r="D10" i="14"/>
  <c r="F8" i="14"/>
  <c r="N182" i="12" l="1"/>
  <c r="M177" i="12"/>
  <c r="N174" i="12"/>
  <c r="N178" i="12"/>
  <c r="N185" i="12"/>
  <c r="N177" i="12"/>
  <c r="E29" i="3"/>
  <c r="N96" i="2"/>
  <c r="O96" i="2" s="1"/>
  <c r="G163" i="2"/>
  <c r="L146" i="7"/>
  <c r="F193" i="2"/>
  <c r="P165" i="5"/>
  <c r="P13" i="5"/>
  <c r="P37" i="5"/>
  <c r="P73" i="5"/>
  <c r="P71" i="12"/>
  <c r="S89" i="12"/>
  <c r="M97" i="5"/>
  <c r="S115" i="12"/>
  <c r="O132" i="12"/>
  <c r="L51" i="12"/>
  <c r="M20" i="12"/>
  <c r="L15" i="7"/>
  <c r="D117" i="7"/>
  <c r="C51" i="7"/>
  <c r="D91" i="7"/>
  <c r="J127" i="7"/>
  <c r="E15" i="7"/>
  <c r="L127" i="7"/>
  <c r="D51" i="7"/>
  <c r="C62" i="7"/>
  <c r="B188" i="7"/>
  <c r="H170" i="7"/>
  <c r="J49" i="2"/>
  <c r="K49" i="2" s="1"/>
  <c r="F89" i="2"/>
  <c r="N105" i="2"/>
  <c r="O105" i="2" s="1"/>
  <c r="P108" i="5"/>
  <c r="I15" i="7"/>
  <c r="O8" i="7"/>
  <c r="F51" i="7"/>
  <c r="D16" i="7"/>
  <c r="O24" i="7"/>
  <c r="N91" i="7"/>
  <c r="E60" i="7"/>
  <c r="C84" i="7"/>
  <c r="I118" i="7"/>
  <c r="I170" i="7"/>
  <c r="P36" i="5"/>
  <c r="M16" i="7"/>
  <c r="E52" i="7"/>
  <c r="M38" i="7"/>
  <c r="F38" i="7"/>
  <c r="H65" i="7"/>
  <c r="C65" i="7"/>
  <c r="I33" i="7"/>
  <c r="C8" i="7"/>
  <c r="N181" i="7"/>
  <c r="J69" i="7"/>
  <c r="J182" i="12"/>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K171" i="12"/>
  <c r="R123" i="12"/>
  <c r="S128" i="12"/>
  <c r="P159" i="12"/>
  <c r="K117" i="7"/>
  <c r="F69" i="7"/>
  <c r="H171" i="12"/>
  <c r="J86" i="5"/>
  <c r="K13" i="3"/>
  <c r="H74" i="3"/>
  <c r="K170" i="7"/>
  <c r="J170" i="12" s="1"/>
  <c r="G61" i="2"/>
  <c r="C24" i="7"/>
  <c r="J43" i="7"/>
  <c r="B91" i="7"/>
  <c r="G187" i="2"/>
  <c r="G123" i="14"/>
  <c r="E38" i="7"/>
  <c r="D52" i="7"/>
  <c r="I60" i="7"/>
  <c r="F62" i="7"/>
  <c r="J118" i="7"/>
  <c r="L52" i="7"/>
  <c r="H86" i="7"/>
  <c r="J169" i="7"/>
  <c r="G33" i="7"/>
  <c r="F127" i="7"/>
  <c r="E117" i="7"/>
  <c r="H170" i="12"/>
  <c r="S34" i="12"/>
  <c r="S152" i="12"/>
  <c r="O118" i="7"/>
  <c r="B69" i="7"/>
  <c r="H181" i="12"/>
  <c r="K78" i="7"/>
  <c r="H31" i="3"/>
  <c r="E74" i="3"/>
  <c r="G170" i="7"/>
  <c r="E25" i="3"/>
  <c r="F121" i="2"/>
  <c r="G167" i="14"/>
  <c r="P66" i="5"/>
  <c r="G52" i="7"/>
  <c r="K11" i="7"/>
  <c r="N60" i="7"/>
  <c r="K60" i="7"/>
  <c r="J60" i="12" s="1"/>
  <c r="N123" i="7"/>
  <c r="K129" i="3"/>
  <c r="N38" i="7"/>
  <c r="C52" i="7"/>
  <c r="C60" i="7"/>
  <c r="E62" i="7"/>
  <c r="E86" i="7"/>
  <c r="F167" i="7"/>
  <c r="I188" i="7"/>
  <c r="N136" i="2"/>
  <c r="O136" i="2" s="1"/>
  <c r="F86" i="7"/>
  <c r="M170" i="7"/>
  <c r="M52" i="7"/>
  <c r="K127" i="7"/>
  <c r="E33" i="7"/>
  <c r="L33" i="7"/>
  <c r="Q97" i="12"/>
  <c r="R69" i="12"/>
  <c r="R128" i="12"/>
  <c r="R152" i="12"/>
  <c r="R25" i="12"/>
  <c r="K15" i="7"/>
  <c r="O38" i="7"/>
  <c r="K118" i="7"/>
  <c r="H117" i="7"/>
  <c r="G188" i="7"/>
  <c r="C170" i="7"/>
  <c r="E27" i="3"/>
  <c r="K164" i="3"/>
  <c r="N85" i="2"/>
  <c r="O85" i="2" s="1"/>
  <c r="F106" i="2"/>
  <c r="P84" i="5"/>
  <c r="K52" i="7"/>
  <c r="C11" i="7"/>
  <c r="G60" i="7"/>
  <c r="N24" i="7"/>
  <c r="J60" i="7"/>
  <c r="D129" i="7"/>
  <c r="K56" i="3"/>
  <c r="E170" i="3"/>
  <c r="M67" i="5"/>
  <c r="I38" i="7"/>
  <c r="L65" i="7"/>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D62" i="7"/>
  <c r="G118" i="7"/>
  <c r="H69" i="7"/>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J171" i="12"/>
  <c r="R98" i="12"/>
  <c r="I127" i="7"/>
  <c r="G38" i="7"/>
  <c r="I62" i="7"/>
  <c r="E69" i="7"/>
  <c r="C118" i="7"/>
  <c r="J63" i="12"/>
  <c r="N117" i="7"/>
  <c r="M69" i="7"/>
  <c r="K77" i="3"/>
  <c r="H188" i="7"/>
  <c r="N170" i="7"/>
  <c r="K188" i="7"/>
  <c r="F61" i="2"/>
  <c r="N169" i="2"/>
  <c r="O169" i="2" s="1"/>
  <c r="G157" i="14"/>
  <c r="F24" i="7"/>
  <c r="E181" i="7"/>
  <c r="M8" i="7"/>
  <c r="D65" i="7"/>
  <c r="E129" i="7"/>
  <c r="O51" i="7"/>
  <c r="D181" i="7"/>
  <c r="H33" i="7"/>
  <c r="D86" i="7"/>
  <c r="O117" i="7"/>
  <c r="D127" i="7"/>
  <c r="R126" i="12"/>
  <c r="R106" i="12"/>
  <c r="N15" i="7"/>
  <c r="D69" i="7"/>
  <c r="N127" i="7"/>
  <c r="N33" i="7"/>
  <c r="C38" i="7"/>
  <c r="N62" i="7"/>
  <c r="K69" i="7"/>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E51" i="7"/>
  <c r="H64" i="3"/>
  <c r="K28" i="3"/>
  <c r="I181" i="7"/>
  <c r="I180" i="12" s="1"/>
  <c r="M33" i="7"/>
  <c r="K129" i="7"/>
  <c r="E91" i="7"/>
  <c r="K33" i="7"/>
  <c r="J33" i="12" s="1"/>
  <c r="J91" i="7"/>
  <c r="P152" i="12"/>
  <c r="N51" i="7"/>
  <c r="Q103" i="12"/>
  <c r="J15" i="7"/>
  <c r="I69" i="7"/>
  <c r="J33" i="7"/>
  <c r="M55" i="7"/>
  <c r="K181" i="7"/>
  <c r="J181" i="12" s="1"/>
  <c r="F117" i="7"/>
  <c r="O15" i="7"/>
  <c r="O62" i="7"/>
  <c r="H172" i="12"/>
  <c r="J152" i="5"/>
  <c r="K162" i="3"/>
  <c r="N188" i="7"/>
  <c r="F170" i="7"/>
  <c r="H30" i="3"/>
  <c r="N45" i="2"/>
  <c r="O45" i="2" s="1"/>
  <c r="N117" i="2"/>
  <c r="O117" i="2" s="1"/>
  <c r="E11" i="7"/>
  <c r="L24" i="7"/>
  <c r="H60" i="7"/>
  <c r="K51" i="7"/>
  <c r="J51" i="12" s="1"/>
  <c r="B99" i="7"/>
  <c r="M143" i="5"/>
  <c r="N86" i="7"/>
  <c r="G51" i="7"/>
  <c r="B181" i="7"/>
  <c r="L38" i="7"/>
  <c r="G31" i="14"/>
  <c r="O91" i="7"/>
  <c r="M75" i="5"/>
  <c r="K69" i="12"/>
  <c r="M56" i="12"/>
  <c r="L55" i="12"/>
  <c r="F15" i="7"/>
  <c r="O69" i="7"/>
  <c r="F33" i="7"/>
  <c r="L91" i="7"/>
  <c r="L123" i="7"/>
  <c r="O181" i="7"/>
  <c r="B117" i="7"/>
  <c r="J89" i="7"/>
  <c r="G127" i="7"/>
  <c r="K172" i="12"/>
  <c r="K182" i="12"/>
  <c r="M84" i="5"/>
  <c r="E53" i="3"/>
  <c r="J188" i="7"/>
  <c r="N161" i="2"/>
  <c r="O161" i="2" s="1"/>
  <c r="D11" i="7"/>
  <c r="H24" i="7"/>
  <c r="C164" i="7"/>
  <c r="M24" i="7"/>
  <c r="H52" i="7"/>
  <c r="C181" i="7"/>
  <c r="H187" i="3"/>
  <c r="K136" i="3"/>
  <c r="E76" i="3"/>
  <c r="P10" i="12"/>
  <c r="S125" i="12"/>
  <c r="G40" i="2"/>
  <c r="N181" i="2"/>
  <c r="O181" i="2" s="1"/>
  <c r="J88" i="2"/>
  <c r="K88" i="2" s="1"/>
  <c r="D98" i="7"/>
  <c r="O132" i="7"/>
  <c r="B134" i="7"/>
  <c r="B144" i="7"/>
  <c r="K136" i="7"/>
  <c r="M136" i="7"/>
  <c r="G13" i="7"/>
  <c r="D136" i="7"/>
  <c r="E100" i="7"/>
  <c r="P101" i="5"/>
  <c r="C96" i="7"/>
  <c r="B100" i="7"/>
  <c r="G136" i="7"/>
  <c r="H96" i="7"/>
  <c r="M96" i="7"/>
  <c r="E183" i="3"/>
  <c r="O96" i="7"/>
  <c r="J95" i="12"/>
  <c r="R125" i="12"/>
  <c r="H68" i="3"/>
  <c r="G122" i="2"/>
  <c r="H100" i="7"/>
  <c r="F98" i="7"/>
  <c r="E132" i="7"/>
  <c r="B136" i="7"/>
  <c r="K132" i="7"/>
  <c r="L144" i="7"/>
  <c r="E13" i="7"/>
  <c r="N136" i="7"/>
  <c r="N92" i="2"/>
  <c r="O92" i="2" s="1"/>
  <c r="J100" i="7"/>
  <c r="M188" i="7"/>
  <c r="P69" i="5"/>
  <c r="L96" i="7"/>
  <c r="K100" i="7"/>
  <c r="D100" i="7"/>
  <c r="K171" i="3"/>
  <c r="L90" i="7"/>
  <c r="K90" i="12" s="1"/>
  <c r="G100" i="7"/>
  <c r="M100" i="7"/>
  <c r="P131" i="5"/>
  <c r="L100" i="7"/>
  <c r="J35" i="7"/>
  <c r="C107" i="7"/>
  <c r="D132" i="7"/>
  <c r="J136" i="7"/>
  <c r="L121" i="7"/>
  <c r="I136" i="7"/>
  <c r="P42" i="5"/>
  <c r="O100" i="7"/>
  <c r="D96" i="7"/>
  <c r="C100" i="7"/>
  <c r="L113" i="7"/>
  <c r="N100" i="7"/>
  <c r="C25" i="7"/>
  <c r="N24" i="12"/>
  <c r="S28" i="12"/>
  <c r="N110" i="12"/>
  <c r="P63" i="12"/>
  <c r="Q157" i="12"/>
  <c r="M128" i="12"/>
  <c r="L43" i="7"/>
  <c r="H123" i="7"/>
  <c r="G78" i="7"/>
  <c r="F89" i="7"/>
  <c r="H178" i="7"/>
  <c r="G137" i="2"/>
  <c r="F134" i="2"/>
  <c r="O16" i="7"/>
  <c r="E43" i="7"/>
  <c r="K55" i="7"/>
  <c r="E16" i="7"/>
  <c r="C121" i="7"/>
  <c r="C89" i="7"/>
  <c r="E89" i="7"/>
  <c r="F123" i="7"/>
  <c r="M77" i="5"/>
  <c r="H43" i="7"/>
  <c r="G87" i="7"/>
  <c r="D123" i="7"/>
  <c r="C78" i="7"/>
  <c r="B89" i="7"/>
  <c r="N121" i="7"/>
  <c r="D178" i="7"/>
  <c r="K16" i="7"/>
  <c r="M43" i="7"/>
  <c r="F78" i="7"/>
  <c r="H121" i="7"/>
  <c r="K87" i="7"/>
  <c r="M178" i="7"/>
  <c r="M121" i="7"/>
  <c r="L89" i="7"/>
  <c r="O123" i="7"/>
  <c r="S131" i="12"/>
  <c r="Q93" i="12"/>
  <c r="N122" i="12"/>
  <c r="D43" i="7"/>
  <c r="M87" i="7"/>
  <c r="I126" i="7"/>
  <c r="N133" i="7"/>
  <c r="J121" i="7"/>
  <c r="O178" i="7"/>
  <c r="E133" i="3"/>
  <c r="K148" i="3"/>
  <c r="J122" i="2"/>
  <c r="K122" i="2" s="1"/>
  <c r="G16" i="7"/>
  <c r="G43" i="7"/>
  <c r="M78" i="7"/>
  <c r="G123" i="7"/>
  <c r="I87" i="7"/>
  <c r="I178" i="7"/>
  <c r="I178" i="12" s="1"/>
  <c r="I43" i="7"/>
  <c r="E123" i="7"/>
  <c r="P97" i="5"/>
  <c r="N66" i="2"/>
  <c r="O66" i="2" s="1"/>
  <c r="C16" i="7"/>
  <c r="B43" i="7"/>
  <c r="B78" i="7"/>
  <c r="M123" i="7"/>
  <c r="N87" i="7"/>
  <c r="E178" i="7"/>
  <c r="F43" i="7"/>
  <c r="M89" i="7"/>
  <c r="B123" i="7"/>
  <c r="H89" i="7"/>
  <c r="G66" i="14"/>
  <c r="R28" i="12"/>
  <c r="L56" i="12"/>
  <c r="L123" i="12"/>
  <c r="H55" i="7"/>
  <c r="D133" i="7"/>
  <c r="I89" i="7"/>
  <c r="I89" i="12" s="1"/>
  <c r="F133" i="7"/>
  <c r="B121" i="7"/>
  <c r="G178" i="7"/>
  <c r="K149" i="3"/>
  <c r="J39" i="2"/>
  <c r="K39" i="2" s="1"/>
  <c r="N65" i="2"/>
  <c r="O65" i="2" s="1"/>
  <c r="H78" i="7"/>
  <c r="H78" i="12" s="1"/>
  <c r="C87" i="7"/>
  <c r="C43" i="7"/>
  <c r="E126" i="7"/>
  <c r="K89" i="7"/>
  <c r="D89" i="7"/>
  <c r="J133" i="7"/>
  <c r="F121" i="7"/>
  <c r="K178" i="7"/>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L55" i="7"/>
  <c r="N20" i="12"/>
  <c r="P168" i="12"/>
  <c r="Q143" i="12"/>
  <c r="I78" i="7"/>
  <c r="I78" i="12" s="1"/>
  <c r="E133" i="7"/>
  <c r="J55" i="7"/>
  <c r="E87" i="7"/>
  <c r="J128" i="5"/>
  <c r="N178" i="7"/>
  <c r="F16" i="7"/>
  <c r="N55" i="7"/>
  <c r="N170" i="12"/>
  <c r="L168" i="12"/>
  <c r="Q107" i="12"/>
  <c r="N78" i="7"/>
  <c r="D121" i="7"/>
  <c r="K133" i="7"/>
  <c r="O55" i="7"/>
  <c r="J87" i="7"/>
  <c r="H133" i="7"/>
  <c r="J140" i="5"/>
  <c r="J178" i="7"/>
  <c r="F81" i="2"/>
  <c r="B16" i="7"/>
  <c r="C55" i="7"/>
  <c r="K121" i="7"/>
  <c r="S113" i="12"/>
  <c r="R124" i="12"/>
  <c r="L87" i="7"/>
  <c r="I121" i="7"/>
  <c r="I121" i="12" s="1"/>
  <c r="O87" i="7"/>
  <c r="M133" i="7"/>
  <c r="F178" i="7"/>
  <c r="J174" i="2"/>
  <c r="K174" i="2" s="1"/>
  <c r="L16" i="7"/>
  <c r="I55" i="7"/>
  <c r="C123" i="7"/>
  <c r="L133" i="7"/>
  <c r="M186" i="7"/>
  <c r="N124" i="12"/>
  <c r="H87" i="7"/>
  <c r="G55" i="7"/>
  <c r="O121" i="7"/>
  <c r="O78" i="7"/>
  <c r="N89" i="7"/>
  <c r="G81" i="2"/>
  <c r="F137" i="2"/>
  <c r="G134" i="2"/>
  <c r="B55" i="7"/>
  <c r="O43" i="7"/>
  <c r="N43" i="7"/>
  <c r="I123" i="7"/>
  <c r="I123" i="12" s="1"/>
  <c r="G21" i="7"/>
  <c r="S11" i="12"/>
  <c r="F123" i="5"/>
  <c r="G123" i="5" s="1"/>
  <c r="O168" i="12"/>
  <c r="N90" i="12"/>
  <c r="M134" i="12"/>
  <c r="L116" i="12"/>
  <c r="E97" i="5"/>
  <c r="N98" i="7"/>
  <c r="M49" i="7"/>
  <c r="D163" i="7"/>
  <c r="H97" i="7"/>
  <c r="H97" i="12" s="1"/>
  <c r="J180" i="12"/>
  <c r="L97" i="7"/>
  <c r="K97" i="12" s="1"/>
  <c r="N106" i="12"/>
  <c r="H121" i="3"/>
  <c r="H49" i="7"/>
  <c r="H49" i="12" s="1"/>
  <c r="G49" i="7"/>
  <c r="O163" i="7"/>
  <c r="O175" i="7"/>
  <c r="P81" i="5"/>
  <c r="G116" i="7"/>
  <c r="P107" i="12"/>
  <c r="L111" i="12"/>
  <c r="O97" i="7"/>
  <c r="C49" i="7"/>
  <c r="K163" i="7"/>
  <c r="I181" i="12"/>
  <c r="E182" i="7"/>
  <c r="L109" i="7"/>
  <c r="J175" i="7"/>
  <c r="F111" i="7"/>
  <c r="P80" i="5"/>
  <c r="G37" i="7"/>
  <c r="I97" i="7"/>
  <c r="D177" i="7"/>
  <c r="G163" i="7"/>
  <c r="I182" i="7"/>
  <c r="E175" i="7"/>
  <c r="K97" i="7"/>
  <c r="J97" i="12" s="1"/>
  <c r="G175" i="7"/>
  <c r="I116" i="7"/>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J49" i="12" s="1"/>
  <c r="M57" i="7"/>
  <c r="L37" i="7"/>
  <c r="F175" i="7"/>
  <c r="F154" i="7"/>
  <c r="F116" i="7"/>
  <c r="M171" i="12"/>
  <c r="M39" i="5"/>
  <c r="L57" i="7"/>
  <c r="K57" i="12" s="1"/>
  <c r="E163" i="7"/>
  <c r="I37" i="7"/>
  <c r="G109" i="7"/>
  <c r="L118" i="7"/>
  <c r="K118" i="12" s="1"/>
  <c r="M175" i="7"/>
  <c r="F177" i="7"/>
  <c r="S167" i="12"/>
  <c r="J162" i="5"/>
  <c r="N49" i="2"/>
  <c r="O49" i="2" s="1"/>
  <c r="P104" i="5"/>
  <c r="E57" i="7"/>
  <c r="O49" i="7"/>
  <c r="H175" i="7"/>
  <c r="H175" i="12" s="1"/>
  <c r="M163" i="7"/>
  <c r="D37" i="7"/>
  <c r="I163" i="7"/>
  <c r="O109" i="7"/>
  <c r="K175" i="7"/>
  <c r="B175" i="7"/>
  <c r="C97" i="7"/>
  <c r="L20" i="12"/>
  <c r="J31" i="5"/>
  <c r="F69" i="2"/>
  <c r="I170" i="12"/>
  <c r="K57" i="7"/>
  <c r="J57" i="12" s="1"/>
  <c r="I49" i="7"/>
  <c r="L175" i="7"/>
  <c r="F163" i="7"/>
  <c r="L163" i="7"/>
  <c r="C37" i="7"/>
  <c r="L177" i="7"/>
  <c r="E97" i="7"/>
  <c r="D13" i="28"/>
  <c r="D12" i="28"/>
  <c r="G153" i="2"/>
  <c r="J3" i="21"/>
  <c r="E158" i="3"/>
  <c r="F179" i="2"/>
  <c r="K53" i="3"/>
  <c r="E142" i="3"/>
  <c r="F153" i="2"/>
  <c r="H3" i="21"/>
  <c r="S85" i="12"/>
  <c r="J153" i="2"/>
  <c r="K153" i="2" s="1"/>
  <c r="B3" i="21"/>
  <c r="P155" i="5"/>
  <c r="B10" i="28"/>
  <c r="J171" i="2"/>
  <c r="K171" i="2" s="1"/>
  <c r="D10" i="28"/>
  <c r="E234" i="2"/>
  <c r="D11" i="28"/>
  <c r="I171" i="12"/>
  <c r="P151" i="5"/>
  <c r="G74" i="2"/>
  <c r="N75" i="12"/>
  <c r="M158" i="12"/>
  <c r="J66" i="5"/>
  <c r="K170" i="3"/>
  <c r="K172" i="3"/>
  <c r="B82" i="7"/>
  <c r="C179" i="7"/>
  <c r="B10" i="7"/>
  <c r="N26" i="7"/>
  <c r="E10" i="7"/>
  <c r="J58" i="12"/>
  <c r="L90" i="12"/>
  <c r="S141" i="12"/>
  <c r="O161" i="7"/>
  <c r="K26" i="7"/>
  <c r="I179" i="12"/>
  <c r="H131" i="7"/>
  <c r="H131" i="12" s="1"/>
  <c r="J74" i="2"/>
  <c r="K74" i="2" s="1"/>
  <c r="P68" i="5"/>
  <c r="N70" i="7"/>
  <c r="N179" i="7"/>
  <c r="E131" i="7"/>
  <c r="F161" i="7"/>
  <c r="F131" i="7"/>
  <c r="H10" i="7"/>
  <c r="H161" i="7"/>
  <c r="H161" i="12" s="1"/>
  <c r="J10" i="7"/>
  <c r="Q149" i="12"/>
  <c r="G26" i="7"/>
  <c r="M118" i="5"/>
  <c r="D131" i="7"/>
  <c r="I70" i="7"/>
  <c r="E161" i="7"/>
  <c r="J179" i="7"/>
  <c r="H44" i="3"/>
  <c r="K131" i="7"/>
  <c r="M161" i="7"/>
  <c r="M131" i="7"/>
  <c r="M10" i="7"/>
  <c r="C161" i="7"/>
  <c r="O131" i="7"/>
  <c r="K116" i="7"/>
  <c r="C26" i="7"/>
  <c r="G18" i="2"/>
  <c r="J83" i="2"/>
  <c r="K83" i="2" s="1"/>
  <c r="D70" i="7"/>
  <c r="J161" i="7"/>
  <c r="F179" i="7"/>
  <c r="I26" i="7"/>
  <c r="J70" i="7"/>
  <c r="E165" i="7"/>
  <c r="L26" i="7"/>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J69" i="12"/>
  <c r="I131" i="7"/>
  <c r="I131" i="12" s="1"/>
  <c r="O165" i="7"/>
  <c r="M16" i="5"/>
  <c r="E82" i="7"/>
  <c r="F73" i="2"/>
  <c r="P92" i="5"/>
  <c r="H165" i="7"/>
  <c r="D165" i="7"/>
  <c r="H179" i="7"/>
  <c r="D26" i="7"/>
  <c r="D161" i="7"/>
  <c r="M70" i="7"/>
  <c r="F10" i="7"/>
  <c r="C116" i="7"/>
  <c r="L8" i="12"/>
  <c r="R169" i="12"/>
  <c r="N35" i="12"/>
  <c r="O70" i="7"/>
  <c r="H179" i="12"/>
  <c r="J83" i="12"/>
  <c r="J82" i="7"/>
  <c r="N34" i="2"/>
  <c r="O34" i="2" s="1"/>
  <c r="F26" i="7"/>
  <c r="L82" i="7"/>
  <c r="K82" i="12" s="1"/>
  <c r="M165" i="7"/>
  <c r="I165" i="7"/>
  <c r="D179" i="7"/>
  <c r="F32" i="2"/>
  <c r="F165" i="7"/>
  <c r="L165" i="7"/>
  <c r="K165" i="12" s="1"/>
  <c r="O116" i="7"/>
  <c r="L130" i="12"/>
  <c r="R141" i="12"/>
  <c r="M150" i="12"/>
  <c r="K70" i="7"/>
  <c r="J70" i="12" s="1"/>
  <c r="K83" i="12"/>
  <c r="K79" i="3"/>
  <c r="E188" i="3"/>
  <c r="I82" i="7"/>
  <c r="I82" i="12" s="1"/>
  <c r="O179" i="7"/>
  <c r="D10" i="7"/>
  <c r="H70" i="7"/>
  <c r="M34" i="12"/>
  <c r="G70" i="7"/>
  <c r="H83" i="12"/>
  <c r="H164" i="12"/>
  <c r="F18" i="2"/>
  <c r="F98" i="2"/>
  <c r="N82" i="7"/>
  <c r="M150" i="7"/>
  <c r="I10" i="7"/>
  <c r="B116" i="7"/>
  <c r="L70" i="7"/>
  <c r="G19" i="14"/>
  <c r="H22" i="12"/>
  <c r="H135" i="3"/>
  <c r="H52" i="3"/>
  <c r="J116" i="7"/>
  <c r="M160" i="5"/>
  <c r="K40" i="3"/>
  <c r="H131" i="3"/>
  <c r="H96" i="3"/>
  <c r="K119" i="3"/>
  <c r="P79" i="5"/>
  <c r="P123" i="5"/>
  <c r="K32" i="3"/>
  <c r="H112" i="3"/>
  <c r="L64" i="12"/>
  <c r="D47" i="7"/>
  <c r="N73" i="2"/>
  <c r="O73" i="2" s="1"/>
  <c r="G152" i="2"/>
  <c r="O156" i="7"/>
  <c r="D187" i="7"/>
  <c r="J187" i="7"/>
  <c r="I47" i="7"/>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K130" i="12" s="1"/>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K187" i="12" s="1"/>
  <c r="E172" i="7"/>
  <c r="H88" i="3"/>
  <c r="K59" i="7"/>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M124" i="5"/>
  <c r="G47" i="7"/>
  <c r="H85" i="7"/>
  <c r="H85" i="12" s="1"/>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N143" i="12"/>
  <c r="M113" i="12"/>
  <c r="C47" i="7"/>
  <c r="J130" i="7"/>
  <c r="H87" i="3"/>
  <c r="J178" i="2"/>
  <c r="K178" i="2" s="1"/>
  <c r="J66" i="2"/>
  <c r="K66" i="2" s="1"/>
  <c r="F130" i="2"/>
  <c r="B59" i="7"/>
  <c r="N155" i="2"/>
  <c r="O155" i="2" s="1"/>
  <c r="E96" i="3"/>
  <c r="P45" i="5"/>
  <c r="P46" i="5"/>
  <c r="J173" i="2"/>
  <c r="K173" i="2" s="1"/>
  <c r="H126" i="12"/>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K125" i="12" s="1"/>
  <c r="M125" i="7"/>
  <c r="K125" i="7"/>
  <c r="J125" i="12" s="1"/>
  <c r="H125" i="7"/>
  <c r="H125" i="12" s="1"/>
  <c r="B125" i="7"/>
  <c r="E125" i="7"/>
  <c r="F125" i="7"/>
  <c r="J125" i="7"/>
  <c r="O125" i="7"/>
  <c r="N125" i="7"/>
  <c r="D125" i="7"/>
  <c r="G125" i="7"/>
  <c r="B122" i="7"/>
  <c r="L122" i="7"/>
  <c r="K122" i="12" s="1"/>
  <c r="O122" i="7"/>
  <c r="M122" i="7"/>
  <c r="H122" i="7"/>
  <c r="J122" i="7"/>
  <c r="N122" i="7"/>
  <c r="E122" i="7"/>
  <c r="I122" i="7"/>
  <c r="F122" i="7"/>
  <c r="G122" i="7"/>
  <c r="B48" i="7"/>
  <c r="H72" i="3"/>
  <c r="D102" i="7"/>
  <c r="I102" i="7"/>
  <c r="I102" i="12" s="1"/>
  <c r="N102" i="7"/>
  <c r="L102" i="7"/>
  <c r="K102" i="12" s="1"/>
  <c r="F102" i="7"/>
  <c r="M102" i="7"/>
  <c r="C102" i="7"/>
  <c r="G102" i="7"/>
  <c r="K102" i="7"/>
  <c r="O102" i="7"/>
  <c r="G137" i="7"/>
  <c r="O137" i="7"/>
  <c r="K113" i="12"/>
  <c r="E137" i="7"/>
  <c r="I157" i="12"/>
  <c r="I137" i="7"/>
  <c r="I137" i="12" s="1"/>
  <c r="K154" i="12"/>
  <c r="K163" i="12"/>
  <c r="H152" i="12"/>
  <c r="D137" i="7"/>
  <c r="H162" i="12"/>
  <c r="M137" i="7"/>
  <c r="K112" i="12"/>
  <c r="H154" i="12"/>
  <c r="C137" i="7"/>
  <c r="H112" i="12"/>
  <c r="H132" i="12"/>
  <c r="H137" i="7"/>
  <c r="H137" i="12" s="1"/>
  <c r="J162" i="12"/>
  <c r="H144" i="12"/>
  <c r="J136" i="12"/>
  <c r="K162" i="12"/>
  <c r="I158" i="12"/>
  <c r="K133"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H56" i="7"/>
  <c r="C56" i="7"/>
  <c r="L56" i="7"/>
  <c r="I56" i="7"/>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E48" i="7"/>
  <c r="O48" i="7"/>
  <c r="I48" i="7"/>
  <c r="F48" i="7"/>
  <c r="L163" i="12"/>
  <c r="L164" i="12"/>
  <c r="P164" i="12"/>
  <c r="R129" i="12"/>
  <c r="S129" i="12"/>
  <c r="N192" i="2"/>
  <c r="O192" i="2" s="1"/>
  <c r="L103" i="12"/>
  <c r="P103" i="12"/>
  <c r="E174" i="7"/>
  <c r="I174" i="7"/>
  <c r="I174" i="12" s="1"/>
  <c r="K174" i="7"/>
  <c r="J174" i="12" s="1"/>
  <c r="M174" i="7"/>
  <c r="O174" i="7"/>
  <c r="D174" i="7"/>
  <c r="K101" i="12"/>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89" i="12"/>
  <c r="K93" i="12"/>
  <c r="L11" i="12"/>
  <c r="Q151" i="12"/>
  <c r="I69" i="12"/>
  <c r="H50" i="7"/>
  <c r="I62" i="12"/>
  <c r="N99" i="7"/>
  <c r="E106" i="7"/>
  <c r="J45" i="5"/>
  <c r="H95" i="12"/>
  <c r="J89" i="12"/>
  <c r="H89" i="12"/>
  <c r="B73" i="7"/>
  <c r="L99" i="7"/>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H160" i="12"/>
  <c r="K31" i="3"/>
  <c r="K150" i="3"/>
  <c r="H81" i="12"/>
  <c r="H92" i="12"/>
  <c r="H90" i="12"/>
  <c r="H94" i="12"/>
  <c r="M116" i="12"/>
  <c r="Q57" i="12"/>
  <c r="S149" i="12"/>
  <c r="K50" i="7"/>
  <c r="J50" i="12" s="1"/>
  <c r="N61" i="7"/>
  <c r="K146" i="7"/>
  <c r="J146"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K70" i="12"/>
  <c r="H69" i="12"/>
  <c r="J77" i="12"/>
  <c r="M76" i="5"/>
  <c r="J118" i="5"/>
  <c r="K45" i="3"/>
  <c r="H138" i="3"/>
  <c r="H154" i="3"/>
  <c r="G93" i="2"/>
  <c r="J84" i="7"/>
  <c r="D80" i="7"/>
  <c r="O99" i="7"/>
  <c r="N132" i="2"/>
  <c r="O132" i="2" s="1"/>
  <c r="E32" i="3"/>
  <c r="H169" i="7"/>
  <c r="H169" i="12" s="1"/>
  <c r="B84" i="7"/>
  <c r="M99" i="7"/>
  <c r="I61" i="7"/>
  <c r="I61" i="12" s="1"/>
  <c r="L61" i="7"/>
  <c r="K61" i="12" s="1"/>
  <c r="L169" i="7"/>
  <c r="M73" i="7"/>
  <c r="P94" i="5"/>
  <c r="K88" i="12"/>
  <c r="N8" i="12"/>
  <c r="R14" i="12"/>
  <c r="M59" i="12"/>
  <c r="H96" i="12"/>
  <c r="C50" i="7"/>
  <c r="F61" i="7"/>
  <c r="C146" i="7"/>
  <c r="K91" i="12"/>
  <c r="F129" i="7"/>
  <c r="H146" i="7"/>
  <c r="H146" i="12" s="1"/>
  <c r="I166" i="12"/>
  <c r="J176" i="7"/>
  <c r="J30" i="5"/>
  <c r="H79" i="12"/>
  <c r="H72" i="12"/>
  <c r="I70"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78" i="12"/>
  <c r="J102" i="5"/>
  <c r="F25" i="2"/>
  <c r="F105" i="2"/>
  <c r="J138" i="2"/>
  <c r="K138" i="2" s="1"/>
  <c r="D50" i="7"/>
  <c r="I80" i="7"/>
  <c r="I80" i="12" s="1"/>
  <c r="H129" i="7"/>
  <c r="H129" i="12" s="1"/>
  <c r="K99" i="7"/>
  <c r="G44" i="2"/>
  <c r="H68" i="7"/>
  <c r="I167" i="7"/>
  <c r="C169" i="7"/>
  <c r="N108" i="2"/>
  <c r="O108" i="2" s="1"/>
  <c r="F8" i="7"/>
  <c r="B146" i="7"/>
  <c r="I176" i="7"/>
  <c r="I175" i="12" s="1"/>
  <c r="N84" i="7"/>
  <c r="K173" i="3"/>
  <c r="G100" i="14"/>
  <c r="G132" i="14"/>
  <c r="K63" i="12"/>
  <c r="J62" i="12"/>
  <c r="J67" i="12"/>
  <c r="J94" i="12"/>
  <c r="H77" i="12"/>
  <c r="H60" i="12"/>
  <c r="K175" i="12"/>
  <c r="M89" i="5"/>
  <c r="L181" i="12"/>
  <c r="K87" i="12"/>
  <c r="I106" i="7"/>
  <c r="H151" i="12"/>
  <c r="H59" i="12"/>
  <c r="J91"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G7" i="14"/>
  <c r="N146" i="7"/>
  <c r="H176" i="12"/>
  <c r="Q36" i="12"/>
  <c r="I63" i="12"/>
  <c r="H87" i="12"/>
  <c r="N106" i="7"/>
  <c r="D73" i="7"/>
  <c r="H93" i="12"/>
  <c r="K169" i="7"/>
  <c r="J169" i="12" s="1"/>
  <c r="J42" i="5"/>
  <c r="G106" i="7"/>
  <c r="I165" i="12"/>
  <c r="I87" i="12"/>
  <c r="K81" i="12"/>
  <c r="K82" i="3"/>
  <c r="E103" i="3"/>
  <c r="K67" i="3"/>
  <c r="G25" i="2"/>
  <c r="G105" i="2"/>
  <c r="J184" i="2"/>
  <c r="K184" i="2" s="1"/>
  <c r="F93" i="2"/>
  <c r="P138" i="5"/>
  <c r="P88" i="5"/>
  <c r="B50" i="7"/>
  <c r="M80" i="7"/>
  <c r="F106" i="7"/>
  <c r="I146" i="7"/>
  <c r="I146" i="12" s="1"/>
  <c r="K176" i="7"/>
  <c r="J176" i="12" s="1"/>
  <c r="E176" i="7"/>
  <c r="E8" i="3"/>
  <c r="C68" i="7"/>
  <c r="M167" i="7"/>
  <c r="I68" i="7"/>
  <c r="I68" i="12" s="1"/>
  <c r="G176" i="7"/>
  <c r="E8" i="7"/>
  <c r="J8" i="5"/>
  <c r="P33" i="5"/>
  <c r="P73" i="12"/>
  <c r="G58" i="14"/>
  <c r="G146" i="14"/>
  <c r="K80" i="12"/>
  <c r="M104" i="12"/>
  <c r="K96" i="12"/>
  <c r="O81" i="12"/>
  <c r="H61" i="7"/>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H165" i="12"/>
  <c r="K92" i="12"/>
  <c r="J88" i="12"/>
  <c r="J92" i="12"/>
  <c r="R79" i="12"/>
  <c r="H88" i="12"/>
  <c r="K100" i="12"/>
  <c r="M61" i="7"/>
  <c r="I67" i="12"/>
  <c r="O73" i="7"/>
  <c r="D126" i="7"/>
  <c r="J43" i="5"/>
  <c r="I92" i="12"/>
  <c r="H70" i="12"/>
  <c r="J73" i="7"/>
  <c r="D176" i="7"/>
  <c r="J126" i="5"/>
  <c r="E11" i="5"/>
  <c r="F11" i="5" s="1"/>
  <c r="G11" i="5" s="1"/>
  <c r="K94" i="3"/>
  <c r="G21" i="14"/>
  <c r="P146" i="5"/>
  <c r="B80" i="7"/>
  <c r="F163" i="2"/>
  <c r="G57" i="14"/>
  <c r="H8" i="7"/>
  <c r="H8" i="12" s="1"/>
  <c r="B68" i="7"/>
  <c r="M126" i="7"/>
  <c r="K68" i="7"/>
  <c r="J68" i="12" s="1"/>
  <c r="B167" i="7"/>
  <c r="D8" i="7"/>
  <c r="K167" i="7"/>
  <c r="G103" i="14"/>
  <c r="H147" i="3"/>
  <c r="N24" i="2"/>
  <c r="O24" i="2" s="1"/>
  <c r="F72" i="5"/>
  <c r="G72" i="5" s="1"/>
  <c r="J191" i="2"/>
  <c r="K191" i="2" s="1"/>
  <c r="F84" i="2"/>
  <c r="F60" i="2"/>
  <c r="G29" i="14"/>
  <c r="G148" i="14"/>
  <c r="K88" i="3"/>
  <c r="C232" i="2"/>
  <c r="F142" i="5"/>
  <c r="G142" i="5" s="1"/>
  <c r="F154" i="5"/>
  <c r="G154" i="5" s="1"/>
  <c r="I126" i="12"/>
  <c r="E65" i="5"/>
  <c r="F65" i="5" s="1"/>
  <c r="G65" i="5" s="1"/>
  <c r="N26" i="12"/>
  <c r="H81" i="3"/>
  <c r="H164" i="3"/>
  <c r="K44" i="3"/>
  <c r="G27" i="14"/>
  <c r="L187" i="12"/>
  <c r="L171" i="12"/>
  <c r="L159" i="12"/>
  <c r="L162" i="5"/>
  <c r="M162" i="5" s="1"/>
  <c r="N186" i="12"/>
  <c r="M156" i="5"/>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152" i="5"/>
  <c r="M72" i="5"/>
  <c r="J120" i="5"/>
  <c r="E118" i="5"/>
  <c r="F137" i="5"/>
  <c r="G137" i="5" s="1"/>
  <c r="H18" i="3"/>
  <c r="P63" i="5"/>
  <c r="E171" i="3"/>
  <c r="J132" i="5"/>
  <c r="J144" i="5"/>
  <c r="H183" i="3"/>
  <c r="K117" i="3"/>
  <c r="K55" i="12"/>
  <c r="G15" i="14"/>
  <c r="J35" i="5"/>
  <c r="K179" i="3"/>
  <c r="G90" i="14"/>
  <c r="P27" i="5"/>
  <c r="K131" i="3"/>
  <c r="E119" i="3"/>
  <c r="J90" i="5"/>
  <c r="H111" i="3"/>
  <c r="K37" i="3"/>
  <c r="E70" i="3"/>
  <c r="H93" i="3"/>
  <c r="E88" i="3"/>
  <c r="E98" i="5"/>
  <c r="F98" i="5" s="1"/>
  <c r="G98" i="5" s="1"/>
  <c r="M12" i="5"/>
  <c r="K16" i="3"/>
  <c r="H139" i="3"/>
  <c r="F71" i="5"/>
  <c r="G71" i="5" s="1"/>
  <c r="K52" i="3"/>
  <c r="K159" i="3"/>
  <c r="H20" i="12"/>
  <c r="I55" i="12"/>
  <c r="H18" i="12"/>
  <c r="N46" i="12"/>
  <c r="I51" i="12"/>
  <c r="J84" i="12"/>
  <c r="N114" i="12"/>
  <c r="S120" i="12"/>
  <c r="Q96" i="12"/>
  <c r="Q147" i="12"/>
  <c r="L75" i="7"/>
  <c r="K75" i="12" s="1"/>
  <c r="M31" i="5"/>
  <c r="N85" i="7"/>
  <c r="K74" i="12"/>
  <c r="M85" i="7"/>
  <c r="F165" i="5"/>
  <c r="G165" i="5" s="1"/>
  <c r="E181" i="3"/>
  <c r="J76" i="7"/>
  <c r="J120" i="7"/>
  <c r="H120" i="7"/>
  <c r="H120" i="12" s="1"/>
  <c r="G60" i="2"/>
  <c r="M108" i="7"/>
  <c r="C76" i="7"/>
  <c r="N139" i="7"/>
  <c r="J14" i="12"/>
  <c r="H122"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15" i="12"/>
  <c r="K20" i="12"/>
  <c r="N10" i="12"/>
  <c r="P84" i="12"/>
  <c r="P106" i="12"/>
  <c r="M152" i="12"/>
  <c r="M87" i="12"/>
  <c r="M117" i="12"/>
  <c r="N60" i="12"/>
  <c r="D85" i="7"/>
  <c r="K155" i="12"/>
  <c r="B85" i="7"/>
  <c r="J124" i="5"/>
  <c r="J129" i="5"/>
  <c r="F90" i="2"/>
  <c r="D120" i="7"/>
  <c r="K108" i="3"/>
  <c r="J20" i="2"/>
  <c r="K20" i="2" s="1"/>
  <c r="L156" i="7"/>
  <c r="K156" i="12" s="1"/>
  <c r="M156" i="7"/>
  <c r="J20" i="12"/>
  <c r="I48" i="12"/>
  <c r="P14" i="12"/>
  <c r="J26" i="12"/>
  <c r="P99" i="12"/>
  <c r="I85" i="7"/>
  <c r="I85" i="12" s="1"/>
  <c r="H86" i="3"/>
  <c r="B2" i="28"/>
  <c r="J35" i="2"/>
  <c r="K35" i="2" s="1"/>
  <c r="N108" i="7"/>
  <c r="I120" i="7"/>
  <c r="L85" i="7"/>
  <c r="K85" i="12" s="1"/>
  <c r="H50" i="12"/>
  <c r="H16" i="12"/>
  <c r="J8" i="12"/>
  <c r="J52" i="12"/>
  <c r="J86" i="12"/>
  <c r="H51" i="12"/>
  <c r="P140" i="12"/>
  <c r="M85" i="5"/>
  <c r="R107" i="12"/>
  <c r="S161" i="12"/>
  <c r="N63" i="12"/>
  <c r="O85" i="7"/>
  <c r="K86" i="12"/>
  <c r="H85" i="3"/>
  <c r="H70" i="3"/>
  <c r="N53" i="2"/>
  <c r="O53" i="2" s="1"/>
  <c r="P82" i="5"/>
  <c r="I108" i="7"/>
  <c r="O120" i="7"/>
  <c r="E179" i="3"/>
  <c r="I156" i="7"/>
  <c r="I156" i="12" s="1"/>
  <c r="L120" i="7"/>
  <c r="K120" i="12" s="1"/>
  <c r="K31" i="12"/>
  <c r="K24" i="12"/>
  <c r="H14" i="12"/>
  <c r="J22" i="12"/>
  <c r="H86" i="12"/>
  <c r="R120" i="12"/>
  <c r="H118" i="12"/>
  <c r="R31" i="12"/>
  <c r="R63" i="12"/>
  <c r="Q72" i="12"/>
  <c r="R161" i="12"/>
  <c r="J136" i="5"/>
  <c r="H62" i="3"/>
  <c r="J53" i="2"/>
  <c r="K53" i="2" s="1"/>
  <c r="C108" i="7"/>
  <c r="B156" i="7"/>
  <c r="G120" i="7"/>
  <c r="K19" i="12"/>
  <c r="H24" i="12"/>
  <c r="H26" i="12"/>
  <c r="N129" i="12"/>
  <c r="I86" i="12"/>
  <c r="E26" i="3"/>
  <c r="N22" i="2"/>
  <c r="O22" i="2" s="1"/>
  <c r="G37" i="2"/>
  <c r="L76" i="7"/>
  <c r="K76" i="12" s="1"/>
  <c r="L108" i="7"/>
  <c r="K108" i="12" s="1"/>
  <c r="J108" i="7"/>
  <c r="E108" i="7"/>
  <c r="E120" i="7"/>
  <c r="G71" i="14"/>
  <c r="K75" i="7"/>
  <c r="J75" i="12" s="1"/>
  <c r="I75" i="7"/>
  <c r="I75" i="12" s="1"/>
  <c r="C120" i="7"/>
  <c r="K7" i="12"/>
  <c r="J16" i="12"/>
  <c r="K12" i="12"/>
  <c r="J54" i="12"/>
  <c r="O76" i="12"/>
  <c r="J120" i="12"/>
  <c r="J118" i="12"/>
  <c r="M43" i="5"/>
  <c r="E85" i="7"/>
  <c r="F142" i="2"/>
  <c r="B4" i="28" s="1"/>
  <c r="O75" i="7"/>
  <c r="H76" i="7"/>
  <c r="H76" i="12" s="1"/>
  <c r="H108" i="7"/>
  <c r="F156" i="7"/>
  <c r="K108" i="7"/>
  <c r="C156" i="7"/>
  <c r="B76" i="7"/>
  <c r="G108" i="7"/>
  <c r="G75" i="7"/>
  <c r="O108" i="7"/>
  <c r="H52" i="12"/>
  <c r="K51" i="12"/>
  <c r="R60" i="12"/>
  <c r="S52" i="12"/>
  <c r="K85" i="7"/>
  <c r="J85" i="12" s="1"/>
  <c r="J49" i="5"/>
  <c r="F99" i="5"/>
  <c r="G99" i="5" s="1"/>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L101" i="5"/>
  <c r="M101" i="5" s="1"/>
  <c r="L107" i="5"/>
  <c r="M107" i="5" s="1"/>
  <c r="L105" i="5"/>
  <c r="M105" i="5" s="1"/>
  <c r="L111" i="5"/>
  <c r="M111" i="5" s="1"/>
  <c r="L65" i="5"/>
  <c r="L70" i="5"/>
  <c r="M70" i="5" s="1"/>
  <c r="N15" i="12"/>
  <c r="N17" i="12"/>
  <c r="O42" i="12"/>
  <c r="O45" i="12"/>
  <c r="Q45" i="12"/>
  <c r="M48" i="12"/>
  <c r="L82" i="5"/>
  <c r="L87" i="5"/>
  <c r="M87" i="5" s="1"/>
  <c r="L98" i="5"/>
  <c r="M98" i="5" s="1"/>
  <c r="L104" i="5"/>
  <c r="M104" i="5" s="1"/>
  <c r="N117" i="12"/>
  <c r="N123" i="12"/>
  <c r="L156" i="12"/>
  <c r="L159" i="5"/>
  <c r="M159" i="5" s="1"/>
  <c r="D233" i="2"/>
  <c r="O164" i="12"/>
  <c r="N171" i="12"/>
  <c r="L176" i="12"/>
  <c r="L185" i="12"/>
  <c r="B231" i="2"/>
  <c r="P142" i="12"/>
  <c r="L149" i="12"/>
  <c r="O24" i="12"/>
  <c r="O26" i="12"/>
  <c r="L11" i="5"/>
  <c r="L13" i="5"/>
  <c r="M13" i="5" s="1"/>
  <c r="L18" i="5"/>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L93" i="5"/>
  <c r="M93" i="5" s="1"/>
  <c r="L99" i="5"/>
  <c r="R101" i="12"/>
  <c r="N107" i="12"/>
  <c r="N105" i="12"/>
  <c r="N111" i="12"/>
  <c r="N109" i="12"/>
  <c r="N115" i="12"/>
  <c r="L23" i="12"/>
  <c r="L25" i="12"/>
  <c r="L15" i="5"/>
  <c r="M15" i="5" s="1"/>
  <c r="L17" i="5"/>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K170" i="12"/>
  <c r="E91" i="5"/>
  <c r="F91" i="5" s="1"/>
  <c r="G91" i="5" s="1"/>
  <c r="J154" i="12"/>
  <c r="E24" i="5"/>
  <c r="F24" i="5" s="1"/>
  <c r="G24" i="5" s="1"/>
  <c r="L94" i="5"/>
  <c r="O185" i="12"/>
  <c r="J183" i="12"/>
  <c r="M28" i="12"/>
  <c r="O21" i="12"/>
  <c r="L59" i="5"/>
  <c r="L79" i="5"/>
  <c r="M79" i="5" s="1"/>
  <c r="O89" i="12"/>
  <c r="L103" i="5"/>
  <c r="M103" i="5" s="1"/>
  <c r="L161" i="12"/>
  <c r="O149" i="12"/>
  <c r="L177" i="12"/>
  <c r="H65" i="12"/>
  <c r="E16" i="5"/>
  <c r="F16" i="5" s="1"/>
  <c r="G16" i="5" s="1"/>
  <c r="E75" i="5"/>
  <c r="F75" i="5" s="1"/>
  <c r="G75" i="5" s="1"/>
  <c r="E122" i="5"/>
  <c r="F122" i="5" s="1"/>
  <c r="G122" i="5" s="1"/>
  <c r="E112" i="5"/>
  <c r="F112" i="5" s="1"/>
  <c r="G112" i="5" s="1"/>
  <c r="L36" i="5"/>
  <c r="M36" i="5" s="1"/>
  <c r="O119" i="12"/>
  <c r="O93" i="12"/>
  <c r="O18" i="12"/>
  <c r="O56" i="12"/>
  <c r="M119" i="12"/>
  <c r="I176" i="12"/>
  <c r="K127" i="3"/>
  <c r="I81" i="12"/>
  <c r="G116" i="2"/>
  <c r="K104" i="3"/>
  <c r="N173" i="2"/>
  <c r="O173" i="2" s="1"/>
  <c r="P31" i="5"/>
  <c r="P153" i="5"/>
  <c r="N128" i="2"/>
  <c r="O128" i="2" s="1"/>
  <c r="J114" i="12"/>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J152" i="1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J59" i="12"/>
  <c r="K8" i="3"/>
  <c r="B7" i="28"/>
  <c r="E146" i="5"/>
  <c r="F146" i="5" s="1"/>
  <c r="G146" i="5" s="1"/>
  <c r="P121" i="5"/>
  <c r="P40" i="5"/>
  <c r="L27" i="5"/>
  <c r="M27" i="5" s="1"/>
  <c r="O29" i="12"/>
  <c r="N181" i="12"/>
  <c r="L120" i="12"/>
  <c r="L51" i="5"/>
  <c r="I182" i="12"/>
  <c r="O99" i="12"/>
  <c r="M183" i="12"/>
  <c r="I169" i="12"/>
  <c r="O100" i="12"/>
  <c r="L132" i="12"/>
  <c r="M63" i="12"/>
  <c r="O73" i="12"/>
  <c r="L40" i="5"/>
  <c r="M40" i="5" s="1"/>
  <c r="H61" i="12"/>
  <c r="J178" i="12"/>
  <c r="E94" i="5"/>
  <c r="F94" i="5" s="1"/>
  <c r="G94" i="5" s="1"/>
  <c r="E20" i="5"/>
  <c r="F20" i="5" s="1"/>
  <c r="G20" i="5" s="1"/>
  <c r="E36" i="5"/>
  <c r="F36" i="5" s="1"/>
  <c r="G36" i="5" s="1"/>
  <c r="E120" i="5"/>
  <c r="F120" i="5" s="1"/>
  <c r="G120" i="5" s="1"/>
  <c r="E161" i="5"/>
  <c r="F161" i="5" s="1"/>
  <c r="G161" i="5" s="1"/>
  <c r="M16" i="12"/>
  <c r="L14" i="5"/>
  <c r="M14" i="5" s="1"/>
  <c r="L75" i="12"/>
  <c r="H56" i="12"/>
  <c r="J72" i="12"/>
  <c r="J179" i="12"/>
  <c r="E130" i="5"/>
  <c r="F130" i="5" s="1"/>
  <c r="G130" i="5" s="1"/>
  <c r="E100" i="3"/>
  <c r="K84" i="3"/>
  <c r="F159" i="2"/>
  <c r="P17" i="5"/>
  <c r="P29" i="5"/>
  <c r="P41" i="5"/>
  <c r="M46" i="5"/>
  <c r="O14" i="12"/>
  <c r="M131" i="12"/>
  <c r="M67" i="12"/>
  <c r="L81" i="12"/>
  <c r="L112" i="12"/>
  <c r="L183" i="12"/>
  <c r="H68"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I149" i="12" s="1"/>
  <c r="D142" i="7"/>
  <c r="L142" i="7"/>
  <c r="K142" i="12" s="1"/>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J38" i="12"/>
  <c r="N81" i="12"/>
  <c r="K105" i="12"/>
  <c r="M65" i="5"/>
  <c r="N39" i="7"/>
  <c r="J142" i="5"/>
  <c r="H44" i="7"/>
  <c r="H44" i="12" s="1"/>
  <c r="P29" i="12"/>
  <c r="L29" i="12"/>
  <c r="M155" i="12"/>
  <c r="Q155" i="12"/>
  <c r="M110" i="12"/>
  <c r="Q110" i="12"/>
  <c r="H104" i="7"/>
  <c r="H104" i="12" s="1"/>
  <c r="R139" i="12"/>
  <c r="S139" i="12"/>
  <c r="Q99" i="12"/>
  <c r="M99" i="12"/>
  <c r="M43" i="12"/>
  <c r="S81" i="12"/>
  <c r="J102" i="12"/>
  <c r="H114" i="12"/>
  <c r="I106" i="12"/>
  <c r="J101" i="12"/>
  <c r="K107" i="12"/>
  <c r="P113" i="12"/>
  <c r="L113" i="12"/>
  <c r="O142" i="7"/>
  <c r="M128" i="5"/>
  <c r="N98" i="2"/>
  <c r="O98" i="2" s="1"/>
  <c r="N100" i="12"/>
  <c r="S100" i="12"/>
  <c r="P115" i="12"/>
  <c r="L115" i="12"/>
  <c r="S136" i="12"/>
  <c r="N136" i="12"/>
  <c r="R136" i="12"/>
  <c r="D44" i="7"/>
  <c r="H104" i="3"/>
  <c r="P74" i="5"/>
  <c r="Q58" i="12"/>
  <c r="R21" i="12"/>
  <c r="Q129" i="12"/>
  <c r="M129" i="12"/>
  <c r="K142" i="7"/>
  <c r="J142" i="12" s="1"/>
  <c r="F50" i="2"/>
  <c r="N9" i="12"/>
  <c r="S9" i="12"/>
  <c r="M116" i="5"/>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K169" i="12"/>
  <c r="F168" i="7"/>
  <c r="O168" i="7"/>
  <c r="E168" i="7"/>
  <c r="J167" i="12"/>
  <c r="M168" i="7"/>
  <c r="H167" i="12"/>
  <c r="L168" i="7"/>
  <c r="K167" i="12" s="1"/>
  <c r="H168" i="7"/>
  <c r="D168" i="7"/>
  <c r="J128" i="12"/>
  <c r="P161" i="12"/>
  <c r="I108" i="12"/>
  <c r="J107" i="12"/>
  <c r="M127" i="12"/>
  <c r="Q127" i="12"/>
  <c r="R153" i="12"/>
  <c r="S153" i="12"/>
  <c r="N153" i="12"/>
  <c r="M137" i="12"/>
  <c r="Q137" i="12"/>
  <c r="L147" i="12"/>
  <c r="P147" i="12"/>
  <c r="J142" i="7"/>
  <c r="L41" i="12"/>
  <c r="P41" i="12"/>
  <c r="H115" i="7"/>
  <c r="Q79" i="12"/>
  <c r="M79" i="12"/>
  <c r="P136" i="12"/>
  <c r="L136" i="12"/>
  <c r="D115" i="7"/>
  <c r="G24" i="14"/>
  <c r="G28" i="14"/>
  <c r="G138" i="14"/>
  <c r="L16" i="12"/>
  <c r="S84" i="12"/>
  <c r="R67" i="12"/>
  <c r="J100" i="12"/>
  <c r="Q131" i="12"/>
  <c r="H141" i="12"/>
  <c r="J105" i="12"/>
  <c r="H105" i="12"/>
  <c r="P114" i="5"/>
  <c r="B104" i="7"/>
  <c r="B168" i="7"/>
  <c r="G82" i="2"/>
  <c r="H179" i="3"/>
  <c r="E134" i="3"/>
  <c r="H128" i="7"/>
  <c r="K39" i="7"/>
  <c r="J42" i="12" s="1"/>
  <c r="B39" i="7"/>
  <c r="J39" i="7"/>
  <c r="I39" i="7"/>
  <c r="I39" i="12" s="1"/>
  <c r="F39" i="7"/>
  <c r="E39" i="7"/>
  <c r="C39" i="7"/>
  <c r="M39" i="7"/>
  <c r="G39" i="7"/>
  <c r="D39" i="7"/>
  <c r="H39" i="7"/>
  <c r="H42" i="12" s="1"/>
  <c r="L39" i="7"/>
  <c r="P33" i="12"/>
  <c r="L33" i="12"/>
  <c r="C139" i="7"/>
  <c r="M139" i="7"/>
  <c r="G139" i="7"/>
  <c r="D139" i="7"/>
  <c r="K139" i="7"/>
  <c r="J139" i="12" s="1"/>
  <c r="E139" i="7"/>
  <c r="H139" i="7"/>
  <c r="B139" i="7"/>
  <c r="L139" i="7"/>
  <c r="K139" i="12" s="1"/>
  <c r="F139" i="7"/>
  <c r="Q67" i="12"/>
  <c r="G10" i="14"/>
  <c r="G62" i="14"/>
  <c r="G160" i="14"/>
  <c r="G170" i="14"/>
  <c r="P81" i="12"/>
  <c r="N84" i="12"/>
  <c r="S109" i="12"/>
  <c r="R151" i="12"/>
  <c r="S151" i="12"/>
  <c r="P151" i="12"/>
  <c r="N119" i="12"/>
  <c r="N21" i="12"/>
  <c r="M42" i="5"/>
  <c r="I100" i="12"/>
  <c r="J103" i="12"/>
  <c r="J139" i="7"/>
  <c r="G92" i="2"/>
  <c r="F92" i="2"/>
  <c r="F115" i="7"/>
  <c r="L115" i="7"/>
  <c r="K121" i="12" s="1"/>
  <c r="G115" i="7"/>
  <c r="E115" i="7"/>
  <c r="M115" i="7"/>
  <c r="O115" i="7"/>
  <c r="B115" i="7"/>
  <c r="N115" i="7"/>
  <c r="J115" i="7"/>
  <c r="I115" i="7"/>
  <c r="C115" i="7"/>
  <c r="M8" i="12"/>
  <c r="S19" i="12"/>
  <c r="J98" i="12"/>
  <c r="K129" i="12"/>
  <c r="Q39" i="12"/>
  <c r="S119" i="12"/>
  <c r="N147" i="12"/>
  <c r="S147" i="12"/>
  <c r="M150" i="5"/>
  <c r="N168" i="7"/>
  <c r="E80" i="5"/>
  <c r="F80" i="5" s="1"/>
  <c r="G80" i="5" s="1"/>
  <c r="O139" i="7"/>
  <c r="S148" i="12"/>
  <c r="N148" i="12"/>
  <c r="I44" i="7"/>
  <c r="I44" i="12" s="1"/>
  <c r="M18" i="5"/>
  <c r="R99" i="12"/>
  <c r="M61" i="5"/>
  <c r="M140" i="5"/>
  <c r="H107" i="12"/>
  <c r="N126" i="7"/>
  <c r="J20" i="5"/>
  <c r="I145" i="12"/>
  <c r="I159" i="12"/>
  <c r="H163" i="12"/>
  <c r="K99" i="12"/>
  <c r="O126" i="7"/>
  <c r="G174" i="7"/>
  <c r="F95" i="5"/>
  <c r="G95" i="5" s="1"/>
  <c r="K61" i="3"/>
  <c r="H17" i="3"/>
  <c r="H34" i="3"/>
  <c r="K89" i="3"/>
  <c r="N15" i="2"/>
  <c r="O15" i="2" s="1"/>
  <c r="K177" i="3"/>
  <c r="N81" i="2"/>
  <c r="O81" i="2" s="1"/>
  <c r="G149" i="2"/>
  <c r="J161" i="2"/>
  <c r="K161" i="2" s="1"/>
  <c r="F34" i="2"/>
  <c r="F116" i="2"/>
  <c r="N144" i="2"/>
  <c r="O144" i="2" s="1"/>
  <c r="P78" i="5"/>
  <c r="P23" i="5"/>
  <c r="P39" i="5"/>
  <c r="D56" i="7"/>
  <c r="M56" i="7"/>
  <c r="J99" i="12"/>
  <c r="L137" i="7"/>
  <c r="K137" i="12" s="1"/>
  <c r="E24" i="3"/>
  <c r="E56" i="7"/>
  <c r="H127" i="3"/>
  <c r="B126" i="7"/>
  <c r="B18" i="28" s="1"/>
  <c r="L153" i="7"/>
  <c r="K161" i="12" s="1"/>
  <c r="M32" i="5"/>
  <c r="J13" i="5"/>
  <c r="K157" i="12"/>
  <c r="I160" i="12"/>
  <c r="H99" i="12"/>
  <c r="K126" i="7"/>
  <c r="J157" i="12"/>
  <c r="C174" i="7"/>
  <c r="F119" i="5"/>
  <c r="G119" i="5" s="1"/>
  <c r="F128" i="5"/>
  <c r="G128" i="5" s="1"/>
  <c r="J138" i="5"/>
  <c r="H146" i="3"/>
  <c r="H178" i="3"/>
  <c r="J143" i="12"/>
  <c r="E75" i="3"/>
  <c r="J71" i="2"/>
  <c r="K71" i="2" s="1"/>
  <c r="G66" i="2"/>
  <c r="N74" i="2"/>
  <c r="O74" i="2" s="1"/>
  <c r="J160" i="2"/>
  <c r="K160" i="2" s="1"/>
  <c r="P118" i="5"/>
  <c r="N56" i="7"/>
  <c r="K137" i="7"/>
  <c r="K139" i="3"/>
  <c r="H150" i="7"/>
  <c r="F126" i="7"/>
  <c r="G149" i="14"/>
  <c r="M23" i="5"/>
  <c r="O150" i="7"/>
  <c r="H157" i="12"/>
  <c r="J44" i="5"/>
  <c r="K152" i="12"/>
  <c r="H159" i="12"/>
  <c r="G126" i="7"/>
  <c r="M78" i="5"/>
  <c r="K98" i="3"/>
  <c r="H49" i="3"/>
  <c r="K9" i="3"/>
  <c r="E14" i="3"/>
  <c r="K35" i="3"/>
  <c r="H115" i="3"/>
  <c r="K137" i="3"/>
  <c r="G21" i="2"/>
  <c r="F129" i="2"/>
  <c r="F149" i="2"/>
  <c r="N29" i="2"/>
  <c r="O29" i="2" s="1"/>
  <c r="N77" i="2"/>
  <c r="O77" i="2" s="1"/>
  <c r="N101" i="2"/>
  <c r="O101" i="2" s="1"/>
  <c r="J56" i="7"/>
  <c r="G63" i="14"/>
  <c r="J16" i="2"/>
  <c r="K16" i="2" s="1"/>
  <c r="K153" i="7"/>
  <c r="J161" i="12" s="1"/>
  <c r="M11" i="5"/>
  <c r="S99" i="12"/>
  <c r="M31" i="12"/>
  <c r="I101" i="12"/>
  <c r="K150" i="7"/>
  <c r="J163" i="12"/>
  <c r="J151" i="12"/>
  <c r="H101" i="12"/>
  <c r="C126" i="7"/>
  <c r="C18" i="28" s="1"/>
  <c r="N174" i="7"/>
  <c r="M92" i="5"/>
  <c r="F101" i="5"/>
  <c r="G101" i="5" s="1"/>
  <c r="F115" i="5"/>
  <c r="G115" i="5" s="1"/>
  <c r="F134" i="5"/>
  <c r="G134" i="5" s="1"/>
  <c r="H122" i="3"/>
  <c r="H35" i="3"/>
  <c r="E145" i="3"/>
  <c r="N110" i="2"/>
  <c r="O110" i="2" s="1"/>
  <c r="J77" i="2"/>
  <c r="K77" i="2" s="1"/>
  <c r="G130" i="2"/>
  <c r="F56" i="7"/>
  <c r="N28" i="2"/>
  <c r="O28" i="2" s="1"/>
  <c r="G193" i="2"/>
  <c r="C175" i="7"/>
  <c r="N175" i="7"/>
  <c r="G150" i="7"/>
  <c r="J22" i="5"/>
  <c r="I162" i="12"/>
  <c r="I150" i="12"/>
  <c r="I151" i="12"/>
  <c r="N137" i="7"/>
  <c r="H149" i="12"/>
  <c r="J174" i="7"/>
  <c r="J74" i="5"/>
  <c r="M102" i="5"/>
  <c r="K15" i="3"/>
  <c r="H150" i="3"/>
  <c r="H55" i="3"/>
  <c r="H99" i="3"/>
  <c r="K140" i="3"/>
  <c r="G129" i="2"/>
  <c r="F82" i="2"/>
  <c r="G141" i="14"/>
  <c r="B56" i="7"/>
  <c r="J28" i="2"/>
  <c r="K28" i="2" s="1"/>
  <c r="G67" i="14"/>
  <c r="E153" i="7"/>
  <c r="N140" i="2"/>
  <c r="O140" i="2" s="1"/>
  <c r="K103" i="12"/>
  <c r="H98" i="12"/>
  <c r="C150" i="7"/>
  <c r="J173" i="12"/>
  <c r="J15" i="5"/>
  <c r="J46" i="5"/>
  <c r="K149" i="12"/>
  <c r="I152" i="12"/>
  <c r="J137" i="7"/>
  <c r="F174" i="7"/>
  <c r="J121" i="5"/>
  <c r="F164" i="5"/>
  <c r="G164" i="5" s="1"/>
  <c r="K34" i="3"/>
  <c r="K134" i="3"/>
  <c r="K153" i="3"/>
  <c r="J91" i="2"/>
  <c r="K91" i="2" s="1"/>
  <c r="J58" i="2"/>
  <c r="K58" i="2" s="1"/>
  <c r="F74" i="2"/>
  <c r="E166" i="3"/>
  <c r="N187" i="2"/>
  <c r="O187" i="2" s="1"/>
  <c r="J150" i="7"/>
  <c r="H119" i="3"/>
  <c r="E121" i="3"/>
  <c r="H153" i="7"/>
  <c r="H153" i="12" s="1"/>
  <c r="G13" i="14"/>
  <c r="H103" i="12"/>
  <c r="J16" i="5"/>
  <c r="M146" i="5"/>
  <c r="H145" i="12"/>
  <c r="K145" i="12"/>
  <c r="I148" i="12"/>
  <c r="F137" i="7"/>
  <c r="J149" i="12"/>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H100" i="12"/>
  <c r="J126" i="7"/>
  <c r="K151" i="12"/>
  <c r="I99" i="12"/>
  <c r="D153" i="7"/>
  <c r="J17" i="5"/>
  <c r="J48" i="5"/>
  <c r="I173" i="12"/>
  <c r="H143" i="12"/>
  <c r="N153" i="7"/>
  <c r="K160" i="12"/>
  <c r="H174" i="7"/>
  <c r="H173" i="12" s="1"/>
  <c r="J94" i="5"/>
  <c r="M99" i="5"/>
  <c r="J146" i="5"/>
  <c r="E10" i="3"/>
  <c r="K47" i="3"/>
  <c r="E77" i="3"/>
  <c r="H126" i="3"/>
  <c r="H75" i="3"/>
  <c r="I154" i="12"/>
  <c r="N149" i="2"/>
  <c r="O149" i="2" s="1"/>
  <c r="J168" i="2"/>
  <c r="K168" i="2" s="1"/>
  <c r="G53" i="14"/>
  <c r="J108" i="12"/>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K16"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K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M158" i="5"/>
  <c r="G66" i="7"/>
  <c r="I110" i="7"/>
  <c r="I110" i="12" s="1"/>
  <c r="J133" i="12"/>
  <c r="C147" i="7"/>
  <c r="J19" i="5"/>
  <c r="H189" i="12"/>
  <c r="H9" i="7"/>
  <c r="H9" i="12" s="1"/>
  <c r="E66" i="7"/>
  <c r="D147" i="7"/>
  <c r="J106" i="5"/>
  <c r="F186" i="7"/>
  <c r="E105" i="3"/>
  <c r="H163" i="3"/>
  <c r="F66" i="7"/>
  <c r="K147" i="7"/>
  <c r="J155" i="12" s="1"/>
  <c r="E146" i="3"/>
  <c r="N193" i="2"/>
  <c r="O193" i="2" s="1"/>
  <c r="G186" i="7"/>
  <c r="S171" i="12"/>
  <c r="Q29" i="12"/>
  <c r="L141" i="12"/>
  <c r="C66" i="7"/>
  <c r="N110" i="7"/>
  <c r="I147" i="7"/>
  <c r="J189" i="12"/>
  <c r="J109" i="12"/>
  <c r="D9" i="7"/>
  <c r="J66" i="7"/>
  <c r="F143" i="5"/>
  <c r="G143" i="5" s="1"/>
  <c r="B186" i="7"/>
  <c r="I66" i="7"/>
  <c r="I71" i="12" s="1"/>
  <c r="O186" i="7"/>
  <c r="K146" i="12"/>
  <c r="J141" i="12"/>
  <c r="Q28" i="12"/>
  <c r="L139" i="12"/>
  <c r="L65" i="12"/>
  <c r="N87" i="12"/>
  <c r="N147" i="7"/>
  <c r="I188" i="12"/>
  <c r="I109" i="12"/>
  <c r="O9" i="7"/>
  <c r="K178" i="3"/>
  <c r="L186" i="7"/>
  <c r="K186" i="12" s="1"/>
  <c r="G26" i="2"/>
  <c r="P110" i="5"/>
  <c r="H16" i="3"/>
  <c r="I65" i="12"/>
  <c r="N66" i="7"/>
  <c r="H187" i="12"/>
  <c r="G119" i="14"/>
  <c r="P24" i="12"/>
  <c r="Q50" i="12"/>
  <c r="R66" i="12"/>
  <c r="K109" i="12"/>
  <c r="N150" i="12"/>
  <c r="J188" i="12"/>
  <c r="S87" i="12"/>
  <c r="M82" i="5"/>
  <c r="L95" i="12"/>
  <c r="I184" i="12"/>
  <c r="K9" i="7"/>
  <c r="J10" i="12" s="1"/>
  <c r="H186" i="7"/>
  <c r="H186" i="12" s="1"/>
  <c r="E62" i="3"/>
  <c r="G13" i="2"/>
  <c r="D66" i="7"/>
  <c r="M9" i="7"/>
  <c r="H10" i="12"/>
  <c r="I7" i="12"/>
  <c r="M165" i="12"/>
  <c r="I189"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I187" i="12"/>
  <c r="J9" i="7"/>
  <c r="K110" i="7"/>
  <c r="J110" i="12" s="1"/>
  <c r="E54" i="3"/>
  <c r="K105" i="3"/>
  <c r="J31" i="2"/>
  <c r="K31" i="2" s="1"/>
  <c r="F30" i="2"/>
  <c r="J147" i="2"/>
  <c r="K147" i="2" s="1"/>
  <c r="L110" i="7"/>
  <c r="K110" i="12" s="1"/>
  <c r="G88" i="2"/>
  <c r="N66" i="12"/>
  <c r="R118" i="12"/>
  <c r="K8" i="12"/>
  <c r="N18" i="12"/>
  <c r="L86" i="12"/>
  <c r="J184" i="12"/>
  <c r="Q105" i="12"/>
  <c r="M118" i="12"/>
  <c r="K185" i="12"/>
  <c r="F9" i="7"/>
  <c r="G110" i="7"/>
  <c r="H50" i="3"/>
  <c r="E113" i="3"/>
  <c r="J131" i="2"/>
  <c r="K131" i="2" s="1"/>
  <c r="F26" i="2"/>
  <c r="N124" i="2"/>
  <c r="O124" i="2" s="1"/>
  <c r="J175" i="2"/>
  <c r="K175" i="2" s="1"/>
  <c r="P138" i="12"/>
  <c r="M145" i="12"/>
  <c r="H109"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24" i="5"/>
  <c r="G124" i="5" s="1"/>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M144" i="5"/>
  <c r="F158" i="5"/>
  <c r="G158" i="5" s="1"/>
  <c r="G73" i="2"/>
  <c r="G97" i="2"/>
  <c r="G121" i="2"/>
  <c r="F29" i="2"/>
  <c r="O191" i="5"/>
  <c r="O192" i="5" s="1"/>
  <c r="J183" i="2"/>
  <c r="K183" i="2" s="1"/>
  <c r="N68" i="2"/>
  <c r="O68" i="2" s="1"/>
  <c r="M54" i="5"/>
  <c r="P137" i="12"/>
  <c r="M17" i="5"/>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17" i="5"/>
  <c r="G117" i="5" s="1"/>
  <c r="F145" i="5"/>
  <c r="G145" i="5" s="1"/>
  <c r="F150" i="5"/>
  <c r="G150" i="5" s="1"/>
  <c r="J160" i="5"/>
  <c r="G171" i="14"/>
  <c r="P50" i="12"/>
  <c r="M123" i="12"/>
  <c r="L74" i="12"/>
  <c r="R40" i="12"/>
  <c r="F76" i="5"/>
  <c r="G76" i="5" s="1"/>
  <c r="M86" i="5"/>
  <c r="M132" i="5"/>
  <c r="H21" i="3"/>
  <c r="H79" i="3"/>
  <c r="H130" i="3"/>
  <c r="E169" i="3"/>
  <c r="H245" i="2"/>
  <c r="N64" i="2"/>
  <c r="O64" i="2" s="1"/>
  <c r="J36" i="2"/>
  <c r="K36" i="2" s="1"/>
  <c r="N40" i="12"/>
  <c r="F81" i="5"/>
  <c r="G81" i="5" s="1"/>
  <c r="F118" i="5"/>
  <c r="G118"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139" i="5"/>
  <c r="G139"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K141" i="12" s="1"/>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I125" i="12" s="1"/>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H139" i="12"/>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C17" i="28"/>
  <c r="D15" i="28"/>
  <c r="D17" i="28"/>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I136" i="12"/>
  <c r="J127" i="12"/>
  <c r="J119" i="12"/>
  <c r="H136" i="12"/>
  <c r="H119" i="12"/>
  <c r="I139" i="12"/>
  <c r="H55" i="12"/>
  <c r="K53" i="12"/>
  <c r="H53" i="12"/>
  <c r="K49" i="12"/>
  <c r="H41" i="12"/>
  <c r="I26" i="12"/>
  <c r="I18" i="12"/>
  <c r="I10" i="12"/>
  <c r="H27" i="12"/>
  <c r="H19" i="12"/>
  <c r="H11" i="12"/>
  <c r="K56" i="12"/>
  <c r="H25" i="12"/>
  <c r="K38" i="12"/>
  <c r="K30" i="12"/>
  <c r="K22" i="12"/>
  <c r="K14" i="12"/>
  <c r="I49" i="12"/>
  <c r="I33" i="12"/>
  <c r="I17" i="12"/>
  <c r="K33" i="12"/>
  <c r="K25"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B16" i="28"/>
  <c r="C16" i="28"/>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K123" i="12"/>
  <c r="I141" i="12"/>
  <c r="K136" i="12"/>
  <c r="J129" i="12"/>
  <c r="I120" i="12"/>
  <c r="I112" i="12"/>
  <c r="K131" i="12"/>
  <c r="H123" i="12"/>
  <c r="H117" i="12"/>
  <c r="K135" i="12"/>
  <c r="I135" i="12"/>
  <c r="I119" i="12"/>
  <c r="J56" i="12"/>
  <c r="I117" i="12"/>
  <c r="K52" i="12"/>
  <c r="H57" i="12"/>
  <c r="K48" i="12"/>
  <c r="J31" i="12"/>
  <c r="J23" i="12"/>
  <c r="J15" i="12"/>
  <c r="J7" i="12"/>
  <c r="H38" i="12"/>
  <c r="J25" i="12"/>
  <c r="J17" i="12"/>
  <c r="J9" i="12"/>
  <c r="J53" i="12"/>
  <c r="J37" i="12"/>
  <c r="H21" i="12"/>
  <c r="J47" i="12"/>
  <c r="J41" i="12"/>
  <c r="H37" i="12"/>
  <c r="I20" i="12"/>
  <c r="I12" i="12"/>
  <c r="I45" i="12"/>
  <c r="I29" i="12"/>
  <c r="I13" i="12"/>
  <c r="I31"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M32" i="7"/>
  <c r="D32" i="7"/>
  <c r="J32" i="7"/>
  <c r="O32" i="7"/>
  <c r="F32" i="7"/>
  <c r="K32" i="7"/>
  <c r="J32" i="12" s="1"/>
  <c r="B32" i="7"/>
  <c r="G32" i="7"/>
  <c r="C4" i="21" s="1"/>
  <c r="L32" i="7"/>
  <c r="C32" i="7"/>
  <c r="H32" i="7"/>
  <c r="H32" i="12" s="1"/>
  <c r="N32" i="7"/>
  <c r="P45" i="12"/>
  <c r="D16" i="28"/>
  <c r="B15" i="28"/>
  <c r="E210" i="6"/>
  <c r="C210" i="6"/>
  <c r="N151" i="12"/>
  <c r="L61" i="12"/>
  <c r="M45" i="12"/>
  <c r="H191" i="5"/>
  <c r="H192" i="5" s="1"/>
  <c r="J37" i="5"/>
  <c r="K138" i="12"/>
  <c r="H135" i="12"/>
  <c r="H128" i="12"/>
  <c r="J123" i="12"/>
  <c r="J117" i="12"/>
  <c r="I122" i="12"/>
  <c r="K134" i="12"/>
  <c r="H115" i="12"/>
  <c r="I115" i="12"/>
  <c r="J48" i="12"/>
  <c r="H54" i="12"/>
  <c r="K115" i="12"/>
  <c r="H45" i="12"/>
  <c r="I56" i="12"/>
  <c r="I47" i="12"/>
  <c r="I38" i="12"/>
  <c r="I30" i="12"/>
  <c r="I22" i="12"/>
  <c r="I14" i="12"/>
  <c r="K37" i="12"/>
  <c r="H31" i="12"/>
  <c r="H23" i="12"/>
  <c r="H15" i="12"/>
  <c r="H7" i="12"/>
  <c r="H33" i="12"/>
  <c r="H17" i="12"/>
  <c r="H46" i="12"/>
  <c r="K2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M59"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D18" i="28"/>
  <c r="B17" i="28"/>
  <c r="C15" i="28"/>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16" i="12"/>
  <c r="I138" i="12"/>
  <c r="I129" i="12"/>
  <c r="H121" i="12"/>
  <c r="H113" i="12"/>
  <c r="J131" i="12"/>
  <c r="H127" i="12"/>
  <c r="K114" i="12"/>
  <c r="I127" i="12"/>
  <c r="H47" i="12"/>
  <c r="I113" i="12"/>
  <c r="J55" i="12"/>
  <c r="K46" i="12"/>
  <c r="I54" i="12"/>
  <c r="J45" i="12"/>
  <c r="J27" i="12"/>
  <c r="J19" i="12"/>
  <c r="J11"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J175" i="12" l="1"/>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4"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4" background="1" saveData="1">
    <webPr consecutive="1" xl2000="1" url="https://myfno.com/api/fii?&amp;days=1d" htmlTables="1" htmlFormat="all"/>
  </connection>
  <connection id="4" odcFile="C:\Users\Ambujkumar\Downloads\stats (2).iqy" name="stats (2)" type="4" refreshedVersion="4"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<sst xmlns="http://schemas.openxmlformats.org/spreadsheetml/2006/main" count="3463" uniqueCount="692">
  <si>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</si>
  <si>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</si>
  <si>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</si>
  <si>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</si>
  <si>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</si>
  <si>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</si>
  <si>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</si>
  <si>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</si>
  <si>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</si>
  <si>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</si>
  <si>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</si>
  <si>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</si>
  <si>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</si>
  <si>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</si>
  <si>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</si>
  <si>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</si>
  <si>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</si>
  <si>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</si>
  <si>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</si>
  <si>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</si>
  <si>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</si>
  <si>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</si>
  <si>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</si>
  <si>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</si>
  <si>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</si>
  <si>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</si>
  <si>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</si>
  <si>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</si>
  <si>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</si>
  <si>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</si>
  <si>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</si>
  <si>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</si>
  <si>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</si>
  <si>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</si>
  <si>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</si>
  <si>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</si>
  <si>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</si>
  <si>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</si>
  <si>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</si>
  <si>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</si>
  <si>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</si>
  <si>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</si>
  <si>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</si>
  <si>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</si>
  <si>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</si>
  <si>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</si>
  <si>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</si>
  <si>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</si>
  <si>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</si>
  <si>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</si>
  <si>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</si>
  <si>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</si>
  <si>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</si>
  <si>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</si>
  <si>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</si>
  <si>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</si>
  <si>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</si>
  <si>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</si>
  <si>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</si>
  <si>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</si>
  <si>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</si>
  <si>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</si>
  <si>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</si>
  <si>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</si>
  <si>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</si>
  <si>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</si>
  <si>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</si>
  <si>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</si>
  <si>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</si>
  <si>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</si>
  <si>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</si>
  <si>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</si>
  <si>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</si>
  <si>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</si>
  <si>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</si>
  <si>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</si>
  <si>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</si>
  <si>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</si>
  <si>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</si>
  <si>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</si>
  <si>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</si>
  <si>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</si>
  <si>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</si>
  <si>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</si>
  <si>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</si>
  <si>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</si>
  <si>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</si>
  <si>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</si>
  <si>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</si>
  <si>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</si>
  <si>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</si>
  <si>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</si>
  <si>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</si>
  <si>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</si>
  <si>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</si>
  <si>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</si>
  <si>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</si>
  <si>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</si>
  <si>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</si>
  <si>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</si>
  <si>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</si>
  <si>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</si>
  <si>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</si>
  <si>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</si>
  <si>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</si>
  <si>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</si>
  <si>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</si>
  <si>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</si>
  <si>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</si>
  <si>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</si>
  <si>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</si>
  <si>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</si>
  <si>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</si>
  <si>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</si>
  <si>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</si>
  <si>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</si>
  <si>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</si>
  <si>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</si>
  <si>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</si>
  <si>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</si>
  <si>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</si>
  <si>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</si>
  <si>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</si>
  <si>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</si>
  <si>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</si>
  <si>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</si>
  <si>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</si>
  <si>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</si>
  <si>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</si>
  <si>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</si>
  <si>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</si>
  <si>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</si>
  <si>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</si>
  <si>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</si>
  <si>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</si>
  <si>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</si>
  <si>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</si>
  <si>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</si>
  <si>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</si>
  <si>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</si>
  <si>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</si>
  <si>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</si>
  <si>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</si>
  <si>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</si>
  <si>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</si>
  <si>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</si>
  <si>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</si>
  <si>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</si>
  <si>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</si>
  <si>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</si>
  <si>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</si>
  <si>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</si>
  <si>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</si>
  <si>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</si>
  <si>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</si>
  <si>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</si>
  <si>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</si>
  <si>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</si>
  <si>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</si>
  <si>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</si>
  <si>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</si>
  <si>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</si>
  <si>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</si>
  <si>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</si>
  <si>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</si>
  <si>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</si>
  <si>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</si>
  <si>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</si>
  <si>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</si>
  <si>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</si>
  <si>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</si>
  <si>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</si>
  <si>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</si>
  <si>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</si>
  <si>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</si>
  <si>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</si>
  <si>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</si>
  <si>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</si>
  <si>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</si>
  <si>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</si>
  <si>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</si>
  <si>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</si>
  <si>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</si>
  <si>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</si>
  <si>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</si>
  <si>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</si>
  <si>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</si>
  <si>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</si>
  <si>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</si>
  <si>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</si>
  <si>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</si>
  <si>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</si>
  <si>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</si>
  <si>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</si>
  <si>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</si>
  <si>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</si>
  <si>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</si>
  <si>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</si>
  <si>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</si>
  <si>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</si>
  <si>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</si>
  <si>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</si>
  <si>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</si>
  <si>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</si>
  <si>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</si>
  <si>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</si>
  <si>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</si>
  <si>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</si>
  <si>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</si>
  <si>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</si>
  <si>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</si>
  <si>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</si>
  <si>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</si>
  <si>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</si>
  <si>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</si>
  <si>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</si>
  <si>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</si>
  <si>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</si>
  <si>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</si>
  <si>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</si>
  <si>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</si>
  <si>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</si>
  <si>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</si>
  <si>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</si>
  <si>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</si>
  <si>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</si>
  <si>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</si>
  <si>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</si>
  <si>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</si>
  <si>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</si>
  <si>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</si>
  <si>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</si>
  <si>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</si>
  <si>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</si>
  <si>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</si>
  <si>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</si>
  <si>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</si>
  <si>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</si>
  <si>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</si>
  <si>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</si>
  <si>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</si>
  <si>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</si>
  <si>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</si>
  <si>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</si>
  <si>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</si>
  <si>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</si>
  <si>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</si>
  <si>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</si>
  <si>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</si>
  <si>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</si>
  <si>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</si>
  <si>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</si>
  <si>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</si>
  <si>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</si>
  <si>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</si>
  <si>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</si>
  <si>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</si>
  <si>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</si>
  <si>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</si>
  <si>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</si>
  <si>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</si>
  <si>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</si>
  <si>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</si>
  <si>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</si>
  <si>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</si>
  <si>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</si>
  <si>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</si>
  <si>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</si>
  <si>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</si>
  <si>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</si>
  <si>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</si>
  <si>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</si>
  <si>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</si>
  <si>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</si>
  <si>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</si>
  <si>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</si>
  <si>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</si>
  <si>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</si>
  <si>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</si>
  <si>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</si>
  <si>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</si>
  <si>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</si>
  <si>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</si>
  <si>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</si>
  <si>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</si>
  <si>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</si>
  <si>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</si>
  <si>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</si>
  <si>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</si>
  <si>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</si>
  <si>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</si>
  <si>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</si>
  <si>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</si>
  <si>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</si>
  <si>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</si>
  <si>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</si>
  <si>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</si>
  <si>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</si>
  <si>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</si>
  <si>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</si>
  <si>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</si>
  <si>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</si>
  <si>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</si>
  <si>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</si>
  <si>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</si>
  <si>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</si>
  <si>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</si>
  <si>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</si>
  <si>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</si>
  <si>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</si>
  <si>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</si>
  <si>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</si>
  <si>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</si>
  <si>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</si>
  <si>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</si>
  <si>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</si>
  <si>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</si>
  <si>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</si>
  <si>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</si>
  <si>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</si>
  <si>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</si>
  <si>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</si>
  <si>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</si>
  <si>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</si>
  <si>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</si>
  <si>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</si>
  <si>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</si>
  <si>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</si>
  <si>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</si>
  <si>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</si>
  <si>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</si>
  <si>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</si>
  <si>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</si>
  <si>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</si>
  <si>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</si>
  <si>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</si>
  <si>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</si>
  <si>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</si>
  <si>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</si>
  <si>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</si>
  <si>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</si>
  <si>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</si>
  <si>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</si>
  <si>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</si>
  <si>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</si>
  <si>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</si>
  <si>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</si>
  <si>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</si>
  <si>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</si>
  <si>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</si>
  <si>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</si>
  <si>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</si>
  <si>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</si>
  <si>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</si>
  <si>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</si>
  <si>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</si>
  <si>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</si>
  <si>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</si>
  <si>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</si>
  <si>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</si>
  <si>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</si>
  <si>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</si>
  <si>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</si>
  <si>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</si>
  <si>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</si>
  <si>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</si>
  <si>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</si>
  <si>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</si>
  <si>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</si>
  <si>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</si>
  <si>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</si>
  <si>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</si>
  <si>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</si>
  <si>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</si>
  <si>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</si>
  <si>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</si>
  <si>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</si>
  <si>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</si>
  <si>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</si>
  <si>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</si>
  <si>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</si>
  <si>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</si>
  <si>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</si>
  <si>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</si>
  <si>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</si>
  <si>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</si>
  <si>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</si>
  <si>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</si>
  <si>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</si>
  <si>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</si>
  <si>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</si>
  <si>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</si>
  <si>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</si>
  <si>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</si>
  <si>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</si>
  <si>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</si>
  <si>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</si>
  <si>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</si>
  <si>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</si>
  <si>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</si>
  <si>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</si>
  <si>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</si>
  <si>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</si>
  <si>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</si>
  <si>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</si>
  <si>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</si>
  <si>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</si>
  <si>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</si>
  <si>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</si>
  <si>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</si>
  <si>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</si>
  <si>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</si>
  <si>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</si>
  <si>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</si>
  <si>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</si>
  <si>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</si>
  <si>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</si>
  <si>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</si>
  <si>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</si>
  <si>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</si>
  <si>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</si>
  <si>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</si>
  <si>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</si>
  <si>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</si>
  <si>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</si>
  <si>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</si>
  <si>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</si>
  <si>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</si>
  <si>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</si>
  <si>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</si>
  <si>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</si>
  <si>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</si>
  <si>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</si>
  <si>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</si>
  <si>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</si>
  <si>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</si>
  <si>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</si>
  <si>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</si>
  <si>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</si>
  <si>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</si>
  <si>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</si>
  <si>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</si>
  <si>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</si>
  <si>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</si>
  <si>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</si>
  <si>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</si>
  <si>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</si>
  <si>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</si>
  <si>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</si>
  <si>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</si>
  <si>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</si>
  <si>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</si>
  <si>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</si>
  <si>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</si>
  <si>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</si>
  <si>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</si>
  <si>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</si>
  <si>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</si>
  <si>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</si>
  <si>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</si>
  <si>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</si>
  <si>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</si>
  <si>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</si>
  <si>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</si>
  <si>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</si>
  <si>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</si>
  <si>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</si>
  <si>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</si>
  <si>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</si>
  <si>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</si>
  <si>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</si>
  <si>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</si>
  <si>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</si>
  <si>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</si>
  <si>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</si>
  <si>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</si>
  <si>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</si>
  <si>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</si>
  <si>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</si>
  <si>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</si>
  <si>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</si>
  <si>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</si>
  <si>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</si>
  <si>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</si>
  <si>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</si>
  <si>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</si>
  <si>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</si>
  <si>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</si>
  <si>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</si>
  <si>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</si>
  <si>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</si>
  <si>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</si>
  <si>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</si>
  <si>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</si>
  <si>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</si>
  <si>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</si>
  <si>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</si>
  <si>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</si>
  <si>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</si>
  <si>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</si>
  <si>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</si>
  <si>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</si>
  <si>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</si>
  <si>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</si>
  <si>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</si>
  <si>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</si>
  <si>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</si>
  <si>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</si>
  <si>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</si>
  <si>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</si>
  <si>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</si>
  <si>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</si>
  <si>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</si>
  <si>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</si>
  <si>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</si>
  <si>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</si>
  <si>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</si>
  <si>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</si>
  <si>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</si>
  <si>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</si>
  <si>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</si>
  <si>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</si>
  <si>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</si>
  <si>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</si>
  <si>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</si>
  <si>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</si>
  <si>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</si>
  <si>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</si>
  <si>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</si>
  <si>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</si>
  <si>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</si>
  <si>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</si>
  <si>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</si>
  <si>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</si>
  <si>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</si>
  <si>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</si>
  <si>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</si>
  <si>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</si>
  <si>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</si>
  <si>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</si>
  <si>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</si>
  <si>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</si>
  <si>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</si>
  <si>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</si>
  <si>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</si>
  <si>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</si>
  <si>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</si>
  <si>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</si>
  <si>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</si>
  <si>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</si>
  <si>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</si>
  <si>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</si>
  <si>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</si>
  <si>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</si>
  <si>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</si>
  <si>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</si>
  <si>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</si>
  <si>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</si>
  <si>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</si>
  <si>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</si>
  <si>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</si>
  <si>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</si>
  <si>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</si>
  <si>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</si>
  <si>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</si>
  <si>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</si>
  <si>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</si>
  <si>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</si>
  <si>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</si>
  <si>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</si>
  <si>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INDIAVIX</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</si>
  <si>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</si>
  <si>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</si>
  <si>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</si>
  <si>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</si>
  <si>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</si>
  <si>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</si>
  <si>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</si>
  <si>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</si>
  <si>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</si>
  <si>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</si>
  <si>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</si>
  <si>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</si>
  <si>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</si>
  <si>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</si>
  <si>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</si>
  <si>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</si>
  <si>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</si>
  <si>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</si>
  <si>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</si>
  <si>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</si>
  <si>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</si>
  <si>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</si>
  <si>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</si>
  <si>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</si>
  <si>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</si>
  <si>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</si>
  <si>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</si>
  <si>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</si>
  <si>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</si>
  <si>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</si>
  <si>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</si>
  <si>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</si>
  <si>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</si>
  <si>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</si>
  <si>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</si>
  <si>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</si>
  <si>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</si>
  <si>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</si>
  <si>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</si>
  <si>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</si>
  <si>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</si>
  <si>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</si>
  <si>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</si>
  <si>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</si>
  <si>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</si>
  <si>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</si>
  <si>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</si>
  <si>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</si>
  <si>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</si>
  <si>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</si>
  <si>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</si>
  <si>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</si>
  <si>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</si>
  <si>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</si>
  <si>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</si>
  <si>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</si>
  <si>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</si>
  <si>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</si>
  <si>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</si>
  <si>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</si>
  <si>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</si>
  <si>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</si>
  <si>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</si>
  <si>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</si>
  <si>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</si>
  <si>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</si>
  <si>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</si>
  <si>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</si>
  <si>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</si>
  <si>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</si>
  <si>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</si>
  <si>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</si>
  <si>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</si>
  <si>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</si>
  <si>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</si>
  <si>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</si>
  <si>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</si>
  <si>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</si>
  <si>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</si>
  <si>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</si>
  <si>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</si>
  <si>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</si>
  <si>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</si>
  <si>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</si>
  <si>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</si>
  <si>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</si>
  <si>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</si>
  <si>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</si>
  <si>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</si>
  <si>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</si>
  <si>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</si>
  <si>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</si>
  <si>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</si>
  <si>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TITAGARH</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</si>
  <si>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</si>
  <si>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</si>
  <si>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</si>
  <si>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</si>
  <si>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</si>
  <si>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</si>
  <si>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</si>
  <si>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</si>
  <si>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</si>
  <si>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</si>
  <si>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</si>
  <si>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</si>
  <si>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</si>
  <si>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</si>
  <si>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</si>
  <si>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</si>
  <si>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</si>
  <si>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</si>
  <si>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</si>
  <si>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</si>
  <si>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</si>
  <si>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</si>
  <si>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</si>
  <si>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</si>
  <si>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</si>
  <si>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Others</t>
  </si>
  <si>
    <t>F&amp;O Market Trading Kit for 07 Oct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</si>
</sst>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3" fontId="4" fillId="38" borderId="1" xfId="0" applyNumberFormat="1" applyFont="1" applyFill="1" applyBorder="1" applyAlignment="1" applyProtection="1">
      <alignment horizontal="left" vertical="center"/>
    </xf>
    <xf numFmtId="3" fontId="4" fillId="2"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tabSelected="1" zoomScale="85" zoomScaleNormal="85" workbookViewId="0">
      <pane ySplit="10" topLeftCell="A230" activePane="bottomLeft" state="frozen"/>
      <selection pane="bottomLeft" activeCell="V125" sqref="V125"/>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43" t="s">
        <v>691</v>
      </c>
      <c r="B6" s="244"/>
      <c r="C6" s="244"/>
      <c r="D6" s="244"/>
      <c r="E6" s="244"/>
      <c r="F6" s="244"/>
      <c r="G6" s="244"/>
      <c r="H6" s="244"/>
      <c r="I6" s="244"/>
      <c r="J6" s="244"/>
      <c r="K6" s="244"/>
      <c r="L6" s="244"/>
      <c r="M6" s="244"/>
      <c r="N6" s="244"/>
      <c r="O6" s="244"/>
      <c r="P6" s="244"/>
      <c r="Q6" s="244"/>
      <c r="R6" s="244"/>
      <c r="S6" s="245"/>
    </row>
    <row r="7" spans="1:19" x14ac:dyDescent="0.25">
      <c r="A7" s="246"/>
      <c r="B7" s="247"/>
      <c r="C7" s="247"/>
      <c r="D7" s="247"/>
      <c r="E7" s="247"/>
      <c r="F7" s="247"/>
      <c r="G7" s="247"/>
      <c r="H7" s="247"/>
      <c r="I7" s="247"/>
      <c r="J7" s="247"/>
      <c r="K7" s="247"/>
      <c r="L7" s="247"/>
      <c r="M7" s="247"/>
      <c r="N7" s="247"/>
      <c r="O7" s="247"/>
      <c r="P7" s="247"/>
      <c r="Q7" s="247"/>
      <c r="R7" s="247"/>
      <c r="S7" s="248"/>
    </row>
    <row r="8" spans="1:19" s="64" customFormat="1" ht="15" customHeight="1" x14ac:dyDescent="0.25">
      <c r="A8" s="249"/>
      <c r="B8" s="2"/>
      <c r="C8" s="251" t="s">
        <v>308</v>
      </c>
      <c r="D8" s="252"/>
      <c r="E8" s="252"/>
      <c r="F8" s="252"/>
      <c r="G8" s="253"/>
      <c r="H8" s="251" t="s">
        <v>309</v>
      </c>
      <c r="I8" s="252"/>
      <c r="J8" s="252"/>
      <c r="K8" s="253"/>
      <c r="L8" s="254" t="s">
        <v>310</v>
      </c>
      <c r="M8" s="255"/>
      <c r="N8" s="255"/>
      <c r="O8" s="256"/>
      <c r="P8" s="251" t="s">
        <v>311</v>
      </c>
      <c r="Q8" s="252"/>
      <c r="R8" s="252"/>
      <c r="S8" s="253"/>
    </row>
    <row r="9" spans="1:19" s="64" customFormat="1" x14ac:dyDescent="0.25">
      <c r="A9" s="250"/>
      <c r="B9" s="2"/>
      <c r="C9" s="2" t="s">
        <v>312</v>
      </c>
      <c r="D9" s="251" t="s">
        <v>313</v>
      </c>
      <c r="E9" s="252"/>
      <c r="F9" s="252"/>
      <c r="G9" s="253"/>
      <c r="H9" s="251" t="s">
        <v>314</v>
      </c>
      <c r="I9" s="252"/>
      <c r="J9" s="252"/>
      <c r="K9" s="253"/>
      <c r="L9" s="251" t="s">
        <v>315</v>
      </c>
      <c r="M9" s="252"/>
      <c r="N9" s="252"/>
      <c r="O9" s="253"/>
      <c r="P9" s="251" t="s">
        <v>316</v>
      </c>
      <c r="Q9" s="253"/>
      <c r="R9" s="251" t="s">
        <v>317</v>
      </c>
      <c r="S9" s="253"/>
    </row>
    <row r="10" spans="1:19" s="67" customFormat="1" ht="27" customHeight="1" x14ac:dyDescent="0.25">
      <c r="A10" s="65" t="s">
        <v>318</v>
      </c>
      <c r="B10" s="65" t="s">
        <v>319</v>
      </c>
      <c r="C10" s="66">
        <f>'Data Vlaue (Cr)'!A2</f>
        <v>45936</v>
      </c>
      <c r="D10" s="66">
        <f>'Data Vlaue (Cr)'!A2</f>
        <v>45936</v>
      </c>
      <c r="E10" s="65" t="s">
        <v>322</v>
      </c>
      <c r="F10" s="65" t="s">
        <v>320</v>
      </c>
      <c r="G10" s="65" t="s">
        <v>321</v>
      </c>
      <c r="H10" s="66">
        <f>D10</f>
        <v>45936</v>
      </c>
      <c r="I10" s="65" t="s">
        <v>322</v>
      </c>
      <c r="J10" s="65" t="s">
        <v>323</v>
      </c>
      <c r="K10" s="65" t="s">
        <v>324</v>
      </c>
      <c r="L10" s="66">
        <f>D10</f>
        <v>45936</v>
      </c>
      <c r="M10" s="65" t="s">
        <v>322</v>
      </c>
      <c r="N10" s="65" t="s">
        <v>323</v>
      </c>
      <c r="O10" s="65" t="s">
        <v>324</v>
      </c>
      <c r="P10" s="66">
        <f>D10</f>
        <v>45936</v>
      </c>
      <c r="Q10" s="65" t="s">
        <v>324</v>
      </c>
      <c r="R10" s="66">
        <f>D10</f>
        <v>45936</v>
      </c>
      <c r="S10" s="65" t="s">
        <v>324</v>
      </c>
    </row>
    <row r="11" spans="1:19" x14ac:dyDescent="0.25">
      <c r="A11" s="96" t="str">
        <f>'Data Vlaue (Cr)'!C2</f>
        <v>360ONE</v>
      </c>
      <c r="B11" s="75">
        <f>VLOOKUP($A11,'Data Vlaue (Cr)'!$C:$FB,2)</f>
        <v>500</v>
      </c>
      <c r="C11" s="75">
        <f>VLOOKUP($A11,'Data Vlaue (Cr)'!$C:$FB,8)</f>
        <v>1062.4000000000001</v>
      </c>
      <c r="D11" s="75">
        <f>VLOOKUP($A11,'Data Vlaue (Cr)'!$C:$FB,4)</f>
        <v>1064.5999999999999</v>
      </c>
      <c r="E11" s="75">
        <f>VLOOKUP($A11,'Data Vlaue (Cr)'!$C:$FB,5)</f>
        <v>1053.2</v>
      </c>
      <c r="F11" s="75">
        <f>D11-C11</f>
        <v>2.1999999999998181</v>
      </c>
      <c r="G11" s="75">
        <f>(D11-E11)/D11*100</f>
        <v>1.0708247229006072</v>
      </c>
      <c r="H11" s="75">
        <f>VLOOKUP($A11,'Data Vlaue (Cr)'!$C:$FB,99)</f>
        <v>395</v>
      </c>
      <c r="I11" s="75">
        <f>VLOOKUP($A11,'Data Vlaue (Cr)'!$C:$FB,100)</f>
        <v>377</v>
      </c>
      <c r="J11" s="75">
        <f>H11-I11</f>
        <v>18</v>
      </c>
      <c r="K11" s="75">
        <f>J11/H11*100</f>
        <v>4.556962025316456</v>
      </c>
      <c r="L11" s="75">
        <f>VLOOKUP($A11,'Data Vlaue (Cr)'!$C:$FB,67)</f>
        <v>149</v>
      </c>
      <c r="M11" s="75">
        <f>VLOOKUP($A11,'Data Vlaue (Cr)'!$C:$FB,68)</f>
        <v>155</v>
      </c>
      <c r="N11" s="75">
        <f>L11-M11</f>
        <v>-6</v>
      </c>
      <c r="O11" s="75">
        <f>N11/L11*100</f>
        <v>-4.0268456375838921</v>
      </c>
      <c r="P11" s="75">
        <f>VLOOKUP($A11,'Data Vlaue (Cr)'!$C:$FB,119)</f>
        <v>0.63</v>
      </c>
      <c r="Q11" s="75">
        <f>VLOOKUP($A11,'Data Vlaue (Cr)'!$C:$FB,122)*100</f>
        <v>-13.700000000000001</v>
      </c>
      <c r="R11" s="75">
        <f>VLOOKUP($A11,'Data Vlaue (Cr)'!$C:$FB,125)</f>
        <v>0.16</v>
      </c>
      <c r="S11" s="75">
        <f>VLOOKUP($A11,'Data Vlaue (Cr)'!$C:$FB,128)*100</f>
        <v>-27.27</v>
      </c>
    </row>
    <row r="12" spans="1:19" x14ac:dyDescent="0.25">
      <c r="A12" s="96" t="str">
        <f>'Data Vlaue (Cr)'!C3</f>
        <v>ABB</v>
      </c>
      <c r="B12" s="75">
        <f>VLOOKUP($A12,'Data Vlaue (Cr)'!$C:$FB,2)</f>
        <v>125</v>
      </c>
      <c r="C12" s="75">
        <f>VLOOKUP($A12,'Data Vlaue (Cr)'!$C:$FB,8)</f>
        <v>5218</v>
      </c>
      <c r="D12" s="75">
        <f>VLOOKUP($A12,'Data Vlaue (Cr)'!$C:$FB,4)</f>
        <v>5255.5</v>
      </c>
      <c r="E12" s="75">
        <f>VLOOKUP($A12,'Data Vlaue (Cr)'!$C:$FB,5)</f>
        <v>5218</v>
      </c>
      <c r="F12" s="75">
        <f t="shared" ref="F12:F75" si="0">D12-C12</f>
        <v>37.5</v>
      </c>
      <c r="G12" s="75">
        <f t="shared" ref="G12:G74" si="1">(D12-E12)/D12*100</f>
        <v>0.71353819807820373</v>
      </c>
      <c r="H12" s="75">
        <f>VLOOKUP($A12,'Data Vlaue (Cr)'!$C:$FB,99)</f>
        <v>2001</v>
      </c>
      <c r="I12" s="75">
        <f>VLOOKUP($A12,'Data Vlaue (Cr)'!$C:$FB,100)</f>
        <v>1840</v>
      </c>
      <c r="J12" s="75">
        <f t="shared" ref="J12:J75" si="2">H12-I12</f>
        <v>161</v>
      </c>
      <c r="K12" s="75">
        <f t="shared" ref="K12:K75" si="3">J12/H12*100</f>
        <v>8.0459770114942533</v>
      </c>
      <c r="L12" s="75">
        <f>VLOOKUP($A12,'Data Vlaue (Cr)'!$C:$FB,67)</f>
        <v>1012</v>
      </c>
      <c r="M12" s="75">
        <f>VLOOKUP($A12,'Data Vlaue (Cr)'!$C:$FB,68)</f>
        <v>479</v>
      </c>
      <c r="N12" s="75">
        <f t="shared" ref="N12:N75" si="4">L12-M12</f>
        <v>533</v>
      </c>
      <c r="O12" s="75">
        <f t="shared" ref="O12:O75" si="5">N12/L12*100</f>
        <v>52.667984189723313</v>
      </c>
      <c r="P12" s="75">
        <f>VLOOKUP($A12,'Data Vlaue (Cr)'!$C:$FB,119)</f>
        <v>0.67</v>
      </c>
      <c r="Q12" s="75">
        <f>VLOOKUP($A12,'Data Vlaue (Cr)'!$C:$FB,122)*100</f>
        <v>-10.67</v>
      </c>
      <c r="R12" s="75">
        <f>VLOOKUP($A12,'Data Vlaue (Cr)'!$C:$FB,125)</f>
        <v>0.25</v>
      </c>
      <c r="S12" s="75">
        <f>VLOOKUP($A12,'Data Vlaue (Cr)'!$C:$FB,128)*100</f>
        <v>-51.92</v>
      </c>
    </row>
    <row r="13" spans="1:19" x14ac:dyDescent="0.25">
      <c r="A13" s="96" t="str">
        <f>'Data Vlaue (Cr)'!C4</f>
        <v>ABCAPITAL</v>
      </c>
      <c r="B13" s="75">
        <f>VLOOKUP($A13,'Data Vlaue (Cr)'!$C:$FB,2)</f>
        <v>3100</v>
      </c>
      <c r="C13" s="75">
        <f>VLOOKUP($A13,'Data Vlaue (Cr)'!$C:$FB,8)</f>
        <v>304.05</v>
      </c>
      <c r="D13" s="75">
        <f>VLOOKUP($A13,'Data Vlaue (Cr)'!$C:$FB,4)</f>
        <v>306.14999999999998</v>
      </c>
      <c r="E13" s="75">
        <f>VLOOKUP($A13,'Data Vlaue (Cr)'!$C:$FB,5)</f>
        <v>305.5</v>
      </c>
      <c r="F13" s="75">
        <f t="shared" si="0"/>
        <v>2.0999999999999659</v>
      </c>
      <c r="G13" s="75">
        <f t="shared" si="1"/>
        <v>0.21231422505307113</v>
      </c>
      <c r="H13" s="75">
        <f>VLOOKUP($A13,'Data Vlaue (Cr)'!$C:$FB,99)</f>
        <v>2890</v>
      </c>
      <c r="I13" s="75">
        <f>VLOOKUP($A13,'Data Vlaue (Cr)'!$C:$FB,100)</f>
        <v>2856</v>
      </c>
      <c r="J13" s="75">
        <f t="shared" si="2"/>
        <v>34</v>
      </c>
      <c r="K13" s="75">
        <f t="shared" si="3"/>
        <v>1.1764705882352942</v>
      </c>
      <c r="L13" s="75">
        <f>VLOOKUP($A13,'Data Vlaue (Cr)'!$C:$FB,67)</f>
        <v>1613</v>
      </c>
      <c r="M13" s="75">
        <f>VLOOKUP($A13,'Data Vlaue (Cr)'!$C:$FB,68)</f>
        <v>1967</v>
      </c>
      <c r="N13" s="75">
        <f t="shared" si="4"/>
        <v>-354</v>
      </c>
      <c r="O13" s="75">
        <f t="shared" si="5"/>
        <v>-21.94668319900806</v>
      </c>
      <c r="P13" s="75">
        <f>VLOOKUP($A13,'Data Vlaue (Cr)'!$C:$FB,119)</f>
        <v>0.59</v>
      </c>
      <c r="Q13" s="75">
        <f>VLOOKUP($A13,'Data Vlaue (Cr)'!$C:$FB,122)*100</f>
        <v>3.51</v>
      </c>
      <c r="R13" s="75">
        <f>VLOOKUP($A13,'Data Vlaue (Cr)'!$C:$FB,125)</f>
        <v>0.49</v>
      </c>
      <c r="S13" s="75">
        <f>VLOOKUP($A13,'Data Vlaue (Cr)'!$C:$FB,128)*100</f>
        <v>2.08</v>
      </c>
    </row>
    <row r="14" spans="1:19" x14ac:dyDescent="0.25">
      <c r="A14" s="96" t="str">
        <f>'Data Vlaue (Cr)'!C5</f>
        <v>ADANIENSOL</v>
      </c>
      <c r="B14" s="75">
        <f>VLOOKUP($A14,'Data Vlaue (Cr)'!$C:$FB,2)</f>
        <v>675</v>
      </c>
      <c r="C14" s="75">
        <f>VLOOKUP($A14,'Data Vlaue (Cr)'!$C:$FB,8)</f>
        <v>926.65</v>
      </c>
      <c r="D14" s="75">
        <f>VLOOKUP($A14,'Data Vlaue (Cr)'!$C:$FB,4)</f>
        <v>929.7</v>
      </c>
      <c r="E14" s="75">
        <f>VLOOKUP($A14,'Data Vlaue (Cr)'!$C:$FB,5)</f>
        <v>919.95</v>
      </c>
      <c r="F14" s="75">
        <f t="shared" si="0"/>
        <v>3.0500000000000682</v>
      </c>
      <c r="G14" s="75">
        <f t="shared" si="1"/>
        <v>1.0487253952888027</v>
      </c>
      <c r="H14" s="75">
        <f>VLOOKUP($A14,'Data Vlaue (Cr)'!$C:$FB,99)</f>
        <v>2175</v>
      </c>
      <c r="I14" s="75">
        <f>VLOOKUP($A14,'Data Vlaue (Cr)'!$C:$FB,100)</f>
        <v>2147</v>
      </c>
      <c r="J14" s="75">
        <f t="shared" si="2"/>
        <v>28</v>
      </c>
      <c r="K14" s="75">
        <f t="shared" si="3"/>
        <v>1.2873563218390804</v>
      </c>
      <c r="L14" s="75">
        <f>VLOOKUP($A14,'Data Vlaue (Cr)'!$C:$FB,67)</f>
        <v>558</v>
      </c>
      <c r="M14" s="75">
        <f>VLOOKUP($A14,'Data Vlaue (Cr)'!$C:$FB,68)</f>
        <v>780</v>
      </c>
      <c r="N14" s="75">
        <f t="shared" si="4"/>
        <v>-222</v>
      </c>
      <c r="O14" s="75">
        <f>N14/L14*100</f>
        <v>-39.784946236559136</v>
      </c>
      <c r="P14" s="75">
        <f>VLOOKUP($A14,'Data Vlaue (Cr)'!$C:$FB,119)</f>
        <v>0.53</v>
      </c>
      <c r="Q14" s="75">
        <f>VLOOKUP($A14,'Data Vlaue (Cr)'!$C:$FB,122)*100</f>
        <v>-1.8499999999999999</v>
      </c>
      <c r="R14" s="75">
        <f>VLOOKUP($A14,'Data Vlaue (Cr)'!$C:$FB,125)</f>
        <v>0.31</v>
      </c>
      <c r="S14" s="75">
        <f>VLOOKUP($A14,'Data Vlaue (Cr)'!$C:$FB,128)*100</f>
        <v>-3.1300000000000003</v>
      </c>
    </row>
    <row r="15" spans="1:19" x14ac:dyDescent="0.25">
      <c r="A15" s="96" t="str">
        <f>'Data Vlaue (Cr)'!C6</f>
        <v>ADANIENT</v>
      </c>
      <c r="B15" s="75">
        <f>VLOOKUP($A15,'Data Vlaue (Cr)'!$C:$FB,2)</f>
        <v>300</v>
      </c>
      <c r="C15" s="75">
        <f>VLOOKUP($A15,'Data Vlaue (Cr)'!$C:$FB,8)</f>
        <v>2573.5</v>
      </c>
      <c r="D15" s="75">
        <f>VLOOKUP($A15,'Data Vlaue (Cr)'!$C:$FB,4)</f>
        <v>2588.8000000000002</v>
      </c>
      <c r="E15" s="75">
        <f>VLOOKUP($A15,'Data Vlaue (Cr)'!$C:$FB,5)</f>
        <v>2607.1999999999998</v>
      </c>
      <c r="F15" s="75">
        <f t="shared" si="0"/>
        <v>15.300000000000182</v>
      </c>
      <c r="G15" s="75">
        <f t="shared" si="1"/>
        <v>-0.71075401730530108</v>
      </c>
      <c r="H15" s="75">
        <f>VLOOKUP($A15,'Data Vlaue (Cr)'!$C:$FB,99)</f>
        <v>6302</v>
      </c>
      <c r="I15" s="75">
        <f>VLOOKUP($A15,'Data Vlaue (Cr)'!$C:$FB,100)</f>
        <v>6211</v>
      </c>
      <c r="J15" s="75">
        <f t="shared" si="2"/>
        <v>91</v>
      </c>
      <c r="K15" s="75">
        <f t="shared" si="3"/>
        <v>1.4439860361789907</v>
      </c>
      <c r="L15" s="75">
        <f>VLOOKUP($A15,'Data Vlaue (Cr)'!$C:$FB,67)</f>
        <v>2176</v>
      </c>
      <c r="M15" s="75">
        <f>VLOOKUP($A15,'Data Vlaue (Cr)'!$C:$FB,68)</f>
        <v>3672</v>
      </c>
      <c r="N15" s="75">
        <f t="shared" si="4"/>
        <v>-1496</v>
      </c>
      <c r="O15" s="75">
        <f t="shared" si="5"/>
        <v>-68.75</v>
      </c>
      <c r="P15" s="75">
        <f>VLOOKUP($A15,'Data Vlaue (Cr)'!$C:$FB,119)</f>
        <v>0.64</v>
      </c>
      <c r="Q15" s="75">
        <f>VLOOKUP($A15,'Data Vlaue (Cr)'!$C:$FB,122)*100</f>
        <v>-3.0300000000000002</v>
      </c>
      <c r="R15" s="75">
        <f>VLOOKUP($A15,'Data Vlaue (Cr)'!$C:$FB,125)</f>
        <v>0.39</v>
      </c>
      <c r="S15" s="75">
        <f>VLOOKUP($A15,'Data Vlaue (Cr)'!$C:$FB,128)*100</f>
        <v>-13.33</v>
      </c>
    </row>
    <row r="16" spans="1:19" x14ac:dyDescent="0.25">
      <c r="A16" s="96" t="str">
        <f>'Data Vlaue (Cr)'!C7</f>
        <v>ADANIGREEN</v>
      </c>
      <c r="B16" s="75">
        <f>VLOOKUP($A16,'Data Vlaue (Cr)'!$C:$FB,2)</f>
        <v>600</v>
      </c>
      <c r="C16" s="75">
        <f>VLOOKUP($A16,'Data Vlaue (Cr)'!$C:$FB,8)</f>
        <v>1059.4000000000001</v>
      </c>
      <c r="D16" s="75">
        <f>VLOOKUP($A16,'Data Vlaue (Cr)'!$C:$FB,4)</f>
        <v>1065.4000000000001</v>
      </c>
      <c r="E16" s="75">
        <f>VLOOKUP($A16,'Data Vlaue (Cr)'!$C:$FB,5)</f>
        <v>1077.5999999999999</v>
      </c>
      <c r="F16" s="75">
        <f t="shared" si="0"/>
        <v>6</v>
      </c>
      <c r="G16" s="75">
        <f t="shared" si="1"/>
        <v>-1.1451098179087495</v>
      </c>
      <c r="H16" s="75">
        <f>VLOOKUP($A16,'Data Vlaue (Cr)'!$C:$FB,99)</f>
        <v>3552</v>
      </c>
      <c r="I16" s="75">
        <f>VLOOKUP($A16,'Data Vlaue (Cr)'!$C:$FB,100)</f>
        <v>3505</v>
      </c>
      <c r="J16" s="75">
        <f t="shared" si="2"/>
        <v>47</v>
      </c>
      <c r="K16" s="75">
        <f t="shared" si="3"/>
        <v>1.3231981981981982</v>
      </c>
      <c r="L16" s="75">
        <f>VLOOKUP($A16,'Data Vlaue (Cr)'!$C:$FB,67)</f>
        <v>1275</v>
      </c>
      <c r="M16" s="75">
        <f>VLOOKUP($A16,'Data Vlaue (Cr)'!$C:$FB,68)</f>
        <v>2281</v>
      </c>
      <c r="N16" s="75">
        <f t="shared" si="4"/>
        <v>-1006</v>
      </c>
      <c r="O16" s="75">
        <f t="shared" si="5"/>
        <v>-78.901960784313729</v>
      </c>
      <c r="P16" s="75">
        <f>VLOOKUP($A16,'Data Vlaue (Cr)'!$C:$FB,119)</f>
        <v>0.49</v>
      </c>
      <c r="Q16" s="75">
        <f>VLOOKUP($A16,'Data Vlaue (Cr)'!$C:$FB,122)*100</f>
        <v>-2</v>
      </c>
      <c r="R16" s="75">
        <f>VLOOKUP($A16,'Data Vlaue (Cr)'!$C:$FB,125)</f>
        <v>0.35</v>
      </c>
      <c r="S16" s="75">
        <f>VLOOKUP($A16,'Data Vlaue (Cr)'!$C:$FB,128)*100</f>
        <v>-2.78</v>
      </c>
    </row>
    <row r="17" spans="1:19" x14ac:dyDescent="0.25">
      <c r="A17" s="96" t="str">
        <f>'Data Vlaue (Cr)'!C8</f>
        <v>ADANIPORTS</v>
      </c>
      <c r="B17" s="75">
        <f>VLOOKUP($A17,'Data Vlaue (Cr)'!$C:$FB,2)</f>
        <v>475</v>
      </c>
      <c r="C17" s="75">
        <f>VLOOKUP($A17,'Data Vlaue (Cr)'!$C:$FB,8)</f>
        <v>1400.5</v>
      </c>
      <c r="D17" s="75">
        <f>VLOOKUP($A17,'Data Vlaue (Cr)'!$C:$FB,4)</f>
        <v>1408.2</v>
      </c>
      <c r="E17" s="75">
        <f>VLOOKUP($A17,'Data Vlaue (Cr)'!$C:$FB,5)</f>
        <v>1427.9</v>
      </c>
      <c r="F17" s="75">
        <f t="shared" si="0"/>
        <v>7.7000000000000455</v>
      </c>
      <c r="G17" s="75">
        <f t="shared" si="1"/>
        <v>-1.3989490129243036</v>
      </c>
      <c r="H17" s="75">
        <f>VLOOKUP($A17,'Data Vlaue (Cr)'!$C:$FB,99)</f>
        <v>4748</v>
      </c>
      <c r="I17" s="75">
        <f>VLOOKUP($A17,'Data Vlaue (Cr)'!$C:$FB,100)</f>
        <v>4580</v>
      </c>
      <c r="J17" s="75">
        <f t="shared" si="2"/>
        <v>168</v>
      </c>
      <c r="K17" s="75">
        <f t="shared" si="3"/>
        <v>3.5383319292333613</v>
      </c>
      <c r="L17" s="75">
        <f>VLOOKUP($A17,'Data Vlaue (Cr)'!$C:$FB,67)</f>
        <v>2260</v>
      </c>
      <c r="M17" s="75">
        <f>VLOOKUP($A17,'Data Vlaue (Cr)'!$C:$FB,68)</f>
        <v>1836</v>
      </c>
      <c r="N17" s="75">
        <f t="shared" si="4"/>
        <v>424</v>
      </c>
      <c r="O17" s="75">
        <f t="shared" si="5"/>
        <v>18.761061946902654</v>
      </c>
      <c r="P17" s="75">
        <f>VLOOKUP($A17,'Data Vlaue (Cr)'!$C:$FB,119)</f>
        <v>0.59</v>
      </c>
      <c r="Q17" s="75">
        <f>VLOOKUP($A17,'Data Vlaue (Cr)'!$C:$FB,122)*100</f>
        <v>-10.61</v>
      </c>
      <c r="R17" s="75">
        <f>VLOOKUP($A17,'Data Vlaue (Cr)'!$C:$FB,125)</f>
        <v>0.52</v>
      </c>
      <c r="S17" s="75">
        <f>VLOOKUP($A17,'Data Vlaue (Cr)'!$C:$FB,128)*100</f>
        <v>40.54</v>
      </c>
    </row>
    <row r="18" spans="1:19" x14ac:dyDescent="0.25">
      <c r="A18" s="96" t="str">
        <f>'Data Vlaue (Cr)'!C9</f>
        <v>ALKEM</v>
      </c>
      <c r="B18" s="75">
        <f>VLOOKUP($A18,'Data Vlaue (Cr)'!$C:$FB,2)</f>
        <v>125</v>
      </c>
      <c r="C18" s="75">
        <f>VLOOKUP($A18,'Data Vlaue (Cr)'!$C:$FB,8)</f>
        <v>5494</v>
      </c>
      <c r="D18" s="75">
        <f>VLOOKUP($A18,'Data Vlaue (Cr)'!$C:$FB,4)</f>
        <v>5526.5</v>
      </c>
      <c r="E18" s="75">
        <f>VLOOKUP($A18,'Data Vlaue (Cr)'!$C:$FB,5)</f>
        <v>5462</v>
      </c>
      <c r="F18" s="75">
        <f t="shared" si="0"/>
        <v>32.5</v>
      </c>
      <c r="G18" s="75">
        <f t="shared" si="1"/>
        <v>1.1671039536777346</v>
      </c>
      <c r="H18" s="75">
        <f>VLOOKUP($A18,'Data Vlaue (Cr)'!$C:$FB,99)</f>
        <v>963</v>
      </c>
      <c r="I18" s="75">
        <f>VLOOKUP($A18,'Data Vlaue (Cr)'!$C:$FB,100)</f>
        <v>924</v>
      </c>
      <c r="J18" s="75">
        <f t="shared" si="2"/>
        <v>39</v>
      </c>
      <c r="K18" s="75">
        <f t="shared" si="3"/>
        <v>4.0498442367601246</v>
      </c>
      <c r="L18" s="75">
        <f>VLOOKUP($A18,'Data Vlaue (Cr)'!$C:$FB,67)</f>
        <v>285</v>
      </c>
      <c r="M18" s="75">
        <f>VLOOKUP($A18,'Data Vlaue (Cr)'!$C:$FB,68)</f>
        <v>266</v>
      </c>
      <c r="N18" s="75">
        <f t="shared" si="4"/>
        <v>19</v>
      </c>
      <c r="O18" s="75">
        <f t="shared" si="5"/>
        <v>6.666666666666667</v>
      </c>
      <c r="P18" s="75">
        <f>VLOOKUP($A18,'Data Vlaue (Cr)'!$C:$FB,119)</f>
        <v>0.64</v>
      </c>
      <c r="Q18" s="75">
        <f>VLOOKUP($A18,'Data Vlaue (Cr)'!$C:$FB,122)*100</f>
        <v>-12.33</v>
      </c>
      <c r="R18" s="75">
        <f>VLOOKUP($A18,'Data Vlaue (Cr)'!$C:$FB,125)</f>
        <v>0.36</v>
      </c>
      <c r="S18" s="75">
        <f>VLOOKUP($A18,'Data Vlaue (Cr)'!$C:$FB,128)*100</f>
        <v>80</v>
      </c>
    </row>
    <row r="19" spans="1:19" x14ac:dyDescent="0.25">
      <c r="A19" s="96" t="str">
        <f>'Data Vlaue (Cr)'!C10</f>
        <v>AMBER</v>
      </c>
      <c r="B19" s="75">
        <f>VLOOKUP($A19,'Data Vlaue (Cr)'!$C:$FB,2)</f>
        <v>100</v>
      </c>
      <c r="C19" s="75">
        <f>VLOOKUP($A19,'Data Vlaue (Cr)'!$C:$FB,8)</f>
        <v>8174.5</v>
      </c>
      <c r="D19" s="75">
        <f>VLOOKUP($A19,'Data Vlaue (Cr)'!$C:$FB,4)</f>
        <v>8170</v>
      </c>
      <c r="E19" s="75">
        <f>VLOOKUP($A19,'Data Vlaue (Cr)'!$C:$FB,5)</f>
        <v>8202</v>
      </c>
      <c r="F19" s="75">
        <f t="shared" si="0"/>
        <v>-4.5</v>
      </c>
      <c r="G19" s="75">
        <f t="shared" si="1"/>
        <v>-0.39167686658506734</v>
      </c>
      <c r="H19" s="75">
        <f>VLOOKUP($A19,'Data Vlaue (Cr)'!$C:$FB,99)</f>
        <v>831</v>
      </c>
      <c r="I19" s="75">
        <f>VLOOKUP($A19,'Data Vlaue (Cr)'!$C:$FB,100)</f>
        <v>807</v>
      </c>
      <c r="J19" s="75">
        <f t="shared" si="2"/>
        <v>24</v>
      </c>
      <c r="K19" s="75">
        <f t="shared" si="3"/>
        <v>2.8880866425992782</v>
      </c>
      <c r="L19" s="75">
        <f>VLOOKUP($A19,'Data Vlaue (Cr)'!$C:$FB,67)</f>
        <v>461</v>
      </c>
      <c r="M19" s="75">
        <f>VLOOKUP($A19,'Data Vlaue (Cr)'!$C:$FB,68)</f>
        <v>298</v>
      </c>
      <c r="N19" s="75">
        <f t="shared" si="4"/>
        <v>163</v>
      </c>
      <c r="O19" s="75">
        <f t="shared" si="5"/>
        <v>35.357917570498913</v>
      </c>
      <c r="P19" s="75">
        <f>VLOOKUP($A19,'Data Vlaue (Cr)'!$C:$FB,119)</f>
        <v>0.52</v>
      </c>
      <c r="Q19" s="75">
        <f>VLOOKUP($A19,'Data Vlaue (Cr)'!$C:$FB,122)*100</f>
        <v>0</v>
      </c>
      <c r="R19" s="75">
        <f>VLOOKUP($A19,'Data Vlaue (Cr)'!$C:$FB,125)</f>
        <v>0.28000000000000003</v>
      </c>
      <c r="S19" s="75">
        <f>VLOOKUP($A19,'Data Vlaue (Cr)'!$C:$FB,128)*100</f>
        <v>-17.649999999999999</v>
      </c>
    </row>
    <row r="20" spans="1:19" x14ac:dyDescent="0.25">
      <c r="A20" s="96" t="str">
        <f>'Data Vlaue (Cr)'!C11</f>
        <v>AMBUJACEM</v>
      </c>
      <c r="B20" s="75">
        <f>VLOOKUP($A20,'Data Vlaue (Cr)'!$C:$FB,2)</f>
        <v>1050</v>
      </c>
      <c r="C20" s="75">
        <f>VLOOKUP($A20,'Data Vlaue (Cr)'!$C:$FB,8)</f>
        <v>573.79999999999995</v>
      </c>
      <c r="D20" s="75">
        <f>VLOOKUP($A20,'Data Vlaue (Cr)'!$C:$FB,4)</f>
        <v>576.4</v>
      </c>
      <c r="E20" s="75">
        <f>VLOOKUP($A20,'Data Vlaue (Cr)'!$C:$FB,5)</f>
        <v>579.65</v>
      </c>
      <c r="F20" s="75">
        <f t="shared" si="0"/>
        <v>2.6000000000000227</v>
      </c>
      <c r="G20" s="75">
        <f t="shared" si="1"/>
        <v>-0.56384455239417075</v>
      </c>
      <c r="H20" s="75">
        <f>VLOOKUP($A20,'Data Vlaue (Cr)'!$C:$FB,99)</f>
        <v>3335</v>
      </c>
      <c r="I20" s="75">
        <f>VLOOKUP($A20,'Data Vlaue (Cr)'!$C:$FB,100)</f>
        <v>3264</v>
      </c>
      <c r="J20" s="75">
        <f t="shared" si="2"/>
        <v>71</v>
      </c>
      <c r="K20" s="75">
        <f t="shared" si="3"/>
        <v>2.128935532233883</v>
      </c>
      <c r="L20" s="75">
        <f>VLOOKUP($A20,'Data Vlaue (Cr)'!$C:$FB,67)</f>
        <v>456</v>
      </c>
      <c r="M20" s="75">
        <f>VLOOKUP($A20,'Data Vlaue (Cr)'!$C:$FB,68)</f>
        <v>889</v>
      </c>
      <c r="N20" s="75">
        <f t="shared" si="4"/>
        <v>-433</v>
      </c>
      <c r="O20" s="75">
        <f t="shared" si="5"/>
        <v>-94.956140350877192</v>
      </c>
      <c r="P20" s="75">
        <f>VLOOKUP($A20,'Data Vlaue (Cr)'!$C:$FB,119)</f>
        <v>0.78</v>
      </c>
      <c r="Q20" s="75">
        <f>VLOOKUP($A20,'Data Vlaue (Cr)'!$C:$FB,122)*100</f>
        <v>-3.6999999999999997</v>
      </c>
      <c r="R20" s="75">
        <f>VLOOKUP($A20,'Data Vlaue (Cr)'!$C:$FB,125)</f>
        <v>0.42</v>
      </c>
      <c r="S20" s="75">
        <f>VLOOKUP($A20,'Data Vlaue (Cr)'!$C:$FB,128)*100</f>
        <v>5</v>
      </c>
    </row>
    <row r="21" spans="1:19" x14ac:dyDescent="0.25">
      <c r="A21" s="96" t="str">
        <f>'Data Vlaue (Cr)'!C12</f>
        <v>ANGELONE</v>
      </c>
      <c r="B21" s="75">
        <f>VLOOKUP($A21,'Data Vlaue (Cr)'!$C:$FB,2)</f>
        <v>250</v>
      </c>
      <c r="C21" s="75">
        <f>VLOOKUP($A21,'Data Vlaue (Cr)'!$C:$FB,8)</f>
        <v>2265.1999999999998</v>
      </c>
      <c r="D21" s="75">
        <f>VLOOKUP($A21,'Data Vlaue (Cr)'!$C:$FB,4)</f>
        <v>2275.9</v>
      </c>
      <c r="E21" s="75">
        <f>VLOOKUP($A21,'Data Vlaue (Cr)'!$C:$FB,5)</f>
        <v>2206.1999999999998</v>
      </c>
      <c r="F21" s="75">
        <f t="shared" si="0"/>
        <v>10.700000000000273</v>
      </c>
      <c r="G21" s="75">
        <f t="shared" si="1"/>
        <v>3.0625247154971778</v>
      </c>
      <c r="H21" s="75">
        <f>VLOOKUP($A21,'Data Vlaue (Cr)'!$C:$FB,99)</f>
        <v>1487</v>
      </c>
      <c r="I21" s="75">
        <f>VLOOKUP($A21,'Data Vlaue (Cr)'!$C:$FB,100)</f>
        <v>1445</v>
      </c>
      <c r="J21" s="75">
        <f t="shared" si="2"/>
        <v>42</v>
      </c>
      <c r="K21" s="75">
        <f t="shared" si="3"/>
        <v>2.824478816408877</v>
      </c>
      <c r="L21" s="75">
        <f>VLOOKUP($A21,'Data Vlaue (Cr)'!$C:$FB,67)</f>
        <v>2252</v>
      </c>
      <c r="M21" s="75">
        <f>VLOOKUP($A21,'Data Vlaue (Cr)'!$C:$FB,68)</f>
        <v>913</v>
      </c>
      <c r="N21" s="75">
        <f t="shared" si="4"/>
        <v>1339</v>
      </c>
      <c r="O21" s="75">
        <f t="shared" si="5"/>
        <v>59.458259325044402</v>
      </c>
      <c r="P21" s="75">
        <f>VLOOKUP($A21,'Data Vlaue (Cr)'!$C:$FB,119)</f>
        <v>0.8</v>
      </c>
      <c r="Q21" s="75">
        <f>VLOOKUP($A21,'Data Vlaue (Cr)'!$C:$FB,122)*100</f>
        <v>-5.88</v>
      </c>
      <c r="R21" s="75">
        <f>VLOOKUP($A21,'Data Vlaue (Cr)'!$C:$FB,125)</f>
        <v>0.43</v>
      </c>
      <c r="S21" s="75">
        <f>VLOOKUP($A21,'Data Vlaue (Cr)'!$C:$FB,128)*100</f>
        <v>-2.27</v>
      </c>
    </row>
    <row r="22" spans="1:19" x14ac:dyDescent="0.25">
      <c r="A22" s="96" t="str">
        <f>'Data Vlaue (Cr)'!C13</f>
        <v>APLAPOLLO</v>
      </c>
      <c r="B22" s="75">
        <f>VLOOKUP($A22,'Data Vlaue (Cr)'!$C:$FB,2)</f>
        <v>350</v>
      </c>
      <c r="C22" s="75">
        <f>VLOOKUP($A22,'Data Vlaue (Cr)'!$C:$FB,8)</f>
        <v>1742</v>
      </c>
      <c r="D22" s="75">
        <f>VLOOKUP($A22,'Data Vlaue (Cr)'!$C:$FB,4)</f>
        <v>1750.5</v>
      </c>
      <c r="E22" s="75">
        <f>VLOOKUP($A22,'Data Vlaue (Cr)'!$C:$FB,5)</f>
        <v>1744.7</v>
      </c>
      <c r="F22" s="75">
        <f t="shared" si="0"/>
        <v>8.5</v>
      </c>
      <c r="G22" s="75">
        <f t="shared" si="1"/>
        <v>0.3313339045986835</v>
      </c>
      <c r="H22" s="75">
        <f>VLOOKUP($A22,'Data Vlaue (Cr)'!$C:$FB,99)</f>
        <v>1956</v>
      </c>
      <c r="I22" s="75">
        <f>VLOOKUP($A22,'Data Vlaue (Cr)'!$C:$FB,100)</f>
        <v>1963</v>
      </c>
      <c r="J22" s="75">
        <f t="shared" si="2"/>
        <v>-7</v>
      </c>
      <c r="K22" s="75">
        <f t="shared" si="3"/>
        <v>-0.35787321063394684</v>
      </c>
      <c r="L22" s="75">
        <f>VLOOKUP($A22,'Data Vlaue (Cr)'!$C:$FB,67)</f>
        <v>305</v>
      </c>
      <c r="M22" s="75">
        <f>VLOOKUP($A22,'Data Vlaue (Cr)'!$C:$FB,68)</f>
        <v>525</v>
      </c>
      <c r="N22" s="75">
        <f t="shared" si="4"/>
        <v>-220</v>
      </c>
      <c r="O22" s="75">
        <f t="shared" si="5"/>
        <v>-72.131147540983605</v>
      </c>
      <c r="P22" s="75">
        <f>VLOOKUP($A22,'Data Vlaue (Cr)'!$C:$FB,119)</f>
        <v>0.65</v>
      </c>
      <c r="Q22" s="75">
        <f>VLOOKUP($A22,'Data Vlaue (Cr)'!$C:$FB,122)*100</f>
        <v>4.84</v>
      </c>
      <c r="R22" s="75">
        <f>VLOOKUP($A22,'Data Vlaue (Cr)'!$C:$FB,125)</f>
        <v>0.38</v>
      </c>
      <c r="S22" s="75">
        <f>VLOOKUP($A22,'Data Vlaue (Cr)'!$C:$FB,128)*100</f>
        <v>11.76</v>
      </c>
    </row>
    <row r="23" spans="1:19" x14ac:dyDescent="0.25">
      <c r="A23" s="96" t="str">
        <f>'Data Vlaue (Cr)'!C14</f>
        <v>APOLLOHOSP</v>
      </c>
      <c r="B23" s="75">
        <f>VLOOKUP($A23,'Data Vlaue (Cr)'!$C:$FB,2)</f>
        <v>125</v>
      </c>
      <c r="C23" s="75">
        <f>VLOOKUP($A23,'Data Vlaue (Cr)'!$C:$FB,8)</f>
        <v>7662</v>
      </c>
      <c r="D23" s="75">
        <f>VLOOKUP($A23,'Data Vlaue (Cr)'!$C:$FB,4)</f>
        <v>7687.5</v>
      </c>
      <c r="E23" s="75">
        <f>VLOOKUP($A23,'Data Vlaue (Cr)'!$C:$FB,5)</f>
        <v>7483</v>
      </c>
      <c r="F23" s="75">
        <f t="shared" si="0"/>
        <v>25.5</v>
      </c>
      <c r="G23" s="75">
        <f t="shared" si="1"/>
        <v>2.6601626016260163</v>
      </c>
      <c r="H23" s="75">
        <f>VLOOKUP($A23,'Data Vlaue (Cr)'!$C:$FB,99)</f>
        <v>2934</v>
      </c>
      <c r="I23" s="75">
        <f>VLOOKUP($A23,'Data Vlaue (Cr)'!$C:$FB,100)</f>
        <v>2794</v>
      </c>
      <c r="J23" s="75">
        <f t="shared" si="2"/>
        <v>140</v>
      </c>
      <c r="K23" s="75">
        <f t="shared" si="3"/>
        <v>4.7716428084526248</v>
      </c>
      <c r="L23" s="75">
        <f>VLOOKUP($A23,'Data Vlaue (Cr)'!$C:$FB,67)</f>
        <v>4192</v>
      </c>
      <c r="M23" s="75">
        <f>VLOOKUP($A23,'Data Vlaue (Cr)'!$C:$FB,68)</f>
        <v>850</v>
      </c>
      <c r="N23" s="75">
        <f t="shared" si="4"/>
        <v>3342</v>
      </c>
      <c r="O23" s="75">
        <f t="shared" si="5"/>
        <v>79.723282442748086</v>
      </c>
      <c r="P23" s="75">
        <f>VLOOKUP($A23,'Data Vlaue (Cr)'!$C:$FB,119)</f>
        <v>0.66</v>
      </c>
      <c r="Q23" s="75">
        <f>VLOOKUP($A23,'Data Vlaue (Cr)'!$C:$FB,122)*100</f>
        <v>24.529999999999998</v>
      </c>
      <c r="R23" s="75">
        <f>VLOOKUP($A23,'Data Vlaue (Cr)'!$C:$FB,125)</f>
        <v>0.36</v>
      </c>
      <c r="S23" s="75">
        <f>VLOOKUP($A23,'Data Vlaue (Cr)'!$C:$FB,128)*100</f>
        <v>16.13</v>
      </c>
    </row>
    <row r="24" spans="1:19" x14ac:dyDescent="0.25">
      <c r="A24" s="96" t="str">
        <f>'Data Vlaue (Cr)'!C15</f>
        <v>ASHOKLEY</v>
      </c>
      <c r="B24" s="75">
        <f>VLOOKUP($A24,'Data Vlaue (Cr)'!$C:$FB,2)</f>
        <v>5000</v>
      </c>
      <c r="C24" s="75">
        <f>VLOOKUP($A24,'Data Vlaue (Cr)'!$C:$FB,8)</f>
        <v>137.78</v>
      </c>
      <c r="D24" s="75">
        <f>VLOOKUP($A24,'Data Vlaue (Cr)'!$C:$FB,4)</f>
        <v>138.1</v>
      </c>
      <c r="E24" s="75">
        <f>VLOOKUP($A24,'Data Vlaue (Cr)'!$C:$FB,5)</f>
        <v>139.19</v>
      </c>
      <c r="F24" s="75">
        <f t="shared" si="0"/>
        <v>0.31999999999999318</v>
      </c>
      <c r="G24" s="75">
        <f t="shared" si="1"/>
        <v>-0.78928312816799673</v>
      </c>
      <c r="H24" s="75">
        <f>VLOOKUP($A24,'Data Vlaue (Cr)'!$C:$FB,99)</f>
        <v>3063</v>
      </c>
      <c r="I24" s="75">
        <f>VLOOKUP($A24,'Data Vlaue (Cr)'!$C:$FB,100)</f>
        <v>3048</v>
      </c>
      <c r="J24" s="75">
        <f t="shared" si="2"/>
        <v>15</v>
      </c>
      <c r="K24" s="75">
        <f t="shared" si="3"/>
        <v>0.48971596474045059</v>
      </c>
      <c r="L24" s="75">
        <f>VLOOKUP($A24,'Data Vlaue (Cr)'!$C:$FB,67)</f>
        <v>1306</v>
      </c>
      <c r="M24" s="75">
        <f>VLOOKUP($A24,'Data Vlaue (Cr)'!$C:$FB,68)</f>
        <v>1684</v>
      </c>
      <c r="N24" s="75">
        <f t="shared" si="4"/>
        <v>-378</v>
      </c>
      <c r="O24" s="75">
        <f t="shared" si="5"/>
        <v>-28.943338437978561</v>
      </c>
      <c r="P24" s="75">
        <f>VLOOKUP($A24,'Data Vlaue (Cr)'!$C:$FB,119)</f>
        <v>0.46</v>
      </c>
      <c r="Q24" s="75">
        <f>VLOOKUP($A24,'Data Vlaue (Cr)'!$C:$FB,122)*100</f>
        <v>-2.13</v>
      </c>
      <c r="R24" s="75">
        <f>VLOOKUP($A24,'Data Vlaue (Cr)'!$C:$FB,125)</f>
        <v>0.31</v>
      </c>
      <c r="S24" s="75">
        <f>VLOOKUP($A24,'Data Vlaue (Cr)'!$C:$FB,128)*100</f>
        <v>-6.0600000000000005</v>
      </c>
    </row>
    <row r="25" spans="1:19" x14ac:dyDescent="0.25">
      <c r="A25" s="96" t="str">
        <f>'Data Vlaue (Cr)'!C16</f>
        <v>ASIANPAINT</v>
      </c>
      <c r="B25" s="75">
        <f>VLOOKUP($A25,'Data Vlaue (Cr)'!$C:$FB,2)</f>
        <v>250</v>
      </c>
      <c r="C25" s="75">
        <f>VLOOKUP($A25,'Data Vlaue (Cr)'!$C:$FB,8)</f>
        <v>2354.8000000000002</v>
      </c>
      <c r="D25" s="75">
        <f>VLOOKUP($A25,'Data Vlaue (Cr)'!$C:$FB,4)</f>
        <v>2366.3000000000002</v>
      </c>
      <c r="E25" s="75">
        <f>VLOOKUP($A25,'Data Vlaue (Cr)'!$C:$FB,5)</f>
        <v>2361.8000000000002</v>
      </c>
      <c r="F25" s="75">
        <f t="shared" si="0"/>
        <v>11.5</v>
      </c>
      <c r="G25" s="75">
        <f t="shared" si="1"/>
        <v>0.19017030807589907</v>
      </c>
      <c r="H25" s="75">
        <f>VLOOKUP($A25,'Data Vlaue (Cr)'!$C:$FB,99)</f>
        <v>5130</v>
      </c>
      <c r="I25" s="75">
        <f>VLOOKUP($A25,'Data Vlaue (Cr)'!$C:$FB,100)</f>
        <v>4998</v>
      </c>
      <c r="J25" s="75">
        <f t="shared" si="2"/>
        <v>132</v>
      </c>
      <c r="K25" s="75">
        <f t="shared" si="3"/>
        <v>2.5730994152046787</v>
      </c>
      <c r="L25" s="75">
        <f>VLOOKUP($A25,'Data Vlaue (Cr)'!$C:$FB,67)</f>
        <v>1932</v>
      </c>
      <c r="M25" s="75">
        <f>VLOOKUP($A25,'Data Vlaue (Cr)'!$C:$FB,68)</f>
        <v>1770</v>
      </c>
      <c r="N25" s="75">
        <f t="shared" si="4"/>
        <v>162</v>
      </c>
      <c r="O25" s="75">
        <f t="shared" si="5"/>
        <v>8.3850931677018643</v>
      </c>
      <c r="P25" s="75">
        <f>VLOOKUP($A25,'Data Vlaue (Cr)'!$C:$FB,119)</f>
        <v>0.66</v>
      </c>
      <c r="Q25" s="75">
        <f>VLOOKUP($A25,'Data Vlaue (Cr)'!$C:$FB,122)*100</f>
        <v>1.54</v>
      </c>
      <c r="R25" s="75">
        <f>VLOOKUP($A25,'Data Vlaue (Cr)'!$C:$FB,125)</f>
        <v>0.38</v>
      </c>
      <c r="S25" s="75">
        <f>VLOOKUP($A25,'Data Vlaue (Cr)'!$C:$FB,128)*100</f>
        <v>11.76</v>
      </c>
    </row>
    <row r="26" spans="1:19" x14ac:dyDescent="0.25">
      <c r="A26" s="96" t="str">
        <f>'Data Vlaue (Cr)'!C17</f>
        <v>ASTRAL</v>
      </c>
      <c r="B26" s="75">
        <f>VLOOKUP($A26,'Data Vlaue (Cr)'!$C:$FB,2)</f>
        <v>425</v>
      </c>
      <c r="C26" s="75">
        <f>VLOOKUP($A26,'Data Vlaue (Cr)'!$C:$FB,8)</f>
        <v>1383.6</v>
      </c>
      <c r="D26" s="75">
        <f>VLOOKUP($A26,'Data Vlaue (Cr)'!$C:$FB,4)</f>
        <v>1393.6</v>
      </c>
      <c r="E26" s="75">
        <f>VLOOKUP($A26,'Data Vlaue (Cr)'!$C:$FB,5)</f>
        <v>1387</v>
      </c>
      <c r="F26" s="75">
        <f t="shared" si="0"/>
        <v>10</v>
      </c>
      <c r="G26" s="75">
        <f t="shared" si="1"/>
        <v>0.47359357060848944</v>
      </c>
      <c r="H26" s="75">
        <f>VLOOKUP($A26,'Data Vlaue (Cr)'!$C:$FB,99)</f>
        <v>1570</v>
      </c>
      <c r="I26" s="75">
        <f>VLOOKUP($A26,'Data Vlaue (Cr)'!$C:$FB,100)</f>
        <v>1505</v>
      </c>
      <c r="J26" s="75">
        <f t="shared" si="2"/>
        <v>65</v>
      </c>
      <c r="K26" s="75">
        <f t="shared" si="3"/>
        <v>4.1401273885350314</v>
      </c>
      <c r="L26" s="75">
        <f>VLOOKUP($A26,'Data Vlaue (Cr)'!$C:$FB,67)</f>
        <v>414</v>
      </c>
      <c r="M26" s="75">
        <f>VLOOKUP($A26,'Data Vlaue (Cr)'!$C:$FB,68)</f>
        <v>414</v>
      </c>
      <c r="N26" s="75">
        <f t="shared" si="4"/>
        <v>0</v>
      </c>
      <c r="O26" s="75">
        <f t="shared" si="5"/>
        <v>0</v>
      </c>
      <c r="P26" s="75">
        <f>VLOOKUP($A26,'Data Vlaue (Cr)'!$C:$FB,119)</f>
        <v>0.56000000000000005</v>
      </c>
      <c r="Q26" s="75">
        <f>VLOOKUP($A26,'Data Vlaue (Cr)'!$C:$FB,122)*100</f>
        <v>-3.45</v>
      </c>
      <c r="R26" s="75">
        <f>VLOOKUP($A26,'Data Vlaue (Cr)'!$C:$FB,125)</f>
        <v>0.46</v>
      </c>
      <c r="S26" s="75">
        <f>VLOOKUP($A26,'Data Vlaue (Cr)'!$C:$FB,128)*100</f>
        <v>-22.03</v>
      </c>
    </row>
    <row r="27" spans="1:19" x14ac:dyDescent="0.25">
      <c r="A27" s="96" t="str">
        <f>'Data Vlaue (Cr)'!C18</f>
        <v>AUBANK</v>
      </c>
      <c r="B27" s="75">
        <f>VLOOKUP($A27,'Data Vlaue (Cr)'!$C:$FB,2)</f>
        <v>1000</v>
      </c>
      <c r="C27" s="75">
        <f>VLOOKUP($A27,'Data Vlaue (Cr)'!$C:$FB,8)</f>
        <v>762.95</v>
      </c>
      <c r="D27" s="75">
        <f>VLOOKUP($A27,'Data Vlaue (Cr)'!$C:$FB,4)</f>
        <v>766.3</v>
      </c>
      <c r="E27" s="75">
        <f>VLOOKUP($A27,'Data Vlaue (Cr)'!$C:$FB,5)</f>
        <v>745.1</v>
      </c>
      <c r="F27" s="75">
        <f t="shared" si="0"/>
        <v>3.3499999999999091</v>
      </c>
      <c r="G27" s="75">
        <f t="shared" si="1"/>
        <v>2.7665405193788248</v>
      </c>
      <c r="H27" s="75">
        <f>VLOOKUP($A27,'Data Vlaue (Cr)'!$C:$FB,99)</f>
        <v>2332</v>
      </c>
      <c r="I27" s="75">
        <f>VLOOKUP($A27,'Data Vlaue (Cr)'!$C:$FB,100)</f>
        <v>2323</v>
      </c>
      <c r="J27" s="75">
        <f t="shared" si="2"/>
        <v>9</v>
      </c>
      <c r="K27" s="75">
        <f t="shared" si="3"/>
        <v>0.38593481989708406</v>
      </c>
      <c r="L27" s="75">
        <f>VLOOKUP($A27,'Data Vlaue (Cr)'!$C:$FB,67)</f>
        <v>2239</v>
      </c>
      <c r="M27" s="75">
        <f>VLOOKUP($A27,'Data Vlaue (Cr)'!$C:$FB,68)</f>
        <v>1289</v>
      </c>
      <c r="N27" s="75">
        <f t="shared" si="4"/>
        <v>950</v>
      </c>
      <c r="O27" s="75">
        <f t="shared" si="5"/>
        <v>42.429656096471639</v>
      </c>
      <c r="P27" s="75">
        <f>VLOOKUP($A27,'Data Vlaue (Cr)'!$C:$FB,119)</f>
        <v>0.79</v>
      </c>
      <c r="Q27" s="75">
        <f>VLOOKUP($A27,'Data Vlaue (Cr)'!$C:$FB,122)*100</f>
        <v>2.6</v>
      </c>
      <c r="R27" s="75">
        <f>VLOOKUP($A27,'Data Vlaue (Cr)'!$C:$FB,125)</f>
        <v>0.42</v>
      </c>
      <c r="S27" s="75">
        <f>VLOOKUP($A27,'Data Vlaue (Cr)'!$C:$FB,128)*100</f>
        <v>5</v>
      </c>
    </row>
    <row r="28" spans="1:19" x14ac:dyDescent="0.25">
      <c r="A28" s="96" t="str">
        <f>'Data Vlaue (Cr)'!C19</f>
        <v>AUROPHARMA</v>
      </c>
      <c r="B28" s="75">
        <f>VLOOKUP($A28,'Data Vlaue (Cr)'!$C:$FB,2)</f>
        <v>550</v>
      </c>
      <c r="C28" s="75">
        <f>VLOOKUP($A28,'Data Vlaue (Cr)'!$C:$FB,8)</f>
        <v>1096.5</v>
      </c>
      <c r="D28" s="75">
        <f>VLOOKUP($A28,'Data Vlaue (Cr)'!$C:$FB,4)</f>
        <v>1102.7</v>
      </c>
      <c r="E28" s="75">
        <f>VLOOKUP($A28,'Data Vlaue (Cr)'!$C:$FB,5)</f>
        <v>1097.5</v>
      </c>
      <c r="F28" s="75">
        <f t="shared" si="0"/>
        <v>6.2000000000000455</v>
      </c>
      <c r="G28" s="75">
        <f t="shared" si="1"/>
        <v>0.47156978325927679</v>
      </c>
      <c r="H28" s="75">
        <f>VLOOKUP($A28,'Data Vlaue (Cr)'!$C:$FB,99)</f>
        <v>2653</v>
      </c>
      <c r="I28" s="75">
        <f>VLOOKUP($A28,'Data Vlaue (Cr)'!$C:$FB,100)</f>
        <v>2629</v>
      </c>
      <c r="J28" s="75">
        <f t="shared" si="2"/>
        <v>24</v>
      </c>
      <c r="K28" s="75">
        <f t="shared" si="3"/>
        <v>0.90463626083678861</v>
      </c>
      <c r="L28" s="75">
        <f>VLOOKUP($A28,'Data Vlaue (Cr)'!$C:$FB,67)</f>
        <v>481</v>
      </c>
      <c r="M28" s="75">
        <f>VLOOKUP($A28,'Data Vlaue (Cr)'!$C:$FB,68)</f>
        <v>502</v>
      </c>
      <c r="N28" s="75">
        <f t="shared" si="4"/>
        <v>-21</v>
      </c>
      <c r="O28" s="75">
        <f t="shared" si="5"/>
        <v>-4.3659043659043659</v>
      </c>
      <c r="P28" s="75">
        <f>VLOOKUP($A28,'Data Vlaue (Cr)'!$C:$FB,119)</f>
        <v>0.91</v>
      </c>
      <c r="Q28" s="75">
        <f>VLOOKUP($A28,'Data Vlaue (Cr)'!$C:$FB,122)*100</f>
        <v>-5.21</v>
      </c>
      <c r="R28" s="75">
        <f>VLOOKUP($A28,'Data Vlaue (Cr)'!$C:$FB,125)</f>
        <v>0.48</v>
      </c>
      <c r="S28" s="75">
        <f>VLOOKUP($A28,'Data Vlaue (Cr)'!$C:$FB,128)*100</f>
        <v>-18.64</v>
      </c>
    </row>
    <row r="29" spans="1:19" x14ac:dyDescent="0.25">
      <c r="A29" s="96" t="str">
        <f>'Data Vlaue (Cr)'!C20</f>
        <v>AXISBANK</v>
      </c>
      <c r="B29" s="75">
        <f>VLOOKUP($A29,'Data Vlaue (Cr)'!$C:$FB,2)</f>
        <v>625</v>
      </c>
      <c r="C29" s="75">
        <f>VLOOKUP($A29,'Data Vlaue (Cr)'!$C:$FB,8)</f>
        <v>1212.8</v>
      </c>
      <c r="D29" s="75">
        <f>VLOOKUP($A29,'Data Vlaue (Cr)'!$C:$FB,4)</f>
        <v>1216.2</v>
      </c>
      <c r="E29" s="75">
        <f>VLOOKUP($A29,'Data Vlaue (Cr)'!$C:$FB,5)</f>
        <v>1186.8</v>
      </c>
      <c r="F29" s="75">
        <f t="shared" si="0"/>
        <v>3.4000000000000909</v>
      </c>
      <c r="G29" s="75">
        <f t="shared" si="1"/>
        <v>2.4173655648742058</v>
      </c>
      <c r="H29" s="75">
        <f>VLOOKUP($A29,'Data Vlaue (Cr)'!$C:$FB,99)</f>
        <v>14565</v>
      </c>
      <c r="I29" s="75">
        <f>VLOOKUP($A29,'Data Vlaue (Cr)'!$C:$FB,100)</f>
        <v>14659</v>
      </c>
      <c r="J29" s="75">
        <f t="shared" si="2"/>
        <v>-94</v>
      </c>
      <c r="K29" s="75">
        <f t="shared" si="3"/>
        <v>-0.64538276690696872</v>
      </c>
      <c r="L29" s="75">
        <f>VLOOKUP($A29,'Data Vlaue (Cr)'!$C:$FB,67)</f>
        <v>12431</v>
      </c>
      <c r="M29" s="75">
        <f>VLOOKUP($A29,'Data Vlaue (Cr)'!$C:$FB,68)</f>
        <v>8589</v>
      </c>
      <c r="N29" s="75">
        <f t="shared" si="4"/>
        <v>3842</v>
      </c>
      <c r="O29" s="75">
        <f t="shared" si="5"/>
        <v>30.906604456600434</v>
      </c>
      <c r="P29" s="75">
        <f>VLOOKUP($A29,'Data Vlaue (Cr)'!$C:$FB,119)</f>
        <v>0.52</v>
      </c>
      <c r="Q29" s="75">
        <f>VLOOKUP($A29,'Data Vlaue (Cr)'!$C:$FB,122)*100</f>
        <v>20.93</v>
      </c>
      <c r="R29" s="75">
        <f>VLOOKUP($A29,'Data Vlaue (Cr)'!$C:$FB,125)</f>
        <v>0.68</v>
      </c>
      <c r="S29" s="75">
        <f>VLOOKUP($A29,'Data Vlaue (Cr)'!$C:$FB,128)*100</f>
        <v>17.239999999999998</v>
      </c>
    </row>
    <row r="30" spans="1:19" x14ac:dyDescent="0.25">
      <c r="A30" s="96" t="str">
        <f>'Data Vlaue (Cr)'!C21</f>
        <v>BAJAJ-AUTO</v>
      </c>
      <c r="B30" s="75">
        <f>VLOOKUP($A30,'Data Vlaue (Cr)'!$C:$FB,2)</f>
        <v>75</v>
      </c>
      <c r="C30" s="75">
        <f>VLOOKUP($A30,'Data Vlaue (Cr)'!$C:$FB,8)</f>
        <v>8792</v>
      </c>
      <c r="D30" s="75">
        <f>VLOOKUP($A30,'Data Vlaue (Cr)'!$C:$FB,4)</f>
        <v>8841</v>
      </c>
      <c r="E30" s="75">
        <f>VLOOKUP($A30,'Data Vlaue (Cr)'!$C:$FB,5)</f>
        <v>8734.5</v>
      </c>
      <c r="F30" s="75">
        <f t="shared" si="0"/>
        <v>49</v>
      </c>
      <c r="G30" s="75">
        <f t="shared" si="1"/>
        <v>1.2046148625721071</v>
      </c>
      <c r="H30" s="75">
        <f>VLOOKUP($A30,'Data Vlaue (Cr)'!$C:$FB,99)</f>
        <v>4992</v>
      </c>
      <c r="I30" s="75">
        <f>VLOOKUP($A30,'Data Vlaue (Cr)'!$C:$FB,100)</f>
        <v>5068</v>
      </c>
      <c r="J30" s="75">
        <f t="shared" si="2"/>
        <v>-76</v>
      </c>
      <c r="K30" s="75">
        <f t="shared" si="3"/>
        <v>-1.5224358974358974</v>
      </c>
      <c r="L30" s="75">
        <f>VLOOKUP($A30,'Data Vlaue (Cr)'!$C:$FB,67)</f>
        <v>3437</v>
      </c>
      <c r="M30" s="75">
        <f>VLOOKUP($A30,'Data Vlaue (Cr)'!$C:$FB,68)</f>
        <v>7004</v>
      </c>
      <c r="N30" s="75">
        <f t="shared" si="4"/>
        <v>-3567</v>
      </c>
      <c r="O30" s="75">
        <f t="shared" si="5"/>
        <v>-103.78236834448646</v>
      </c>
      <c r="P30" s="75">
        <f>VLOOKUP($A30,'Data Vlaue (Cr)'!$C:$FB,119)</f>
        <v>0.57999999999999996</v>
      </c>
      <c r="Q30" s="75">
        <f>VLOOKUP($A30,'Data Vlaue (Cr)'!$C:$FB,122)*100</f>
        <v>5.45</v>
      </c>
      <c r="R30" s="75">
        <f>VLOOKUP($A30,'Data Vlaue (Cr)'!$C:$FB,125)</f>
        <v>0.4</v>
      </c>
      <c r="S30" s="75">
        <f>VLOOKUP($A30,'Data Vlaue (Cr)'!$C:$FB,128)*100</f>
        <v>14.29</v>
      </c>
    </row>
    <row r="31" spans="1:19" x14ac:dyDescent="0.25">
      <c r="A31" s="96" t="str">
        <f>'Data Vlaue (Cr)'!C22</f>
        <v>BAJAJFINSV</v>
      </c>
      <c r="B31" s="75">
        <f>VLOOKUP($A31,'Data Vlaue (Cr)'!$C:$FB,2)</f>
        <v>500</v>
      </c>
      <c r="C31" s="75">
        <f>VLOOKUP($A31,'Data Vlaue (Cr)'!$C:$FB,8)</f>
        <v>2033.2</v>
      </c>
      <c r="D31" s="75">
        <f>VLOOKUP($A31,'Data Vlaue (Cr)'!$C:$FB,4)</f>
        <v>2042.1</v>
      </c>
      <c r="E31" s="75">
        <f>VLOOKUP($A31,'Data Vlaue (Cr)'!$C:$FB,5)</f>
        <v>2009.2</v>
      </c>
      <c r="F31" s="75">
        <f t="shared" si="0"/>
        <v>8.8999999999998636</v>
      </c>
      <c r="G31" s="75">
        <f t="shared" si="1"/>
        <v>1.6110866265119175</v>
      </c>
      <c r="H31" s="75">
        <f>VLOOKUP($A31,'Data Vlaue (Cr)'!$C:$FB,99)</f>
        <v>4798</v>
      </c>
      <c r="I31" s="75">
        <f>VLOOKUP($A31,'Data Vlaue (Cr)'!$C:$FB,100)</f>
        <v>4620</v>
      </c>
      <c r="J31" s="75">
        <f t="shared" si="2"/>
        <v>178</v>
      </c>
      <c r="K31" s="75">
        <f t="shared" si="3"/>
        <v>3.7098791162984575</v>
      </c>
      <c r="L31" s="75">
        <f>VLOOKUP($A31,'Data Vlaue (Cr)'!$C:$FB,67)</f>
        <v>3020</v>
      </c>
      <c r="M31" s="75">
        <f>VLOOKUP($A31,'Data Vlaue (Cr)'!$C:$FB,68)</f>
        <v>1928</v>
      </c>
      <c r="N31" s="75">
        <f t="shared" si="4"/>
        <v>1092</v>
      </c>
      <c r="O31" s="75">
        <f t="shared" si="5"/>
        <v>36.158940397350989</v>
      </c>
      <c r="P31" s="75">
        <f>VLOOKUP($A31,'Data Vlaue (Cr)'!$C:$FB,119)</f>
        <v>0.74</v>
      </c>
      <c r="Q31" s="75">
        <f>VLOOKUP($A31,'Data Vlaue (Cr)'!$C:$FB,122)*100</f>
        <v>4.2299999999999995</v>
      </c>
      <c r="R31" s="75">
        <f>VLOOKUP($A31,'Data Vlaue (Cr)'!$C:$FB,125)</f>
        <v>0.37</v>
      </c>
      <c r="S31" s="75">
        <f>VLOOKUP($A31,'Data Vlaue (Cr)'!$C:$FB,128)*100</f>
        <v>-36.21</v>
      </c>
    </row>
    <row r="32" spans="1:19" x14ac:dyDescent="0.25">
      <c r="A32" s="96" t="str">
        <f>'Data Vlaue (Cr)'!C23</f>
        <v>BAJFINANCE</v>
      </c>
      <c r="B32" s="75">
        <f>VLOOKUP($A32,'Data Vlaue (Cr)'!$C:$FB,2)</f>
        <v>750</v>
      </c>
      <c r="C32" s="75">
        <f>VLOOKUP($A32,'Data Vlaue (Cr)'!$C:$FB,8)</f>
        <v>1008.9</v>
      </c>
      <c r="D32" s="75">
        <f>VLOOKUP($A32,'Data Vlaue (Cr)'!$C:$FB,4)</f>
        <v>1014.9</v>
      </c>
      <c r="E32" s="75">
        <f>VLOOKUP($A32,'Data Vlaue (Cr)'!$C:$FB,5)</f>
        <v>993.7</v>
      </c>
      <c r="F32" s="75">
        <f t="shared" si="0"/>
        <v>6</v>
      </c>
      <c r="G32" s="75">
        <f t="shared" si="1"/>
        <v>2.0888757513055407</v>
      </c>
      <c r="H32" s="75">
        <f>VLOOKUP($A32,'Data Vlaue (Cr)'!$C:$FB,99)</f>
        <v>12233</v>
      </c>
      <c r="I32" s="75">
        <f>VLOOKUP($A32,'Data Vlaue (Cr)'!$C:$FB,100)</f>
        <v>11696</v>
      </c>
      <c r="J32" s="75">
        <f t="shared" si="2"/>
        <v>537</v>
      </c>
      <c r="K32" s="75">
        <f t="shared" si="3"/>
        <v>4.3897653887026893</v>
      </c>
      <c r="L32" s="75">
        <f>VLOOKUP($A32,'Data Vlaue (Cr)'!$C:$FB,67)</f>
        <v>10937</v>
      </c>
      <c r="M32" s="75">
        <f>VLOOKUP($A32,'Data Vlaue (Cr)'!$C:$FB,68)</f>
        <v>3786</v>
      </c>
      <c r="N32" s="75">
        <f t="shared" si="4"/>
        <v>7151</v>
      </c>
      <c r="O32" s="75">
        <f t="shared" si="5"/>
        <v>65.383560391332168</v>
      </c>
      <c r="P32" s="75">
        <f>VLOOKUP($A32,'Data Vlaue (Cr)'!$C:$FB,119)</f>
        <v>0.64</v>
      </c>
      <c r="Q32" s="75">
        <f>VLOOKUP($A32,'Data Vlaue (Cr)'!$C:$FB,122)*100</f>
        <v>-11.110000000000001</v>
      </c>
      <c r="R32" s="75">
        <f>VLOOKUP($A32,'Data Vlaue (Cr)'!$C:$FB,125)</f>
        <v>0.39</v>
      </c>
      <c r="S32" s="75">
        <f>VLOOKUP($A32,'Data Vlaue (Cr)'!$C:$FB,128)*100</f>
        <v>-20.41</v>
      </c>
    </row>
    <row r="33" spans="1:19" x14ac:dyDescent="0.25">
      <c r="A33" s="96" t="str">
        <f>'Data Vlaue (Cr)'!C24</f>
        <v>BANDHANBNK</v>
      </c>
      <c r="B33" s="75">
        <f>VLOOKUP($A33,'Data Vlaue (Cr)'!$C:$FB,2)</f>
        <v>3600</v>
      </c>
      <c r="C33" s="75">
        <f>VLOOKUP($A33,'Data Vlaue (Cr)'!$C:$FB,8)</f>
        <v>164.79</v>
      </c>
      <c r="D33" s="75">
        <f>VLOOKUP($A33,'Data Vlaue (Cr)'!$C:$FB,4)</f>
        <v>165.9</v>
      </c>
      <c r="E33" s="75">
        <f>VLOOKUP($A33,'Data Vlaue (Cr)'!$C:$FB,5)</f>
        <v>166.77</v>
      </c>
      <c r="F33" s="75">
        <f t="shared" si="0"/>
        <v>1.1100000000000136</v>
      </c>
      <c r="G33" s="75">
        <f t="shared" si="1"/>
        <v>-0.52441229656419797</v>
      </c>
      <c r="H33" s="75">
        <f>VLOOKUP($A33,'Data Vlaue (Cr)'!$C:$FB,99)</f>
        <v>2363</v>
      </c>
      <c r="I33" s="75">
        <f>VLOOKUP($A33,'Data Vlaue (Cr)'!$C:$FB,100)</f>
        <v>2307</v>
      </c>
      <c r="J33" s="75">
        <f t="shared" si="2"/>
        <v>56</v>
      </c>
      <c r="K33" s="75">
        <f t="shared" si="3"/>
        <v>2.3698688108336858</v>
      </c>
      <c r="L33" s="75">
        <f>VLOOKUP($A33,'Data Vlaue (Cr)'!$C:$FB,67)</f>
        <v>697</v>
      </c>
      <c r="M33" s="75">
        <f>VLOOKUP($A33,'Data Vlaue (Cr)'!$C:$FB,68)</f>
        <v>1341</v>
      </c>
      <c r="N33" s="75">
        <f t="shared" si="4"/>
        <v>-644</v>
      </c>
      <c r="O33" s="75">
        <f t="shared" si="5"/>
        <v>-92.39598278335724</v>
      </c>
      <c r="P33" s="75">
        <f>VLOOKUP($A33,'Data Vlaue (Cr)'!$C:$FB,119)</f>
        <v>0.88</v>
      </c>
      <c r="Q33" s="75">
        <f>VLOOKUP($A33,'Data Vlaue (Cr)'!$C:$FB,122)*100</f>
        <v>-3.3000000000000003</v>
      </c>
      <c r="R33" s="75">
        <f>VLOOKUP($A33,'Data Vlaue (Cr)'!$C:$FB,125)</f>
        <v>0.42</v>
      </c>
      <c r="S33" s="75">
        <f>VLOOKUP($A33,'Data Vlaue (Cr)'!$C:$FB,128)*100</f>
        <v>-17.649999999999999</v>
      </c>
    </row>
    <row r="34" spans="1:19" x14ac:dyDescent="0.25">
      <c r="A34" s="96" t="str">
        <f>'Data Vlaue (Cr)'!C25</f>
        <v>BANKBARODA</v>
      </c>
      <c r="B34" s="75">
        <f>VLOOKUP($A34,'Data Vlaue (Cr)'!$C:$FB,2)</f>
        <v>2925</v>
      </c>
      <c r="C34" s="75">
        <f>VLOOKUP($A34,'Data Vlaue (Cr)'!$C:$FB,8)</f>
        <v>266.60000000000002</v>
      </c>
      <c r="D34" s="75">
        <f>VLOOKUP($A34,'Data Vlaue (Cr)'!$C:$FB,4)</f>
        <v>267.60000000000002</v>
      </c>
      <c r="E34" s="75">
        <f>VLOOKUP($A34,'Data Vlaue (Cr)'!$C:$FB,5)</f>
        <v>265.64999999999998</v>
      </c>
      <c r="F34" s="75">
        <f t="shared" si="0"/>
        <v>1</v>
      </c>
      <c r="G34" s="75">
        <f t="shared" si="1"/>
        <v>0.72869955156952371</v>
      </c>
      <c r="H34" s="180">
        <f>VLOOKUP($A34,'Data Vlaue (Cr)'!$C:$FB,99)</f>
        <v>5178</v>
      </c>
      <c r="I34" s="180">
        <f>VLOOKUP($A34,'Data Vlaue (Cr)'!$C:$FB,100)</f>
        <v>5070</v>
      </c>
      <c r="J34" s="180">
        <f t="shared" si="2"/>
        <v>108</v>
      </c>
      <c r="K34" s="180">
        <f t="shared" si="3"/>
        <v>2.085747392815759</v>
      </c>
      <c r="L34" s="180">
        <f>VLOOKUP($A34,'Data Vlaue (Cr)'!$C:$FB,67)</f>
        <v>4472</v>
      </c>
      <c r="M34" s="180">
        <f>VLOOKUP($A34,'Data Vlaue (Cr)'!$C:$FB,68)</f>
        <v>3948</v>
      </c>
      <c r="N34" s="180">
        <f t="shared" si="4"/>
        <v>524</v>
      </c>
      <c r="O34" s="180">
        <f t="shared" si="5"/>
        <v>11.717352415026834</v>
      </c>
      <c r="P34" s="180">
        <f>VLOOKUP($A34,'Data Vlaue (Cr)'!$C:$FB,119)</f>
        <v>0.92</v>
      </c>
      <c r="Q34" s="180">
        <f>VLOOKUP($A34,'Data Vlaue (Cr)'!$C:$FB,122)*100</f>
        <v>-7.07</v>
      </c>
      <c r="R34" s="180">
        <f>VLOOKUP($A34,'Data Vlaue (Cr)'!$C:$FB,125)</f>
        <v>0.56999999999999995</v>
      </c>
      <c r="S34" s="180">
        <f>VLOOKUP($A34,'Data Vlaue (Cr)'!$C:$FB,128)*100</f>
        <v>-6.5600000000000005</v>
      </c>
    </row>
    <row r="35" spans="1:19" x14ac:dyDescent="0.25">
      <c r="A35" s="96" t="str">
        <f>'Data Vlaue (Cr)'!C26</f>
        <v>BANKINDIA</v>
      </c>
      <c r="B35" s="75">
        <f>VLOOKUP($A35,'Data Vlaue (Cr)'!$C:$FB,2)</f>
        <v>5200</v>
      </c>
      <c r="C35" s="75">
        <f>VLOOKUP($A35,'Data Vlaue (Cr)'!$C:$FB,8)</f>
        <v>126.04</v>
      </c>
      <c r="D35" s="75">
        <f>VLOOKUP($A35,'Data Vlaue (Cr)'!$C:$FB,4)</f>
        <v>126.86</v>
      </c>
      <c r="E35" s="75">
        <f>VLOOKUP($A35,'Data Vlaue (Cr)'!$C:$FB,5)</f>
        <v>126.34</v>
      </c>
      <c r="F35" s="75">
        <f t="shared" si="0"/>
        <v>0.81999999999999318</v>
      </c>
      <c r="G35" s="75">
        <f t="shared" si="1"/>
        <v>0.4099006779126565</v>
      </c>
      <c r="H35" s="75">
        <f>VLOOKUP($A35,'Data Vlaue (Cr)'!$C:$FB,99)</f>
        <v>1271</v>
      </c>
      <c r="I35" s="75">
        <f>VLOOKUP($A35,'Data Vlaue (Cr)'!$C:$FB,100)</f>
        <v>1261</v>
      </c>
      <c r="J35" s="75">
        <f t="shared" si="2"/>
        <v>10</v>
      </c>
      <c r="K35" s="75">
        <f t="shared" si="3"/>
        <v>0.78678206136900075</v>
      </c>
      <c r="L35" s="75">
        <f>VLOOKUP($A35,'Data Vlaue (Cr)'!$C:$FB,67)</f>
        <v>501</v>
      </c>
      <c r="M35" s="75">
        <f>VLOOKUP($A35,'Data Vlaue (Cr)'!$C:$FB,68)</f>
        <v>604</v>
      </c>
      <c r="N35" s="75">
        <f t="shared" si="4"/>
        <v>-103</v>
      </c>
      <c r="O35" s="75">
        <f t="shared" si="5"/>
        <v>-20.558882235528941</v>
      </c>
      <c r="P35" s="75">
        <f>VLOOKUP($A35,'Data Vlaue (Cr)'!$C:$FB,119)</f>
        <v>0.73</v>
      </c>
      <c r="Q35" s="75">
        <f>VLOOKUP($A35,'Data Vlaue (Cr)'!$C:$FB,122)*100</f>
        <v>0</v>
      </c>
      <c r="R35" s="75">
        <f>VLOOKUP($A35,'Data Vlaue (Cr)'!$C:$FB,125)</f>
        <v>0.44</v>
      </c>
      <c r="S35" s="75">
        <f>VLOOKUP($A35,'Data Vlaue (Cr)'!$C:$FB,128)*100</f>
        <v>-4.3499999999999996</v>
      </c>
    </row>
    <row r="36" spans="1:19" x14ac:dyDescent="0.25">
      <c r="A36" s="96" t="str">
        <f>'Data Vlaue (Cr)'!C27</f>
        <v>BANKNIFTY</v>
      </c>
      <c r="B36" s="75">
        <f>VLOOKUP($A36,'Data Vlaue (Cr)'!$C:$FB,2)</f>
        <v>35</v>
      </c>
      <c r="C36" s="75">
        <f>VLOOKUP($A36,'Data Vlaue (Cr)'!$C:$FB,8)</f>
        <v>56104.85</v>
      </c>
      <c r="D36" s="75">
        <f>VLOOKUP($A36,'Data Vlaue (Cr)'!$C:$FB,4)</f>
        <v>56297.8</v>
      </c>
      <c r="E36" s="75">
        <f>VLOOKUP($A36,'Data Vlaue (Cr)'!$C:$FB,5)</f>
        <v>55854.2</v>
      </c>
      <c r="F36" s="75">
        <f t="shared" si="0"/>
        <v>192.95000000000437</v>
      </c>
      <c r="G36" s="75">
        <f t="shared" si="1"/>
        <v>0.78795263758087497</v>
      </c>
      <c r="H36" s="75">
        <f>VLOOKUP($A36,'Data Vlaue (Cr)'!$C:$FB,99)</f>
        <v>192966</v>
      </c>
      <c r="I36" s="75">
        <f>VLOOKUP($A36,'Data Vlaue (Cr)'!$C:$FB,100)</f>
        <v>179538</v>
      </c>
      <c r="J36" s="75">
        <f t="shared" si="2"/>
        <v>13428</v>
      </c>
      <c r="K36" s="75">
        <f t="shared" si="3"/>
        <v>6.9587388451851622</v>
      </c>
      <c r="L36" s="75">
        <f>VLOOKUP($A36,'Data Vlaue (Cr)'!$C:$FB,67)</f>
        <v>530335</v>
      </c>
      <c r="M36" s="75">
        <f>VLOOKUP($A36,'Data Vlaue (Cr)'!$C:$FB,68)</f>
        <v>459945</v>
      </c>
      <c r="N36" s="75">
        <f t="shared" si="4"/>
        <v>70390</v>
      </c>
      <c r="O36" s="75">
        <f t="shared" si="5"/>
        <v>13.272742700368633</v>
      </c>
      <c r="P36" s="75">
        <f>VLOOKUP($A36,'Data Vlaue (Cr)'!$C:$FB,119)</f>
        <v>1.1299999999999999</v>
      </c>
      <c r="Q36" s="75">
        <f>VLOOKUP($A36,'Data Vlaue (Cr)'!$C:$FB,122)*100</f>
        <v>-1.7399999999999998</v>
      </c>
      <c r="R36" s="75">
        <f>VLOOKUP($A36,'Data Vlaue (Cr)'!$C:$FB,125)</f>
        <v>0.88</v>
      </c>
      <c r="S36" s="75">
        <f>VLOOKUP($A36,'Data Vlaue (Cr)'!$C:$FB,128)*100</f>
        <v>-3.3000000000000003</v>
      </c>
    </row>
    <row r="37" spans="1:19" x14ac:dyDescent="0.25">
      <c r="A37" s="96" t="str">
        <f>'Data Vlaue (Cr)'!C28</f>
        <v>BDL</v>
      </c>
      <c r="B37" s="75">
        <f>VLOOKUP($A37,'Data Vlaue (Cr)'!$C:$FB,2)</f>
        <v>325</v>
      </c>
      <c r="C37" s="75">
        <f>VLOOKUP($A37,'Data Vlaue (Cr)'!$C:$FB,8)</f>
        <v>1559.1</v>
      </c>
      <c r="D37" s="75">
        <f>VLOOKUP($A37,'Data Vlaue (Cr)'!$C:$FB,4)</f>
        <v>1568.6</v>
      </c>
      <c r="E37" s="75">
        <f>VLOOKUP($A37,'Data Vlaue (Cr)'!$C:$FB,5)</f>
        <v>1567.7</v>
      </c>
      <c r="F37" s="75">
        <f t="shared" si="0"/>
        <v>9.5</v>
      </c>
      <c r="G37" s="75">
        <f t="shared" si="1"/>
        <v>5.7376004080062708E-2</v>
      </c>
      <c r="H37" s="75">
        <f>VLOOKUP($A37,'Data Vlaue (Cr)'!$C:$FB,99)</f>
        <v>1340</v>
      </c>
      <c r="I37" s="75">
        <f>VLOOKUP($A37,'Data Vlaue (Cr)'!$C:$FB,100)</f>
        <v>1277</v>
      </c>
      <c r="J37" s="75">
        <f t="shared" si="2"/>
        <v>63</v>
      </c>
      <c r="K37" s="75">
        <f t="shared" si="3"/>
        <v>4.7014925373134329</v>
      </c>
      <c r="L37" s="75">
        <f>VLOOKUP($A37,'Data Vlaue (Cr)'!$C:$FB,67)</f>
        <v>677</v>
      </c>
      <c r="M37" s="75">
        <f>VLOOKUP($A37,'Data Vlaue (Cr)'!$C:$FB,68)</f>
        <v>1705</v>
      </c>
      <c r="N37" s="75">
        <f t="shared" si="4"/>
        <v>-1028</v>
      </c>
      <c r="O37" s="75">
        <f t="shared" si="5"/>
        <v>-151.8463810930576</v>
      </c>
      <c r="P37" s="75">
        <f>VLOOKUP($A37,'Data Vlaue (Cr)'!$C:$FB,119)</f>
        <v>0.65</v>
      </c>
      <c r="Q37" s="75">
        <f>VLOOKUP($A37,'Data Vlaue (Cr)'!$C:$FB,122)*100</f>
        <v>-12.16</v>
      </c>
      <c r="R37" s="75">
        <f>VLOOKUP($A37,'Data Vlaue (Cr)'!$C:$FB,125)</f>
        <v>0.35</v>
      </c>
      <c r="S37" s="75">
        <f>VLOOKUP($A37,'Data Vlaue (Cr)'!$C:$FB,128)*100</f>
        <v>0</v>
      </c>
    </row>
    <row r="38" spans="1:19" x14ac:dyDescent="0.25">
      <c r="A38" s="96" t="str">
        <f>'Data Vlaue (Cr)'!C29</f>
        <v>BEL</v>
      </c>
      <c r="B38" s="75">
        <f>VLOOKUP($A38,'Data Vlaue (Cr)'!$C:$FB,2)</f>
        <v>2850</v>
      </c>
      <c r="C38" s="75">
        <f>VLOOKUP($A38,'Data Vlaue (Cr)'!$C:$FB,8)</f>
        <v>413.25</v>
      </c>
      <c r="D38" s="75">
        <f>VLOOKUP($A38,'Data Vlaue (Cr)'!$C:$FB,4)</f>
        <v>415.55</v>
      </c>
      <c r="E38" s="75">
        <f>VLOOKUP($A38,'Data Vlaue (Cr)'!$C:$FB,5)</f>
        <v>415.15</v>
      </c>
      <c r="F38" s="75">
        <f t="shared" si="0"/>
        <v>2.3000000000000114</v>
      </c>
      <c r="G38" s="75">
        <f t="shared" si="1"/>
        <v>9.6257971363261724E-2</v>
      </c>
      <c r="H38" s="75">
        <f>VLOOKUP($A38,'Data Vlaue (Cr)'!$C:$FB,99)</f>
        <v>7956</v>
      </c>
      <c r="I38" s="75">
        <f>VLOOKUP($A38,'Data Vlaue (Cr)'!$C:$FB,100)</f>
        <v>7757</v>
      </c>
      <c r="J38" s="75">
        <f t="shared" si="2"/>
        <v>199</v>
      </c>
      <c r="K38" s="75">
        <f t="shared" si="3"/>
        <v>2.5012569130216189</v>
      </c>
      <c r="L38" s="75">
        <f>VLOOKUP($A38,'Data Vlaue (Cr)'!$C:$FB,67)</f>
        <v>5465</v>
      </c>
      <c r="M38" s="75">
        <f>VLOOKUP($A38,'Data Vlaue (Cr)'!$C:$FB,68)</f>
        <v>7286</v>
      </c>
      <c r="N38" s="75">
        <f t="shared" si="4"/>
        <v>-1821</v>
      </c>
      <c r="O38" s="75">
        <f t="shared" si="5"/>
        <v>-33.321134492223237</v>
      </c>
      <c r="P38" s="75">
        <f>VLOOKUP($A38,'Data Vlaue (Cr)'!$C:$FB,119)</f>
        <v>0.71</v>
      </c>
      <c r="Q38" s="75">
        <f>VLOOKUP($A38,'Data Vlaue (Cr)'!$C:$FB,122)*100</f>
        <v>1.43</v>
      </c>
      <c r="R38" s="75">
        <f>VLOOKUP($A38,'Data Vlaue (Cr)'!$C:$FB,125)</f>
        <v>0.5</v>
      </c>
      <c r="S38" s="75">
        <f>VLOOKUP($A38,'Data Vlaue (Cr)'!$C:$FB,128)*100</f>
        <v>6.38</v>
      </c>
    </row>
    <row r="39" spans="1:19" x14ac:dyDescent="0.25">
      <c r="A39" s="96" t="str">
        <f>'Data Vlaue (Cr)'!C30</f>
        <v>BHARATFORG</v>
      </c>
      <c r="B39" s="75">
        <f>VLOOKUP($A39,'Data Vlaue (Cr)'!$C:$FB,2)</f>
        <v>500</v>
      </c>
      <c r="C39" s="75">
        <f>VLOOKUP($A39,'Data Vlaue (Cr)'!$C:$FB,8)</f>
        <v>1234.5999999999999</v>
      </c>
      <c r="D39" s="75">
        <f>VLOOKUP($A39,'Data Vlaue (Cr)'!$C:$FB,4)</f>
        <v>1229.5999999999999</v>
      </c>
      <c r="E39" s="75">
        <f>VLOOKUP($A39,'Data Vlaue (Cr)'!$C:$FB,5)</f>
        <v>1221.0999999999999</v>
      </c>
      <c r="F39" s="75">
        <f t="shared" si="0"/>
        <v>-5</v>
      </c>
      <c r="G39" s="75">
        <f t="shared" si="1"/>
        <v>0.69128171763175017</v>
      </c>
      <c r="H39" s="75">
        <f>VLOOKUP($A39,'Data Vlaue (Cr)'!$C:$FB,99)</f>
        <v>1783</v>
      </c>
      <c r="I39" s="75">
        <f>VLOOKUP($A39,'Data Vlaue (Cr)'!$C:$FB,100)</f>
        <v>1709</v>
      </c>
      <c r="J39" s="75">
        <f t="shared" si="2"/>
        <v>74</v>
      </c>
      <c r="K39" s="75">
        <f t="shared" si="3"/>
        <v>4.1503084688726863</v>
      </c>
      <c r="L39" s="75">
        <f>VLOOKUP($A39,'Data Vlaue (Cr)'!$C:$FB,67)</f>
        <v>760</v>
      </c>
      <c r="M39" s="75">
        <f>VLOOKUP($A39,'Data Vlaue (Cr)'!$C:$FB,68)</f>
        <v>564</v>
      </c>
      <c r="N39" s="75">
        <f t="shared" si="4"/>
        <v>196</v>
      </c>
      <c r="O39" s="75">
        <f t="shared" si="5"/>
        <v>25.789473684210527</v>
      </c>
      <c r="P39" s="75">
        <f>VLOOKUP($A39,'Data Vlaue (Cr)'!$C:$FB,119)</f>
        <v>0.75</v>
      </c>
      <c r="Q39" s="75">
        <f>VLOOKUP($A39,'Data Vlaue (Cr)'!$C:$FB,122)*100</f>
        <v>-5.0599999999999996</v>
      </c>
      <c r="R39" s="75">
        <f>VLOOKUP($A39,'Data Vlaue (Cr)'!$C:$FB,125)</f>
        <v>0.3</v>
      </c>
      <c r="S39" s="75">
        <f>VLOOKUP($A39,'Data Vlaue (Cr)'!$C:$FB,128)*100</f>
        <v>-9.09</v>
      </c>
    </row>
    <row r="40" spans="1:19" x14ac:dyDescent="0.25">
      <c r="A40" s="96" t="str">
        <f>'Data Vlaue (Cr)'!C31</f>
        <v>BHARTIARTL</v>
      </c>
      <c r="B40" s="75">
        <f>VLOOKUP($A40,'Data Vlaue (Cr)'!$C:$FB,2)</f>
        <v>475</v>
      </c>
      <c r="C40" s="75">
        <f>VLOOKUP($A40,'Data Vlaue (Cr)'!$C:$FB,8)</f>
        <v>1903.1</v>
      </c>
      <c r="D40" s="75">
        <f>VLOOKUP($A40,'Data Vlaue (Cr)'!$C:$FB,4)</f>
        <v>1912.2</v>
      </c>
      <c r="E40" s="75">
        <f>VLOOKUP($A40,'Data Vlaue (Cr)'!$C:$FB,5)</f>
        <v>1904</v>
      </c>
      <c r="F40" s="75">
        <f t="shared" si="0"/>
        <v>9.1000000000001364</v>
      </c>
      <c r="G40" s="75">
        <f t="shared" si="1"/>
        <v>0.42882543666980677</v>
      </c>
      <c r="H40" s="75">
        <f>VLOOKUP($A40,'Data Vlaue (Cr)'!$C:$FB,99)</f>
        <v>11882</v>
      </c>
      <c r="I40" s="75">
        <f>VLOOKUP($A40,'Data Vlaue (Cr)'!$C:$FB,100)</f>
        <v>11853</v>
      </c>
      <c r="J40" s="75">
        <f t="shared" si="2"/>
        <v>29</v>
      </c>
      <c r="K40" s="75">
        <f t="shared" si="3"/>
        <v>0.24406665544521125</v>
      </c>
      <c r="L40" s="75">
        <f>VLOOKUP($A40,'Data Vlaue (Cr)'!$C:$FB,67)</f>
        <v>4414</v>
      </c>
      <c r="M40" s="75">
        <f>VLOOKUP($A40,'Data Vlaue (Cr)'!$C:$FB,68)</f>
        <v>8511</v>
      </c>
      <c r="N40" s="75">
        <f t="shared" si="4"/>
        <v>-4097</v>
      </c>
      <c r="O40" s="75">
        <f t="shared" si="5"/>
        <v>-92.818305391934757</v>
      </c>
      <c r="P40" s="75">
        <f>VLOOKUP($A40,'Data Vlaue (Cr)'!$C:$FB,119)</f>
        <v>0.56999999999999995</v>
      </c>
      <c r="Q40" s="75">
        <f>VLOOKUP($A40,'Data Vlaue (Cr)'!$C:$FB,122)*100</f>
        <v>-1.72</v>
      </c>
      <c r="R40" s="75">
        <f>VLOOKUP($A40,'Data Vlaue (Cr)'!$C:$FB,125)</f>
        <v>0.42</v>
      </c>
      <c r="S40" s="75">
        <f>VLOOKUP($A40,'Data Vlaue (Cr)'!$C:$FB,128)*100</f>
        <v>0</v>
      </c>
    </row>
    <row r="41" spans="1:19" x14ac:dyDescent="0.25">
      <c r="A41" s="96" t="str">
        <f>'Data Vlaue (Cr)'!C32</f>
        <v>BHEL</v>
      </c>
      <c r="B41" s="75">
        <f>VLOOKUP($A41,'Data Vlaue (Cr)'!$C:$FB,2)</f>
        <v>2625</v>
      </c>
      <c r="C41" s="75">
        <f>VLOOKUP($A41,'Data Vlaue (Cr)'!$C:$FB,8)</f>
        <v>245.31</v>
      </c>
      <c r="D41" s="75">
        <f>VLOOKUP($A41,'Data Vlaue (Cr)'!$C:$FB,4)</f>
        <v>246.24</v>
      </c>
      <c r="E41" s="75">
        <f>VLOOKUP($A41,'Data Vlaue (Cr)'!$C:$FB,5)</f>
        <v>246.1</v>
      </c>
      <c r="F41" s="75">
        <f t="shared" si="0"/>
        <v>0.93000000000000682</v>
      </c>
      <c r="G41" s="75">
        <f t="shared" si="1"/>
        <v>5.6855100714755843E-2</v>
      </c>
      <c r="H41" s="75">
        <f>VLOOKUP($A41,'Data Vlaue (Cr)'!$C:$FB,99)</f>
        <v>2243</v>
      </c>
      <c r="I41" s="75">
        <f>VLOOKUP($A41,'Data Vlaue (Cr)'!$C:$FB,100)</f>
        <v>2208</v>
      </c>
      <c r="J41" s="75">
        <f t="shared" si="2"/>
        <v>35</v>
      </c>
      <c r="K41" s="75">
        <f t="shared" si="3"/>
        <v>1.5604101649576461</v>
      </c>
      <c r="L41" s="75">
        <f>VLOOKUP($A41,'Data Vlaue (Cr)'!$C:$FB,67)</f>
        <v>1111</v>
      </c>
      <c r="M41" s="75">
        <f>VLOOKUP($A41,'Data Vlaue (Cr)'!$C:$FB,68)</f>
        <v>1867</v>
      </c>
      <c r="N41" s="75">
        <f t="shared" si="4"/>
        <v>-756</v>
      </c>
      <c r="O41" s="75">
        <f t="shared" si="5"/>
        <v>-68.046804680468043</v>
      </c>
      <c r="P41" s="75">
        <f>VLOOKUP($A41,'Data Vlaue (Cr)'!$C:$FB,119)</f>
        <v>0.78</v>
      </c>
      <c r="Q41" s="75">
        <f>VLOOKUP($A41,'Data Vlaue (Cr)'!$C:$FB,122)*100</f>
        <v>-8.24</v>
      </c>
      <c r="R41" s="75">
        <f>VLOOKUP($A41,'Data Vlaue (Cr)'!$C:$FB,125)</f>
        <v>0.53</v>
      </c>
      <c r="S41" s="75">
        <f>VLOOKUP($A41,'Data Vlaue (Cr)'!$C:$FB,128)*100</f>
        <v>29.270000000000003</v>
      </c>
    </row>
    <row r="42" spans="1:19" x14ac:dyDescent="0.25">
      <c r="A42" s="96" t="str">
        <f>'Data Vlaue (Cr)'!C33</f>
        <v>BIOCON</v>
      </c>
      <c r="B42" s="75">
        <f>VLOOKUP($A42,'Data Vlaue (Cr)'!$C:$FB,2)</f>
        <v>2500</v>
      </c>
      <c r="C42" s="75">
        <f>VLOOKUP($A42,'Data Vlaue (Cr)'!$C:$FB,8)</f>
        <v>347.75</v>
      </c>
      <c r="D42" s="75">
        <f>VLOOKUP($A42,'Data Vlaue (Cr)'!$C:$FB,4)</f>
        <v>349.5</v>
      </c>
      <c r="E42" s="75">
        <f>VLOOKUP($A42,'Data Vlaue (Cr)'!$C:$FB,5)</f>
        <v>354.4</v>
      </c>
      <c r="F42" s="75">
        <f t="shared" si="0"/>
        <v>1.75</v>
      </c>
      <c r="G42" s="75">
        <f t="shared" si="1"/>
        <v>-1.4020028612303226</v>
      </c>
      <c r="H42" s="75">
        <f>VLOOKUP($A42,'Data Vlaue (Cr)'!$C:$FB,99)</f>
        <v>2131</v>
      </c>
      <c r="I42" s="75">
        <f>VLOOKUP($A42,'Data Vlaue (Cr)'!$C:$FB,100)</f>
        <v>2045</v>
      </c>
      <c r="J42" s="75">
        <f t="shared" si="2"/>
        <v>86</v>
      </c>
      <c r="K42" s="75">
        <f t="shared" si="3"/>
        <v>4.0356640075082124</v>
      </c>
      <c r="L42" s="75">
        <f>VLOOKUP($A42,'Data Vlaue (Cr)'!$C:$FB,67)</f>
        <v>851</v>
      </c>
      <c r="M42" s="75">
        <f>VLOOKUP($A42,'Data Vlaue (Cr)'!$C:$FB,68)</f>
        <v>771</v>
      </c>
      <c r="N42" s="75">
        <f t="shared" si="4"/>
        <v>80</v>
      </c>
      <c r="O42" s="75">
        <f t="shared" si="5"/>
        <v>9.4007050528789655</v>
      </c>
      <c r="P42" s="75">
        <f>VLOOKUP($A42,'Data Vlaue (Cr)'!$C:$FB,119)</f>
        <v>0.65</v>
      </c>
      <c r="Q42" s="75">
        <f>VLOOKUP($A42,'Data Vlaue (Cr)'!$C:$FB,122)*100</f>
        <v>-16.669999999999998</v>
      </c>
      <c r="R42" s="75">
        <f>VLOOKUP($A42,'Data Vlaue (Cr)'!$C:$FB,125)</f>
        <v>0.32</v>
      </c>
      <c r="S42" s="75">
        <f>VLOOKUP($A42,'Data Vlaue (Cr)'!$C:$FB,128)*100</f>
        <v>-21.95</v>
      </c>
    </row>
    <row r="43" spans="1:19" x14ac:dyDescent="0.25">
      <c r="A43" s="96" t="str">
        <f>'Data Vlaue (Cr)'!C34</f>
        <v>BLUESTARCO</v>
      </c>
      <c r="B43" s="75">
        <f>VLOOKUP($A43,'Data Vlaue (Cr)'!$C:$FB,2)</f>
        <v>325</v>
      </c>
      <c r="C43" s="75">
        <f>VLOOKUP($A43,'Data Vlaue (Cr)'!$C:$FB,8)</f>
        <v>1892.8</v>
      </c>
      <c r="D43" s="75">
        <f>VLOOKUP($A43,'Data Vlaue (Cr)'!$C:$FB,4)</f>
        <v>1901.7</v>
      </c>
      <c r="E43" s="75">
        <f>VLOOKUP($A43,'Data Vlaue (Cr)'!$C:$FB,5)</f>
        <v>1901.9</v>
      </c>
      <c r="F43" s="75">
        <f t="shared" si="0"/>
        <v>8.9000000000000909</v>
      </c>
      <c r="G43" s="75">
        <f t="shared" si="1"/>
        <v>-1.051690592627888E-2</v>
      </c>
      <c r="H43" s="75">
        <f>VLOOKUP($A43,'Data Vlaue (Cr)'!$C:$FB,99)</f>
        <v>444</v>
      </c>
      <c r="I43" s="75">
        <f>VLOOKUP($A43,'Data Vlaue (Cr)'!$C:$FB,100)</f>
        <v>440</v>
      </c>
      <c r="J43" s="75">
        <f t="shared" si="2"/>
        <v>4</v>
      </c>
      <c r="K43" s="75">
        <f t="shared" si="3"/>
        <v>0.90090090090090091</v>
      </c>
      <c r="L43" s="75">
        <f>VLOOKUP($A43,'Data Vlaue (Cr)'!$C:$FB,67)</f>
        <v>108</v>
      </c>
      <c r="M43" s="75">
        <f>VLOOKUP($A43,'Data Vlaue (Cr)'!$C:$FB,68)</f>
        <v>106</v>
      </c>
      <c r="N43" s="75">
        <f t="shared" si="4"/>
        <v>2</v>
      </c>
      <c r="O43" s="75">
        <f t="shared" si="5"/>
        <v>1.8518518518518516</v>
      </c>
      <c r="P43" s="75">
        <f>VLOOKUP($A43,'Data Vlaue (Cr)'!$C:$FB,119)</f>
        <v>0.87</v>
      </c>
      <c r="Q43" s="75">
        <f>VLOOKUP($A43,'Data Vlaue (Cr)'!$C:$FB,122)*100</f>
        <v>2.35</v>
      </c>
      <c r="R43" s="75">
        <f>VLOOKUP($A43,'Data Vlaue (Cr)'!$C:$FB,125)</f>
        <v>0.52</v>
      </c>
      <c r="S43" s="75">
        <f>VLOOKUP($A43,'Data Vlaue (Cr)'!$C:$FB,128)*100</f>
        <v>20.93</v>
      </c>
    </row>
    <row r="44" spans="1:19" x14ac:dyDescent="0.25">
      <c r="A44" s="96" t="str">
        <f>'Data Vlaue (Cr)'!C35</f>
        <v>BOSCHLTD</v>
      </c>
      <c r="B44" s="75">
        <f>VLOOKUP($A44,'Data Vlaue (Cr)'!$C:$FB,2)</f>
        <v>25</v>
      </c>
      <c r="C44" s="75">
        <f>VLOOKUP($A44,'Data Vlaue (Cr)'!$C:$FB,8)</f>
        <v>38800</v>
      </c>
      <c r="D44" s="75">
        <f>VLOOKUP($A44,'Data Vlaue (Cr)'!$C:$FB,4)</f>
        <v>39030</v>
      </c>
      <c r="E44" s="75">
        <f>VLOOKUP($A44,'Data Vlaue (Cr)'!$C:$FB,5)</f>
        <v>38785</v>
      </c>
      <c r="F44" s="75">
        <f t="shared" si="0"/>
        <v>230</v>
      </c>
      <c r="G44" s="75">
        <f t="shared" si="1"/>
        <v>0.62772226492441718</v>
      </c>
      <c r="H44" s="75">
        <f>VLOOKUP($A44,'Data Vlaue (Cr)'!$C:$FB,99)</f>
        <v>1226</v>
      </c>
      <c r="I44" s="75">
        <f>VLOOKUP($A44,'Data Vlaue (Cr)'!$C:$FB,100)</f>
        <v>1205</v>
      </c>
      <c r="J44" s="75">
        <f t="shared" si="2"/>
        <v>21</v>
      </c>
      <c r="K44" s="75">
        <f t="shared" si="3"/>
        <v>1.7128874388254487</v>
      </c>
      <c r="L44" s="75">
        <f>VLOOKUP($A44,'Data Vlaue (Cr)'!$C:$FB,67)</f>
        <v>550</v>
      </c>
      <c r="M44" s="75">
        <f>VLOOKUP($A44,'Data Vlaue (Cr)'!$C:$FB,68)</f>
        <v>515</v>
      </c>
      <c r="N44" s="75">
        <f t="shared" si="4"/>
        <v>35</v>
      </c>
      <c r="O44" s="75">
        <f t="shared" si="5"/>
        <v>6.3636363636363633</v>
      </c>
      <c r="P44" s="75">
        <f>VLOOKUP($A44,'Data Vlaue (Cr)'!$C:$FB,119)</f>
        <v>0.67</v>
      </c>
      <c r="Q44" s="75">
        <f>VLOOKUP($A44,'Data Vlaue (Cr)'!$C:$FB,122)*100</f>
        <v>-6.94</v>
      </c>
      <c r="R44" s="75">
        <f>VLOOKUP($A44,'Data Vlaue (Cr)'!$C:$FB,125)</f>
        <v>0.28000000000000003</v>
      </c>
      <c r="S44" s="75">
        <f>VLOOKUP($A44,'Data Vlaue (Cr)'!$C:$FB,128)*100</f>
        <v>-9.68</v>
      </c>
    </row>
    <row r="45" spans="1:19" x14ac:dyDescent="0.25">
      <c r="A45" s="96" t="str">
        <f>'Data Vlaue (Cr)'!C36</f>
        <v>BPCL</v>
      </c>
      <c r="B45" s="75">
        <f>VLOOKUP($A45,'Data Vlaue (Cr)'!$C:$FB,2)</f>
        <v>1975</v>
      </c>
      <c r="C45" s="75">
        <f>VLOOKUP($A45,'Data Vlaue (Cr)'!$C:$FB,8)</f>
        <v>343.6</v>
      </c>
      <c r="D45" s="75">
        <f>VLOOKUP($A45,'Data Vlaue (Cr)'!$C:$FB,4)</f>
        <v>345.9</v>
      </c>
      <c r="E45" s="75">
        <f>VLOOKUP($A45,'Data Vlaue (Cr)'!$C:$FB,5)</f>
        <v>343.6</v>
      </c>
      <c r="F45" s="75">
        <f t="shared" si="0"/>
        <v>2.2999999999999545</v>
      </c>
      <c r="G45" s="75">
        <f t="shared" si="1"/>
        <v>0.66493206128937687</v>
      </c>
      <c r="H45" s="75">
        <f>VLOOKUP($A45,'Data Vlaue (Cr)'!$C:$FB,99)</f>
        <v>2012</v>
      </c>
      <c r="I45" s="75">
        <f>VLOOKUP($A45,'Data Vlaue (Cr)'!$C:$FB,100)</f>
        <v>1801</v>
      </c>
      <c r="J45" s="75">
        <f t="shared" si="2"/>
        <v>211</v>
      </c>
      <c r="K45" s="75">
        <f t="shared" si="3"/>
        <v>10.487077534791252</v>
      </c>
      <c r="L45" s="75">
        <f>VLOOKUP($A45,'Data Vlaue (Cr)'!$C:$FB,67)</f>
        <v>2326</v>
      </c>
      <c r="M45" s="75">
        <f>VLOOKUP($A45,'Data Vlaue (Cr)'!$C:$FB,68)</f>
        <v>1208</v>
      </c>
      <c r="N45" s="75">
        <f t="shared" si="4"/>
        <v>1118</v>
      </c>
      <c r="O45" s="75">
        <f t="shared" si="5"/>
        <v>48.065348237317288</v>
      </c>
      <c r="P45" s="75">
        <f>VLOOKUP($A45,'Data Vlaue (Cr)'!$C:$FB,119)</f>
        <v>0.93</v>
      </c>
      <c r="Q45" s="75">
        <f>VLOOKUP($A45,'Data Vlaue (Cr)'!$C:$FB,122)*100</f>
        <v>24</v>
      </c>
      <c r="R45" s="75">
        <f>VLOOKUP($A45,'Data Vlaue (Cr)'!$C:$FB,125)</f>
        <v>0.72</v>
      </c>
      <c r="S45" s="75">
        <f>VLOOKUP($A45,'Data Vlaue (Cr)'!$C:$FB,128)*100</f>
        <v>53.190000000000005</v>
      </c>
    </row>
    <row r="46" spans="1:19" x14ac:dyDescent="0.25">
      <c r="A46" s="96" t="str">
        <f>'Data Vlaue (Cr)'!C37</f>
        <v>BRITANNIA</v>
      </c>
      <c r="B46" s="75">
        <f>VLOOKUP($A46,'Data Vlaue (Cr)'!$C:$FB,2)</f>
        <v>125</v>
      </c>
      <c r="C46" s="75">
        <f>VLOOKUP($A46,'Data Vlaue (Cr)'!$C:$FB,8)</f>
        <v>6011</v>
      </c>
      <c r="D46" s="75">
        <f>VLOOKUP($A46,'Data Vlaue (Cr)'!$C:$FB,4)</f>
        <v>6034</v>
      </c>
      <c r="E46" s="75">
        <f>VLOOKUP($A46,'Data Vlaue (Cr)'!$C:$FB,5)</f>
        <v>6022.5</v>
      </c>
      <c r="F46" s="75">
        <f t="shared" si="0"/>
        <v>23</v>
      </c>
      <c r="G46" s="75">
        <f t="shared" si="1"/>
        <v>0.19058667550546901</v>
      </c>
      <c r="H46" s="75">
        <f>VLOOKUP($A46,'Data Vlaue (Cr)'!$C:$FB,99)</f>
        <v>2892</v>
      </c>
      <c r="I46" s="75">
        <f>VLOOKUP($A46,'Data Vlaue (Cr)'!$C:$FB,100)</f>
        <v>2822</v>
      </c>
      <c r="J46" s="75">
        <f t="shared" si="2"/>
        <v>70</v>
      </c>
      <c r="K46" s="75">
        <f t="shared" si="3"/>
        <v>2.4204702627939145</v>
      </c>
      <c r="L46" s="75">
        <f>VLOOKUP($A46,'Data Vlaue (Cr)'!$C:$FB,67)</f>
        <v>741</v>
      </c>
      <c r="M46" s="75">
        <f>VLOOKUP($A46,'Data Vlaue (Cr)'!$C:$FB,68)</f>
        <v>628</v>
      </c>
      <c r="N46" s="75">
        <f t="shared" si="4"/>
        <v>113</v>
      </c>
      <c r="O46" s="75">
        <f t="shared" si="5"/>
        <v>15.24966261808367</v>
      </c>
      <c r="P46" s="75">
        <f>VLOOKUP($A46,'Data Vlaue (Cr)'!$C:$FB,119)</f>
        <v>0.53</v>
      </c>
      <c r="Q46" s="75">
        <f>VLOOKUP($A46,'Data Vlaue (Cr)'!$C:$FB,122)*100</f>
        <v>0</v>
      </c>
      <c r="R46" s="75">
        <f>VLOOKUP($A46,'Data Vlaue (Cr)'!$C:$FB,125)</f>
        <v>0.3</v>
      </c>
      <c r="S46" s="75">
        <f>VLOOKUP($A46,'Data Vlaue (Cr)'!$C:$FB,128)*100</f>
        <v>25</v>
      </c>
    </row>
    <row r="47" spans="1:19" x14ac:dyDescent="0.25">
      <c r="A47" s="96" t="str">
        <f>'Data Vlaue (Cr)'!C38</f>
        <v>BSE</v>
      </c>
      <c r="B47" s="75">
        <f>VLOOKUP($A47,'Data Vlaue (Cr)'!$C:$FB,2)</f>
        <v>375</v>
      </c>
      <c r="C47" s="75">
        <f>VLOOKUP($A47,'Data Vlaue (Cr)'!$C:$FB,8)</f>
        <v>2217.9</v>
      </c>
      <c r="D47" s="75">
        <f>VLOOKUP($A47,'Data Vlaue (Cr)'!$C:$FB,4)</f>
        <v>2230.3000000000002</v>
      </c>
      <c r="E47" s="75">
        <f>VLOOKUP($A47,'Data Vlaue (Cr)'!$C:$FB,5)</f>
        <v>2107.1</v>
      </c>
      <c r="F47" s="75">
        <f t="shared" si="0"/>
        <v>12.400000000000091</v>
      </c>
      <c r="G47" s="75">
        <f t="shared" si="1"/>
        <v>5.5239205488051049</v>
      </c>
      <c r="H47" s="75">
        <f>VLOOKUP($A47,'Data Vlaue (Cr)'!$C:$FB,99)</f>
        <v>6303</v>
      </c>
      <c r="I47" s="75">
        <f>VLOOKUP($A47,'Data Vlaue (Cr)'!$C:$FB,100)</f>
        <v>6141</v>
      </c>
      <c r="J47" s="75">
        <f t="shared" si="2"/>
        <v>162</v>
      </c>
      <c r="K47" s="75">
        <f t="shared" si="3"/>
        <v>2.5702046644455021</v>
      </c>
      <c r="L47" s="75">
        <f>VLOOKUP($A47,'Data Vlaue (Cr)'!$C:$FB,67)</f>
        <v>14271</v>
      </c>
      <c r="M47" s="75">
        <f>VLOOKUP($A47,'Data Vlaue (Cr)'!$C:$FB,68)</f>
        <v>3800</v>
      </c>
      <c r="N47" s="75">
        <f t="shared" si="4"/>
        <v>10471</v>
      </c>
      <c r="O47" s="75">
        <f t="shared" si="5"/>
        <v>73.372573750963483</v>
      </c>
      <c r="P47" s="75">
        <f>VLOOKUP($A47,'Data Vlaue (Cr)'!$C:$FB,119)</f>
        <v>0.95</v>
      </c>
      <c r="Q47" s="75">
        <f>VLOOKUP($A47,'Data Vlaue (Cr)'!$C:$FB,122)*100</f>
        <v>4.3999999999999995</v>
      </c>
      <c r="R47" s="75">
        <f>VLOOKUP($A47,'Data Vlaue (Cr)'!$C:$FB,125)</f>
        <v>0.48</v>
      </c>
      <c r="S47" s="75">
        <f>VLOOKUP($A47,'Data Vlaue (Cr)'!$C:$FB,128)*100</f>
        <v>-21.310000000000002</v>
      </c>
    </row>
    <row r="48" spans="1:19" x14ac:dyDescent="0.25">
      <c r="A48" s="96" t="str">
        <f>'Data Vlaue (Cr)'!C39</f>
        <v>CAMS</v>
      </c>
      <c r="B48" s="75">
        <f>VLOOKUP($A48,'Data Vlaue (Cr)'!$C:$FB,2)</f>
        <v>150</v>
      </c>
      <c r="C48" s="75">
        <f>VLOOKUP($A48,'Data Vlaue (Cr)'!$C:$FB,8)</f>
        <v>3825.5</v>
      </c>
      <c r="D48" s="75">
        <f>VLOOKUP($A48,'Data Vlaue (Cr)'!$C:$FB,4)</f>
        <v>3857.2</v>
      </c>
      <c r="E48" s="75">
        <f>VLOOKUP($A48,'Data Vlaue (Cr)'!$C:$FB,5)</f>
        <v>3833.5</v>
      </c>
      <c r="F48" s="75">
        <f t="shared" si="0"/>
        <v>31.699999999999818</v>
      </c>
      <c r="G48" s="75">
        <f t="shared" si="1"/>
        <v>0.61443534169863678</v>
      </c>
      <c r="H48" s="75">
        <f>VLOOKUP($A48,'Data Vlaue (Cr)'!$C:$FB,99)</f>
        <v>1142</v>
      </c>
      <c r="I48" s="75">
        <f>VLOOKUP($A48,'Data Vlaue (Cr)'!$C:$FB,100)</f>
        <v>1081</v>
      </c>
      <c r="J48" s="75">
        <f t="shared" si="2"/>
        <v>61</v>
      </c>
      <c r="K48" s="75">
        <f t="shared" si="3"/>
        <v>5.3415061295971977</v>
      </c>
      <c r="L48" s="75">
        <f>VLOOKUP($A48,'Data Vlaue (Cr)'!$C:$FB,67)</f>
        <v>557</v>
      </c>
      <c r="M48" s="75">
        <f>VLOOKUP($A48,'Data Vlaue (Cr)'!$C:$FB,68)</f>
        <v>484</v>
      </c>
      <c r="N48" s="75">
        <f t="shared" si="4"/>
        <v>73</v>
      </c>
      <c r="O48" s="75">
        <f t="shared" si="5"/>
        <v>13.10592459605027</v>
      </c>
      <c r="P48" s="75">
        <f>VLOOKUP($A48,'Data Vlaue (Cr)'!$C:$FB,119)</f>
        <v>0.72</v>
      </c>
      <c r="Q48" s="75">
        <f>VLOOKUP($A48,'Data Vlaue (Cr)'!$C:$FB,122)*100</f>
        <v>4.3499999999999996</v>
      </c>
      <c r="R48" s="75">
        <f>VLOOKUP($A48,'Data Vlaue (Cr)'!$C:$FB,125)</f>
        <v>0.39</v>
      </c>
      <c r="S48" s="75">
        <f>VLOOKUP($A48,'Data Vlaue (Cr)'!$C:$FB,128)*100</f>
        <v>11.43</v>
      </c>
    </row>
    <row r="49" spans="1:19" x14ac:dyDescent="0.25">
      <c r="A49" s="96" t="str">
        <f>'Data Vlaue (Cr)'!C40</f>
        <v>CANBK</v>
      </c>
      <c r="B49" s="75">
        <f>VLOOKUP($A49,'Data Vlaue (Cr)'!$C:$FB,2)</f>
        <v>6750</v>
      </c>
      <c r="C49" s="75">
        <f>VLOOKUP($A49,'Data Vlaue (Cr)'!$C:$FB,8)</f>
        <v>126.76</v>
      </c>
      <c r="D49" s="75">
        <f>VLOOKUP($A49,'Data Vlaue (Cr)'!$C:$FB,4)</f>
        <v>127.42</v>
      </c>
      <c r="E49" s="75">
        <f>VLOOKUP($A49,'Data Vlaue (Cr)'!$C:$FB,5)</f>
        <v>126.73</v>
      </c>
      <c r="F49" s="75">
        <f t="shared" si="0"/>
        <v>0.65999999999999659</v>
      </c>
      <c r="G49" s="75">
        <f t="shared" si="1"/>
        <v>0.54151624548736288</v>
      </c>
      <c r="H49" s="75">
        <f>VLOOKUP($A49,'Data Vlaue (Cr)'!$C:$FB,99)</f>
        <v>5264</v>
      </c>
      <c r="I49" s="75">
        <f>VLOOKUP($A49,'Data Vlaue (Cr)'!$C:$FB,100)</f>
        <v>5110</v>
      </c>
      <c r="J49" s="75">
        <f t="shared" si="2"/>
        <v>154</v>
      </c>
      <c r="K49" s="75">
        <f t="shared" si="3"/>
        <v>2.9255319148936172</v>
      </c>
      <c r="L49" s="75">
        <f>VLOOKUP($A49,'Data Vlaue (Cr)'!$C:$FB,67)</f>
        <v>3556</v>
      </c>
      <c r="M49" s="75">
        <f>VLOOKUP($A49,'Data Vlaue (Cr)'!$C:$FB,68)</f>
        <v>4553</v>
      </c>
      <c r="N49" s="75">
        <f t="shared" si="4"/>
        <v>-997</v>
      </c>
      <c r="O49" s="75">
        <f t="shared" si="5"/>
        <v>-28.037120359955004</v>
      </c>
      <c r="P49" s="75">
        <f>VLOOKUP($A49,'Data Vlaue (Cr)'!$C:$FB,119)</f>
        <v>0.94</v>
      </c>
      <c r="Q49" s="75">
        <f>VLOOKUP($A49,'Data Vlaue (Cr)'!$C:$FB,122)*100</f>
        <v>0</v>
      </c>
      <c r="R49" s="75">
        <f>VLOOKUP($A49,'Data Vlaue (Cr)'!$C:$FB,125)</f>
        <v>0.51</v>
      </c>
      <c r="S49" s="75">
        <f>VLOOKUP($A49,'Data Vlaue (Cr)'!$C:$FB,128)*100</f>
        <v>-3.7699999999999996</v>
      </c>
    </row>
    <row r="50" spans="1:19" x14ac:dyDescent="0.25">
      <c r="A50" s="96" t="str">
        <f>'Data Vlaue (Cr)'!C41</f>
        <v>CDSL</v>
      </c>
      <c r="B50" s="75">
        <f>VLOOKUP($A50,'Data Vlaue (Cr)'!$C:$FB,2)</f>
        <v>475</v>
      </c>
      <c r="C50" s="75">
        <f>VLOOKUP($A50,'Data Vlaue (Cr)'!$C:$FB,8)</f>
        <v>1524.9</v>
      </c>
      <c r="D50" s="75">
        <f>VLOOKUP($A50,'Data Vlaue (Cr)'!$C:$FB,4)</f>
        <v>1529.3</v>
      </c>
      <c r="E50" s="75">
        <f>VLOOKUP($A50,'Data Vlaue (Cr)'!$C:$FB,5)</f>
        <v>1497.2</v>
      </c>
      <c r="F50" s="75">
        <f t="shared" si="0"/>
        <v>4.3999999999998636</v>
      </c>
      <c r="G50" s="75">
        <f t="shared" si="1"/>
        <v>2.0989995422742371</v>
      </c>
      <c r="H50" s="75">
        <f>VLOOKUP($A50,'Data Vlaue (Cr)'!$C:$FB,99)</f>
        <v>2500</v>
      </c>
      <c r="I50" s="75">
        <f>VLOOKUP($A50,'Data Vlaue (Cr)'!$C:$FB,100)</f>
        <v>2416</v>
      </c>
      <c r="J50" s="75">
        <f t="shared" si="2"/>
        <v>84</v>
      </c>
      <c r="K50" s="75">
        <f t="shared" si="3"/>
        <v>3.36</v>
      </c>
      <c r="L50" s="75">
        <f>VLOOKUP($A50,'Data Vlaue (Cr)'!$C:$FB,67)</f>
        <v>2810</v>
      </c>
      <c r="M50" s="75">
        <f>VLOOKUP($A50,'Data Vlaue (Cr)'!$C:$FB,68)</f>
        <v>1206</v>
      </c>
      <c r="N50" s="75">
        <f t="shared" si="4"/>
        <v>1604</v>
      </c>
      <c r="O50" s="75">
        <f t="shared" si="5"/>
        <v>57.081850533807831</v>
      </c>
      <c r="P50" s="75">
        <f>VLOOKUP($A50,'Data Vlaue (Cr)'!$C:$FB,119)</f>
        <v>0.72</v>
      </c>
      <c r="Q50" s="75">
        <f>VLOOKUP($A50,'Data Vlaue (Cr)'!$C:$FB,122)*100</f>
        <v>-1.37</v>
      </c>
      <c r="R50" s="75">
        <f>VLOOKUP($A50,'Data Vlaue (Cr)'!$C:$FB,125)</f>
        <v>0.34</v>
      </c>
      <c r="S50" s="75">
        <f>VLOOKUP($A50,'Data Vlaue (Cr)'!$C:$FB,128)*100</f>
        <v>-17.07</v>
      </c>
    </row>
    <row r="51" spans="1:19" x14ac:dyDescent="0.25">
      <c r="A51" s="96" t="str">
        <f>'Data Vlaue (Cr)'!C42</f>
        <v>CGPOWER</v>
      </c>
      <c r="B51" s="75">
        <f>VLOOKUP($A51,'Data Vlaue (Cr)'!$C:$FB,2)</f>
        <v>850</v>
      </c>
      <c r="C51" s="75">
        <f>VLOOKUP($A51,'Data Vlaue (Cr)'!$C:$FB,8)</f>
        <v>745.4</v>
      </c>
      <c r="D51" s="75">
        <f>VLOOKUP($A51,'Data Vlaue (Cr)'!$C:$FB,4)</f>
        <v>749.95</v>
      </c>
      <c r="E51" s="75">
        <f>VLOOKUP($A51,'Data Vlaue (Cr)'!$C:$FB,5)</f>
        <v>750.6</v>
      </c>
      <c r="F51" s="75">
        <f t="shared" si="0"/>
        <v>4.5500000000000682</v>
      </c>
      <c r="G51" s="75">
        <f t="shared" si="1"/>
        <v>-8.6672444829652279E-2</v>
      </c>
      <c r="H51" s="75">
        <f>VLOOKUP($A51,'Data Vlaue (Cr)'!$C:$FB,99)</f>
        <v>1823</v>
      </c>
      <c r="I51" s="75">
        <f>VLOOKUP($A51,'Data Vlaue (Cr)'!$C:$FB,100)</f>
        <v>1777</v>
      </c>
      <c r="J51" s="75">
        <f t="shared" si="2"/>
        <v>46</v>
      </c>
      <c r="K51" s="75">
        <f t="shared" si="3"/>
        <v>2.5233132199670871</v>
      </c>
      <c r="L51" s="75">
        <f>VLOOKUP($A51,'Data Vlaue (Cr)'!$C:$FB,67)</f>
        <v>403</v>
      </c>
      <c r="M51" s="75">
        <f>VLOOKUP($A51,'Data Vlaue (Cr)'!$C:$FB,68)</f>
        <v>467</v>
      </c>
      <c r="N51" s="75">
        <f t="shared" si="4"/>
        <v>-64</v>
      </c>
      <c r="O51" s="75">
        <f t="shared" si="5"/>
        <v>-15.88089330024814</v>
      </c>
      <c r="P51" s="75">
        <f>VLOOKUP($A51,'Data Vlaue (Cr)'!$C:$FB,119)</f>
        <v>0.59</v>
      </c>
      <c r="Q51" s="75">
        <f>VLOOKUP($A51,'Data Vlaue (Cr)'!$C:$FB,122)*100</f>
        <v>-3.2800000000000002</v>
      </c>
      <c r="R51" s="75">
        <f>VLOOKUP($A51,'Data Vlaue (Cr)'!$C:$FB,125)</f>
        <v>0.2</v>
      </c>
      <c r="S51" s="75">
        <f>VLOOKUP($A51,'Data Vlaue (Cr)'!$C:$FB,128)*100</f>
        <v>-13.04</v>
      </c>
    </row>
    <row r="52" spans="1:19" x14ac:dyDescent="0.25">
      <c r="A52" s="96" t="str">
        <f>'Data Vlaue (Cr)'!C43</f>
        <v>CHOLAFIN</v>
      </c>
      <c r="B52" s="75">
        <f>VLOOKUP($A52,'Data Vlaue (Cr)'!$C:$FB,2)</f>
        <v>625</v>
      </c>
      <c r="C52" s="75">
        <f>VLOOKUP($A52,'Data Vlaue (Cr)'!$C:$FB,8)</f>
        <v>1634.1</v>
      </c>
      <c r="D52" s="75">
        <f>VLOOKUP($A52,'Data Vlaue (Cr)'!$C:$FB,4)</f>
        <v>1620.4</v>
      </c>
      <c r="E52" s="75">
        <f>VLOOKUP($A52,'Data Vlaue (Cr)'!$C:$FB,5)</f>
        <v>1566.2</v>
      </c>
      <c r="F52" s="75">
        <f t="shared" si="0"/>
        <v>-13.699999999999818</v>
      </c>
      <c r="G52" s="75">
        <f t="shared" si="1"/>
        <v>3.344853122685759</v>
      </c>
      <c r="H52" s="75">
        <f>VLOOKUP($A52,'Data Vlaue (Cr)'!$C:$FB,99)</f>
        <v>2941</v>
      </c>
      <c r="I52" s="75">
        <f>VLOOKUP($A52,'Data Vlaue (Cr)'!$C:$FB,100)</f>
        <v>2919</v>
      </c>
      <c r="J52" s="75">
        <f t="shared" si="2"/>
        <v>22</v>
      </c>
      <c r="K52" s="75">
        <f t="shared" si="3"/>
        <v>0.74804488269296154</v>
      </c>
      <c r="L52" s="75">
        <f>VLOOKUP($A52,'Data Vlaue (Cr)'!$C:$FB,67)</f>
        <v>2385</v>
      </c>
      <c r="M52" s="75">
        <f>VLOOKUP($A52,'Data Vlaue (Cr)'!$C:$FB,68)</f>
        <v>1542</v>
      </c>
      <c r="N52" s="75">
        <f t="shared" si="4"/>
        <v>843</v>
      </c>
      <c r="O52" s="75">
        <f t="shared" si="5"/>
        <v>35.345911949685529</v>
      </c>
      <c r="P52" s="75">
        <f>VLOOKUP($A52,'Data Vlaue (Cr)'!$C:$FB,119)</f>
        <v>0.81</v>
      </c>
      <c r="Q52" s="75">
        <f>VLOOKUP($A52,'Data Vlaue (Cr)'!$C:$FB,122)*100</f>
        <v>1.25</v>
      </c>
      <c r="R52" s="75">
        <f>VLOOKUP($A52,'Data Vlaue (Cr)'!$C:$FB,125)</f>
        <v>0.42</v>
      </c>
      <c r="S52" s="75">
        <f>VLOOKUP($A52,'Data Vlaue (Cr)'!$C:$FB,128)*100</f>
        <v>-28.810000000000002</v>
      </c>
    </row>
    <row r="53" spans="1:19" x14ac:dyDescent="0.25">
      <c r="A53" s="96" t="str">
        <f>'Data Vlaue (Cr)'!C44</f>
        <v>CIPLA</v>
      </c>
      <c r="B53" s="75">
        <f>VLOOKUP($A53,'Data Vlaue (Cr)'!$C:$FB,2)</f>
        <v>375</v>
      </c>
      <c r="C53" s="75">
        <f>VLOOKUP($A53,'Data Vlaue (Cr)'!$C:$FB,8)</f>
        <v>1513.1</v>
      </c>
      <c r="D53" s="75">
        <f>VLOOKUP($A53,'Data Vlaue (Cr)'!$C:$FB,4)</f>
        <v>1522.1</v>
      </c>
      <c r="E53" s="75">
        <f>VLOOKUP($A53,'Data Vlaue (Cr)'!$C:$FB,5)</f>
        <v>1523.7</v>
      </c>
      <c r="F53" s="75">
        <f t="shared" si="0"/>
        <v>9</v>
      </c>
      <c r="G53" s="75">
        <f t="shared" si="1"/>
        <v>-0.10511792917680418</v>
      </c>
      <c r="H53" s="75">
        <f>VLOOKUP($A53,'Data Vlaue (Cr)'!$C:$FB,99)</f>
        <v>2343</v>
      </c>
      <c r="I53" s="75">
        <f>VLOOKUP($A53,'Data Vlaue (Cr)'!$C:$FB,100)</f>
        <v>2257</v>
      </c>
      <c r="J53" s="75">
        <f t="shared" si="2"/>
        <v>86</v>
      </c>
      <c r="K53" s="75">
        <f t="shared" si="3"/>
        <v>3.6705078958600081</v>
      </c>
      <c r="L53" s="75">
        <f>VLOOKUP($A53,'Data Vlaue (Cr)'!$C:$FB,67)</f>
        <v>753</v>
      </c>
      <c r="M53" s="75">
        <f>VLOOKUP($A53,'Data Vlaue (Cr)'!$C:$FB,68)</f>
        <v>698</v>
      </c>
      <c r="N53" s="75">
        <f t="shared" si="4"/>
        <v>55</v>
      </c>
      <c r="O53" s="75">
        <f t="shared" si="5"/>
        <v>7.3041168658698545</v>
      </c>
      <c r="P53" s="75">
        <f>VLOOKUP($A53,'Data Vlaue (Cr)'!$C:$FB,119)</f>
        <v>0.75</v>
      </c>
      <c r="Q53" s="75">
        <f>VLOOKUP($A53,'Data Vlaue (Cr)'!$C:$FB,122)*100</f>
        <v>-17.580000000000002</v>
      </c>
      <c r="R53" s="75">
        <f>VLOOKUP($A53,'Data Vlaue (Cr)'!$C:$FB,125)</f>
        <v>0.61</v>
      </c>
      <c r="S53" s="75">
        <f>VLOOKUP($A53,'Data Vlaue (Cr)'!$C:$FB,128)*100</f>
        <v>1.67</v>
      </c>
    </row>
    <row r="54" spans="1:19" x14ac:dyDescent="0.25">
      <c r="A54" s="96" t="str">
        <f>'Data Vlaue (Cr)'!C45</f>
        <v>COALINDIA</v>
      </c>
      <c r="B54" s="75">
        <f>VLOOKUP($A54,'Data Vlaue (Cr)'!$C:$FB,2)</f>
        <v>1350</v>
      </c>
      <c r="C54" s="75">
        <f>VLOOKUP($A54,'Data Vlaue (Cr)'!$C:$FB,8)</f>
        <v>381.9</v>
      </c>
      <c r="D54" s="75">
        <f>VLOOKUP($A54,'Data Vlaue (Cr)'!$C:$FB,4)</f>
        <v>384.2</v>
      </c>
      <c r="E54" s="75">
        <f>VLOOKUP($A54,'Data Vlaue (Cr)'!$C:$FB,5)</f>
        <v>384.9</v>
      </c>
      <c r="F54" s="75">
        <f t="shared" si="0"/>
        <v>2.3000000000000114</v>
      </c>
      <c r="G54" s="75">
        <f t="shared" si="1"/>
        <v>-0.18219677251431252</v>
      </c>
      <c r="H54" s="75">
        <f>VLOOKUP($A54,'Data Vlaue (Cr)'!$C:$FB,99)</f>
        <v>4319</v>
      </c>
      <c r="I54" s="75">
        <f>VLOOKUP($A54,'Data Vlaue (Cr)'!$C:$FB,100)</f>
        <v>4142</v>
      </c>
      <c r="J54" s="75">
        <f t="shared" si="2"/>
        <v>177</v>
      </c>
      <c r="K54" s="75">
        <f t="shared" si="3"/>
        <v>4.098170872887243</v>
      </c>
      <c r="L54" s="75">
        <f>VLOOKUP($A54,'Data Vlaue (Cr)'!$C:$FB,67)</f>
        <v>1332</v>
      </c>
      <c r="M54" s="75">
        <f>VLOOKUP($A54,'Data Vlaue (Cr)'!$C:$FB,68)</f>
        <v>2333</v>
      </c>
      <c r="N54" s="75">
        <f t="shared" si="4"/>
        <v>-1001</v>
      </c>
      <c r="O54" s="75">
        <f t="shared" si="5"/>
        <v>-75.150150150150154</v>
      </c>
      <c r="P54" s="75">
        <f>VLOOKUP($A54,'Data Vlaue (Cr)'!$C:$FB,119)</f>
        <v>0.72</v>
      </c>
      <c r="Q54" s="75">
        <f>VLOOKUP($A54,'Data Vlaue (Cr)'!$C:$FB,122)*100</f>
        <v>-7.6899999999999995</v>
      </c>
      <c r="R54" s="75">
        <f>VLOOKUP($A54,'Data Vlaue (Cr)'!$C:$FB,125)</f>
        <v>0.38</v>
      </c>
      <c r="S54" s="75">
        <f>VLOOKUP($A54,'Data Vlaue (Cr)'!$C:$FB,128)*100</f>
        <v>-20.830000000000002</v>
      </c>
    </row>
    <row r="55" spans="1:19" x14ac:dyDescent="0.25">
      <c r="A55" s="96" t="str">
        <f>'Data Vlaue (Cr)'!C46</f>
        <v>COFORGE</v>
      </c>
      <c r="B55" s="75">
        <f>VLOOKUP($A55,'Data Vlaue (Cr)'!$C:$FB,2)</f>
        <v>375</v>
      </c>
      <c r="C55" s="75">
        <f>VLOOKUP($A55,'Data Vlaue (Cr)'!$C:$FB,8)</f>
        <v>1662.4</v>
      </c>
      <c r="D55" s="75">
        <f>VLOOKUP($A55,'Data Vlaue (Cr)'!$C:$FB,4)</f>
        <v>1668.5</v>
      </c>
      <c r="E55" s="75">
        <f>VLOOKUP($A55,'Data Vlaue (Cr)'!$C:$FB,5)</f>
        <v>1619</v>
      </c>
      <c r="F55" s="75">
        <f t="shared" si="0"/>
        <v>6.0999999999999091</v>
      </c>
      <c r="G55" s="75">
        <f t="shared" si="1"/>
        <v>2.9667365897512736</v>
      </c>
      <c r="H55" s="75">
        <f>VLOOKUP($A55,'Data Vlaue (Cr)'!$C:$FB,99)</f>
        <v>3283</v>
      </c>
      <c r="I55" s="75">
        <f>VLOOKUP($A55,'Data Vlaue (Cr)'!$C:$FB,100)</f>
        <v>3287</v>
      </c>
      <c r="J55" s="75">
        <f t="shared" si="2"/>
        <v>-4</v>
      </c>
      <c r="K55" s="75">
        <f t="shared" si="3"/>
        <v>-0.12183978068839477</v>
      </c>
      <c r="L55" s="75">
        <f>VLOOKUP($A55,'Data Vlaue (Cr)'!$C:$FB,67)</f>
        <v>2537</v>
      </c>
      <c r="M55" s="75">
        <f>VLOOKUP($A55,'Data Vlaue (Cr)'!$C:$FB,68)</f>
        <v>1197</v>
      </c>
      <c r="N55" s="75">
        <f t="shared" si="4"/>
        <v>1340</v>
      </c>
      <c r="O55" s="75">
        <f t="shared" si="5"/>
        <v>52.818289318092241</v>
      </c>
      <c r="P55" s="75">
        <f>VLOOKUP($A55,'Data Vlaue (Cr)'!$C:$FB,119)</f>
        <v>0.59</v>
      </c>
      <c r="Q55" s="75">
        <f>VLOOKUP($A55,'Data Vlaue (Cr)'!$C:$FB,122)*100</f>
        <v>-1.67</v>
      </c>
      <c r="R55" s="75">
        <f>VLOOKUP($A55,'Data Vlaue (Cr)'!$C:$FB,125)</f>
        <v>0.4</v>
      </c>
      <c r="S55" s="75">
        <f>VLOOKUP($A55,'Data Vlaue (Cr)'!$C:$FB,128)*100</f>
        <v>-11.110000000000001</v>
      </c>
    </row>
    <row r="56" spans="1:19" x14ac:dyDescent="0.25">
      <c r="A56" s="96" t="str">
        <f>'Data Vlaue (Cr)'!C47</f>
        <v>COLPAL</v>
      </c>
      <c r="B56" s="75">
        <f>VLOOKUP($A56,'Data Vlaue (Cr)'!$C:$FB,2)</f>
        <v>225</v>
      </c>
      <c r="C56" s="75">
        <f>VLOOKUP($A56,'Data Vlaue (Cr)'!$C:$FB,8)</f>
        <v>2228.8000000000002</v>
      </c>
      <c r="D56" s="75">
        <f>VLOOKUP($A56,'Data Vlaue (Cr)'!$C:$FB,4)</f>
        <v>2243.6</v>
      </c>
      <c r="E56" s="75">
        <f>VLOOKUP($A56,'Data Vlaue (Cr)'!$C:$FB,5)</f>
        <v>2226.4</v>
      </c>
      <c r="F56" s="75">
        <f t="shared" si="0"/>
        <v>14.799999999999727</v>
      </c>
      <c r="G56" s="75">
        <f t="shared" si="1"/>
        <v>0.76662506685682918</v>
      </c>
      <c r="H56" s="75">
        <f>VLOOKUP($A56,'Data Vlaue (Cr)'!$C:$FB,99)</f>
        <v>1770</v>
      </c>
      <c r="I56" s="75">
        <f>VLOOKUP($A56,'Data Vlaue (Cr)'!$C:$FB,100)</f>
        <v>1767</v>
      </c>
      <c r="J56" s="75">
        <f t="shared" si="2"/>
        <v>3</v>
      </c>
      <c r="K56" s="75">
        <f t="shared" si="3"/>
        <v>0.16949152542372881</v>
      </c>
      <c r="L56" s="75">
        <f>VLOOKUP($A56,'Data Vlaue (Cr)'!$C:$FB,67)</f>
        <v>546</v>
      </c>
      <c r="M56" s="75">
        <f>VLOOKUP($A56,'Data Vlaue (Cr)'!$C:$FB,68)</f>
        <v>627</v>
      </c>
      <c r="N56" s="75">
        <f t="shared" si="4"/>
        <v>-81</v>
      </c>
      <c r="O56" s="75">
        <f t="shared" si="5"/>
        <v>-14.835164835164836</v>
      </c>
      <c r="P56" s="75">
        <f>VLOOKUP($A56,'Data Vlaue (Cr)'!$C:$FB,119)</f>
        <v>0.79</v>
      </c>
      <c r="Q56" s="75">
        <f>VLOOKUP($A56,'Data Vlaue (Cr)'!$C:$FB,122)*100</f>
        <v>1.28</v>
      </c>
      <c r="R56" s="75">
        <f>VLOOKUP($A56,'Data Vlaue (Cr)'!$C:$FB,125)</f>
        <v>0.2</v>
      </c>
      <c r="S56" s="75">
        <f>VLOOKUP($A56,'Data Vlaue (Cr)'!$C:$FB,128)*100</f>
        <v>-44.440000000000005</v>
      </c>
    </row>
    <row r="57" spans="1:19" x14ac:dyDescent="0.25">
      <c r="A57" s="96" t="str">
        <f>'Data Vlaue (Cr)'!C48</f>
        <v>CONCOR</v>
      </c>
      <c r="B57" s="75">
        <f>VLOOKUP($A57,'Data Vlaue (Cr)'!$C:$FB,2)</f>
        <v>1250</v>
      </c>
      <c r="C57" s="75">
        <f>VLOOKUP($A57,'Data Vlaue (Cr)'!$C:$FB,8)</f>
        <v>532.15</v>
      </c>
      <c r="D57" s="75">
        <f>VLOOKUP($A57,'Data Vlaue (Cr)'!$C:$FB,4)</f>
        <v>534</v>
      </c>
      <c r="E57" s="75">
        <f>VLOOKUP($A57,'Data Vlaue (Cr)'!$C:$FB,5)</f>
        <v>535.6</v>
      </c>
      <c r="F57" s="75">
        <f t="shared" si="0"/>
        <v>1.8500000000000227</v>
      </c>
      <c r="G57" s="75">
        <f t="shared" si="1"/>
        <v>-0.29962546816479829</v>
      </c>
      <c r="H57" s="75">
        <f>VLOOKUP($A57,'Data Vlaue (Cr)'!$C:$FB,99)</f>
        <v>2103</v>
      </c>
      <c r="I57" s="75">
        <f>VLOOKUP($A57,'Data Vlaue (Cr)'!$C:$FB,100)</f>
        <v>2019</v>
      </c>
      <c r="J57" s="75">
        <f t="shared" si="2"/>
        <v>84</v>
      </c>
      <c r="K57" s="75">
        <f t="shared" si="3"/>
        <v>3.9942938659058487</v>
      </c>
      <c r="L57" s="75">
        <f>VLOOKUP($A57,'Data Vlaue (Cr)'!$C:$FB,67)</f>
        <v>483</v>
      </c>
      <c r="M57" s="75">
        <f>VLOOKUP($A57,'Data Vlaue (Cr)'!$C:$FB,68)</f>
        <v>702</v>
      </c>
      <c r="N57" s="75">
        <f t="shared" si="4"/>
        <v>-219</v>
      </c>
      <c r="O57" s="75">
        <f t="shared" si="5"/>
        <v>-45.341614906832298</v>
      </c>
      <c r="P57" s="75">
        <f>VLOOKUP($A57,'Data Vlaue (Cr)'!$C:$FB,119)</f>
        <v>0.8</v>
      </c>
      <c r="Q57" s="75">
        <f>VLOOKUP($A57,'Data Vlaue (Cr)'!$C:$FB,122)*100</f>
        <v>-3.61</v>
      </c>
      <c r="R57" s="75">
        <f>VLOOKUP($A57,'Data Vlaue (Cr)'!$C:$FB,125)</f>
        <v>0.37</v>
      </c>
      <c r="S57" s="75">
        <f>VLOOKUP($A57,'Data Vlaue (Cr)'!$C:$FB,128)*100</f>
        <v>2.78</v>
      </c>
    </row>
    <row r="58" spans="1:19" x14ac:dyDescent="0.25">
      <c r="A58" s="96" t="str">
        <f>'Data Vlaue (Cr)'!C49</f>
        <v>CROMPTON</v>
      </c>
      <c r="B58" s="75">
        <f>VLOOKUP($A58,'Data Vlaue (Cr)'!$C:$FB,2)</f>
        <v>1800</v>
      </c>
      <c r="C58" s="75">
        <f>VLOOKUP($A58,'Data Vlaue (Cr)'!$C:$FB,8)</f>
        <v>289.05</v>
      </c>
      <c r="D58" s="75">
        <f>VLOOKUP($A58,'Data Vlaue (Cr)'!$C:$FB,4)</f>
        <v>290.8</v>
      </c>
      <c r="E58" s="75">
        <f>VLOOKUP($A58,'Data Vlaue (Cr)'!$C:$FB,5)</f>
        <v>296.39999999999998</v>
      </c>
      <c r="F58" s="75">
        <f t="shared" si="0"/>
        <v>1.75</v>
      </c>
      <c r="G58" s="75">
        <f t="shared" si="1"/>
        <v>-1.9257221458046652</v>
      </c>
      <c r="H58" s="75">
        <f>VLOOKUP($A58,'Data Vlaue (Cr)'!$C:$FB,99)</f>
        <v>2027</v>
      </c>
      <c r="I58" s="75">
        <f>VLOOKUP($A58,'Data Vlaue (Cr)'!$C:$FB,100)</f>
        <v>1892</v>
      </c>
      <c r="J58" s="75">
        <f t="shared" si="2"/>
        <v>135</v>
      </c>
      <c r="K58" s="75">
        <f t="shared" si="3"/>
        <v>6.6600888011840169</v>
      </c>
      <c r="L58" s="75">
        <f>VLOOKUP($A58,'Data Vlaue (Cr)'!$C:$FB,67)</f>
        <v>628</v>
      </c>
      <c r="M58" s="75">
        <f>VLOOKUP($A58,'Data Vlaue (Cr)'!$C:$FB,68)</f>
        <v>280</v>
      </c>
      <c r="N58" s="75">
        <f t="shared" si="4"/>
        <v>348</v>
      </c>
      <c r="O58" s="75">
        <f t="shared" si="5"/>
        <v>55.414012738853501</v>
      </c>
      <c r="P58" s="75">
        <f>VLOOKUP($A58,'Data Vlaue (Cr)'!$C:$FB,119)</f>
        <v>0.68</v>
      </c>
      <c r="Q58" s="75">
        <f>VLOOKUP($A58,'Data Vlaue (Cr)'!$C:$FB,122)*100</f>
        <v>-10.530000000000001</v>
      </c>
      <c r="R58" s="75">
        <f>VLOOKUP($A58,'Data Vlaue (Cr)'!$C:$FB,125)</f>
        <v>0.35</v>
      </c>
      <c r="S58" s="75">
        <f>VLOOKUP($A58,'Data Vlaue (Cr)'!$C:$FB,128)*100</f>
        <v>-7.89</v>
      </c>
    </row>
    <row r="59" spans="1:19" x14ac:dyDescent="0.25">
      <c r="A59" s="96" t="str">
        <f>'Data Vlaue (Cr)'!C50</f>
        <v>CUMMINSIND</v>
      </c>
      <c r="B59" s="75">
        <f>VLOOKUP($A59,'Data Vlaue (Cr)'!$C:$FB,2)</f>
        <v>200</v>
      </c>
      <c r="C59" s="75">
        <f>VLOOKUP($A59,'Data Vlaue (Cr)'!$C:$FB,8)</f>
        <v>3943</v>
      </c>
      <c r="D59" s="75">
        <f>VLOOKUP($A59,'Data Vlaue (Cr)'!$C:$FB,4)</f>
        <v>3966.2</v>
      </c>
      <c r="E59" s="75">
        <f>VLOOKUP($A59,'Data Vlaue (Cr)'!$C:$FB,5)</f>
        <v>3936</v>
      </c>
      <c r="F59" s="75">
        <f t="shared" si="0"/>
        <v>23.199999999999818</v>
      </c>
      <c r="G59" s="75">
        <f t="shared" si="1"/>
        <v>0.76143411829962737</v>
      </c>
      <c r="H59" s="75">
        <f>VLOOKUP($A59,'Data Vlaue (Cr)'!$C:$FB,99)</f>
        <v>1605</v>
      </c>
      <c r="I59" s="75">
        <f>VLOOKUP($A59,'Data Vlaue (Cr)'!$C:$FB,100)</f>
        <v>1577</v>
      </c>
      <c r="J59" s="75">
        <f t="shared" si="2"/>
        <v>28</v>
      </c>
      <c r="K59" s="75">
        <f t="shared" si="3"/>
        <v>1.7445482866043613</v>
      </c>
      <c r="L59" s="75">
        <f>VLOOKUP($A59,'Data Vlaue (Cr)'!$C:$FB,67)</f>
        <v>598</v>
      </c>
      <c r="M59" s="75">
        <f>VLOOKUP($A59,'Data Vlaue (Cr)'!$C:$FB,68)</f>
        <v>771</v>
      </c>
      <c r="N59" s="75">
        <f t="shared" si="4"/>
        <v>-173</v>
      </c>
      <c r="O59" s="75">
        <f t="shared" si="5"/>
        <v>-28.929765886287623</v>
      </c>
      <c r="P59" s="75">
        <f>VLOOKUP($A59,'Data Vlaue (Cr)'!$C:$FB,119)</f>
        <v>0.78</v>
      </c>
      <c r="Q59" s="75">
        <f>VLOOKUP($A59,'Data Vlaue (Cr)'!$C:$FB,122)*100</f>
        <v>-8.24</v>
      </c>
      <c r="R59" s="75">
        <f>VLOOKUP($A59,'Data Vlaue (Cr)'!$C:$FB,125)</f>
        <v>0.34</v>
      </c>
      <c r="S59" s="75">
        <f>VLOOKUP($A59,'Data Vlaue (Cr)'!$C:$FB,128)*100</f>
        <v>3.0300000000000002</v>
      </c>
    </row>
    <row r="60" spans="1:19" x14ac:dyDescent="0.25">
      <c r="A60" s="96" t="str">
        <f>'Data Vlaue (Cr)'!C51</f>
        <v>CYIENT</v>
      </c>
      <c r="B60" s="75">
        <f>VLOOKUP($A60,'Data Vlaue (Cr)'!$C:$FB,2)</f>
        <v>425</v>
      </c>
      <c r="C60" s="75">
        <f>VLOOKUP($A60,'Data Vlaue (Cr)'!$C:$FB,8)</f>
        <v>1180.5999999999999</v>
      </c>
      <c r="D60" s="75">
        <f>VLOOKUP($A60,'Data Vlaue (Cr)'!$C:$FB,4)</f>
        <v>1185.2</v>
      </c>
      <c r="E60" s="75">
        <f>VLOOKUP($A60,'Data Vlaue (Cr)'!$C:$FB,5)</f>
        <v>1170.3</v>
      </c>
      <c r="F60" s="75">
        <f t="shared" si="0"/>
        <v>4.6000000000001364</v>
      </c>
      <c r="G60" s="75">
        <f t="shared" si="1"/>
        <v>1.2571717853526907</v>
      </c>
      <c r="H60" s="75">
        <f>VLOOKUP($A60,'Data Vlaue (Cr)'!$C:$FB,99)</f>
        <v>686</v>
      </c>
      <c r="I60" s="75">
        <f>VLOOKUP($A60,'Data Vlaue (Cr)'!$C:$FB,100)</f>
        <v>627</v>
      </c>
      <c r="J60" s="75">
        <f t="shared" si="2"/>
        <v>59</v>
      </c>
      <c r="K60" s="75">
        <f t="shared" si="3"/>
        <v>8.6005830903790095</v>
      </c>
      <c r="L60" s="75">
        <f>VLOOKUP($A60,'Data Vlaue (Cr)'!$C:$FB,67)</f>
        <v>469</v>
      </c>
      <c r="M60" s="75">
        <f>VLOOKUP($A60,'Data Vlaue (Cr)'!$C:$FB,68)</f>
        <v>239</v>
      </c>
      <c r="N60" s="75">
        <f t="shared" si="4"/>
        <v>230</v>
      </c>
      <c r="O60" s="75">
        <f t="shared" si="5"/>
        <v>49.040511727078886</v>
      </c>
      <c r="P60" s="75">
        <f>VLOOKUP($A60,'Data Vlaue (Cr)'!$C:$FB,119)</f>
        <v>0.61</v>
      </c>
      <c r="Q60" s="75">
        <f>VLOOKUP($A60,'Data Vlaue (Cr)'!$C:$FB,122)*100</f>
        <v>0</v>
      </c>
      <c r="R60" s="75">
        <f>VLOOKUP($A60,'Data Vlaue (Cr)'!$C:$FB,125)</f>
        <v>0.21</v>
      </c>
      <c r="S60" s="75">
        <f>VLOOKUP($A60,'Data Vlaue (Cr)'!$C:$FB,128)*100</f>
        <v>-8.6999999999999993</v>
      </c>
    </row>
    <row r="61" spans="1:19" x14ac:dyDescent="0.25">
      <c r="A61" s="96" t="str">
        <f>'Data Vlaue (Cr)'!C52</f>
        <v>DABUR</v>
      </c>
      <c r="B61" s="75">
        <f>VLOOKUP($A61,'Data Vlaue (Cr)'!$C:$FB,2)</f>
        <v>1250</v>
      </c>
      <c r="C61" s="75">
        <f>VLOOKUP($A61,'Data Vlaue (Cr)'!$C:$FB,8)</f>
        <v>493.35</v>
      </c>
      <c r="D61" s="75">
        <f>VLOOKUP($A61,'Data Vlaue (Cr)'!$C:$FB,4)</f>
        <v>496.35</v>
      </c>
      <c r="E61" s="75">
        <f>VLOOKUP($A61,'Data Vlaue (Cr)'!$C:$FB,5)</f>
        <v>499.5</v>
      </c>
      <c r="F61" s="75">
        <f t="shared" si="0"/>
        <v>3</v>
      </c>
      <c r="G61" s="75">
        <f t="shared" si="1"/>
        <v>-0.63463281958295092</v>
      </c>
      <c r="H61" s="75">
        <f>VLOOKUP($A61,'Data Vlaue (Cr)'!$C:$FB,99)</f>
        <v>2233</v>
      </c>
      <c r="I61" s="75">
        <f>VLOOKUP($A61,'Data Vlaue (Cr)'!$C:$FB,100)</f>
        <v>2139</v>
      </c>
      <c r="J61" s="75">
        <f t="shared" si="2"/>
        <v>94</v>
      </c>
      <c r="K61" s="75">
        <f t="shared" si="3"/>
        <v>4.2095835199283478</v>
      </c>
      <c r="L61" s="75">
        <f>VLOOKUP($A61,'Data Vlaue (Cr)'!$C:$FB,67)</f>
        <v>655</v>
      </c>
      <c r="M61" s="75">
        <f>VLOOKUP($A61,'Data Vlaue (Cr)'!$C:$FB,68)</f>
        <v>775</v>
      </c>
      <c r="N61" s="75">
        <f t="shared" si="4"/>
        <v>-120</v>
      </c>
      <c r="O61" s="75">
        <f t="shared" si="5"/>
        <v>-18.320610687022899</v>
      </c>
      <c r="P61" s="75">
        <f>VLOOKUP($A61,'Data Vlaue (Cr)'!$C:$FB,119)</f>
        <v>0.51</v>
      </c>
      <c r="Q61" s="75">
        <f>VLOOKUP($A61,'Data Vlaue (Cr)'!$C:$FB,122)*100</f>
        <v>-7.2700000000000005</v>
      </c>
      <c r="R61" s="75">
        <f>VLOOKUP($A61,'Data Vlaue (Cr)'!$C:$FB,125)</f>
        <v>0.39</v>
      </c>
      <c r="S61" s="75">
        <f>VLOOKUP($A61,'Data Vlaue (Cr)'!$C:$FB,128)*100</f>
        <v>21.88</v>
      </c>
    </row>
    <row r="62" spans="1:19" x14ac:dyDescent="0.25">
      <c r="A62" s="96" t="str">
        <f>'Data Vlaue (Cr)'!C53</f>
        <v>DALBHARAT</v>
      </c>
      <c r="B62" s="75">
        <f>VLOOKUP($A62,'Data Vlaue (Cr)'!$C:$FB,2)</f>
        <v>325</v>
      </c>
      <c r="C62" s="75">
        <f>VLOOKUP($A62,'Data Vlaue (Cr)'!$C:$FB,8)</f>
        <v>2251.1999999999998</v>
      </c>
      <c r="D62" s="75">
        <f>VLOOKUP($A62,'Data Vlaue (Cr)'!$C:$FB,4)</f>
        <v>2264</v>
      </c>
      <c r="E62" s="75">
        <f>VLOOKUP($A62,'Data Vlaue (Cr)'!$C:$FB,5)</f>
        <v>2269.1</v>
      </c>
      <c r="F62" s="75">
        <f t="shared" si="0"/>
        <v>12.800000000000182</v>
      </c>
      <c r="G62" s="75">
        <f t="shared" si="1"/>
        <v>-0.22526501766784052</v>
      </c>
      <c r="H62" s="75">
        <f>VLOOKUP($A62,'Data Vlaue (Cr)'!$C:$FB,99)</f>
        <v>644</v>
      </c>
      <c r="I62" s="75">
        <f>VLOOKUP($A62,'Data Vlaue (Cr)'!$C:$FB,100)</f>
        <v>631</v>
      </c>
      <c r="J62" s="75">
        <f t="shared" si="2"/>
        <v>13</v>
      </c>
      <c r="K62" s="75">
        <f t="shared" si="3"/>
        <v>2.018633540372671</v>
      </c>
      <c r="L62" s="75">
        <f>VLOOKUP($A62,'Data Vlaue (Cr)'!$C:$FB,67)</f>
        <v>151</v>
      </c>
      <c r="M62" s="75">
        <f>VLOOKUP($A62,'Data Vlaue (Cr)'!$C:$FB,68)</f>
        <v>320</v>
      </c>
      <c r="N62" s="75">
        <f t="shared" si="4"/>
        <v>-169</v>
      </c>
      <c r="O62" s="75">
        <f t="shared" si="5"/>
        <v>-111.92052980132449</v>
      </c>
      <c r="P62" s="75">
        <f>VLOOKUP($A62,'Data Vlaue (Cr)'!$C:$FB,119)</f>
        <v>0.51</v>
      </c>
      <c r="Q62" s="75">
        <f>VLOOKUP($A62,'Data Vlaue (Cr)'!$C:$FB,122)*100</f>
        <v>-1.92</v>
      </c>
      <c r="R62" s="75">
        <f>VLOOKUP($A62,'Data Vlaue (Cr)'!$C:$FB,125)</f>
        <v>0.3</v>
      </c>
      <c r="S62" s="75">
        <f>VLOOKUP($A62,'Data Vlaue (Cr)'!$C:$FB,128)*100</f>
        <v>-75.41</v>
      </c>
    </row>
    <row r="63" spans="1:19" x14ac:dyDescent="0.25">
      <c r="A63" s="96" t="str">
        <f>'Data Vlaue (Cr)'!C54</f>
        <v>DELHIVERY</v>
      </c>
      <c r="B63" s="75">
        <f>VLOOKUP($A63,'Data Vlaue (Cr)'!$C:$FB,2)</f>
        <v>2075</v>
      </c>
      <c r="C63" s="75">
        <f>VLOOKUP($A63,'Data Vlaue (Cr)'!$C:$FB,8)</f>
        <v>462.6</v>
      </c>
      <c r="D63" s="75">
        <f>VLOOKUP($A63,'Data Vlaue (Cr)'!$C:$FB,4)</f>
        <v>465.1</v>
      </c>
      <c r="E63" s="75">
        <f>VLOOKUP($A63,'Data Vlaue (Cr)'!$C:$FB,5)</f>
        <v>440.3</v>
      </c>
      <c r="F63" s="75">
        <f t="shared" si="0"/>
        <v>2.5</v>
      </c>
      <c r="G63" s="75">
        <f t="shared" si="1"/>
        <v>5.3321866265319313</v>
      </c>
      <c r="H63" s="75">
        <f>VLOOKUP($A63,'Data Vlaue (Cr)'!$C:$FB,99)</f>
        <v>1363</v>
      </c>
      <c r="I63" s="75">
        <f>VLOOKUP($A63,'Data Vlaue (Cr)'!$C:$FB,100)</f>
        <v>1184</v>
      </c>
      <c r="J63" s="75">
        <f t="shared" si="2"/>
        <v>179</v>
      </c>
      <c r="K63" s="75">
        <f t="shared" si="3"/>
        <v>13.132795304475422</v>
      </c>
      <c r="L63" s="75">
        <f>VLOOKUP($A63,'Data Vlaue (Cr)'!$C:$FB,67)</f>
        <v>3203</v>
      </c>
      <c r="M63" s="75">
        <f>VLOOKUP($A63,'Data Vlaue (Cr)'!$C:$FB,68)</f>
        <v>1585</v>
      </c>
      <c r="N63" s="75">
        <f t="shared" si="4"/>
        <v>1618</v>
      </c>
      <c r="O63" s="75">
        <f t="shared" si="5"/>
        <v>50.515142054324066</v>
      </c>
      <c r="P63" s="75">
        <f>VLOOKUP($A63,'Data Vlaue (Cr)'!$C:$FB,119)</f>
        <v>0.76</v>
      </c>
      <c r="Q63" s="75">
        <f>VLOOKUP($A63,'Data Vlaue (Cr)'!$C:$FB,122)*100</f>
        <v>35.709999999999994</v>
      </c>
      <c r="R63" s="75">
        <f>VLOOKUP($A63,'Data Vlaue (Cr)'!$C:$FB,125)</f>
        <v>0.47</v>
      </c>
      <c r="S63" s="75">
        <f>VLOOKUP($A63,'Data Vlaue (Cr)'!$C:$FB,128)*100</f>
        <v>-2.08</v>
      </c>
    </row>
    <row r="64" spans="1:19" x14ac:dyDescent="0.25">
      <c r="A64" s="96" t="str">
        <f>'Data Vlaue (Cr)'!C55</f>
        <v>DIVISLAB</v>
      </c>
      <c r="B64" s="75">
        <f>VLOOKUP($A64,'Data Vlaue (Cr)'!$C:$FB,2)</f>
        <v>100</v>
      </c>
      <c r="C64" s="75">
        <f>VLOOKUP($A64,'Data Vlaue (Cr)'!$C:$FB,8)</f>
        <v>5826.5</v>
      </c>
      <c r="D64" s="75">
        <f>VLOOKUP($A64,'Data Vlaue (Cr)'!$C:$FB,4)</f>
        <v>5853</v>
      </c>
      <c r="E64" s="75">
        <f>VLOOKUP($A64,'Data Vlaue (Cr)'!$C:$FB,5)</f>
        <v>5887</v>
      </c>
      <c r="F64" s="75">
        <f t="shared" si="0"/>
        <v>26.5</v>
      </c>
      <c r="G64" s="75">
        <f t="shared" si="1"/>
        <v>-0.58089868443533232</v>
      </c>
      <c r="H64" s="75">
        <f>VLOOKUP($A64,'Data Vlaue (Cr)'!$C:$FB,99)</f>
        <v>2300</v>
      </c>
      <c r="I64" s="75">
        <f>VLOOKUP($A64,'Data Vlaue (Cr)'!$C:$FB,100)</f>
        <v>2269</v>
      </c>
      <c r="J64" s="75">
        <f t="shared" si="2"/>
        <v>31</v>
      </c>
      <c r="K64" s="75">
        <f t="shared" si="3"/>
        <v>1.3478260869565217</v>
      </c>
      <c r="L64" s="75">
        <f>VLOOKUP($A64,'Data Vlaue (Cr)'!$C:$FB,67)</f>
        <v>748</v>
      </c>
      <c r="M64" s="75">
        <f>VLOOKUP($A64,'Data Vlaue (Cr)'!$C:$FB,68)</f>
        <v>1583</v>
      </c>
      <c r="N64" s="75">
        <f t="shared" si="4"/>
        <v>-835</v>
      </c>
      <c r="O64" s="75">
        <f t="shared" si="5"/>
        <v>-111.63101604278074</v>
      </c>
      <c r="P64" s="75">
        <f>VLOOKUP($A64,'Data Vlaue (Cr)'!$C:$FB,119)</f>
        <v>0.6</v>
      </c>
      <c r="Q64" s="75">
        <f>VLOOKUP($A64,'Data Vlaue (Cr)'!$C:$FB,122)*100</f>
        <v>-7.6899999999999995</v>
      </c>
      <c r="R64" s="75">
        <f>VLOOKUP($A64,'Data Vlaue (Cr)'!$C:$FB,125)</f>
        <v>0.5</v>
      </c>
      <c r="S64" s="75">
        <f>VLOOKUP($A64,'Data Vlaue (Cr)'!$C:$FB,128)*100</f>
        <v>61.29</v>
      </c>
    </row>
    <row r="65" spans="1:19" x14ac:dyDescent="0.25">
      <c r="A65" s="96" t="str">
        <f>'Data Vlaue (Cr)'!C56</f>
        <v>DIXON</v>
      </c>
      <c r="B65" s="75">
        <f>VLOOKUP($A65,'Data Vlaue (Cr)'!$C:$FB,2)</f>
        <v>50</v>
      </c>
      <c r="C65" s="75">
        <f>VLOOKUP($A65,'Data Vlaue (Cr)'!$C:$FB,8)</f>
        <v>17041</v>
      </c>
      <c r="D65" s="75">
        <f>VLOOKUP($A65,'Data Vlaue (Cr)'!$C:$FB,4)</f>
        <v>17118</v>
      </c>
      <c r="E65" s="75">
        <f>VLOOKUP($A65,'Data Vlaue (Cr)'!$C:$FB,5)</f>
        <v>16670</v>
      </c>
      <c r="F65" s="75">
        <f t="shared" si="0"/>
        <v>77</v>
      </c>
      <c r="G65" s="75">
        <f t="shared" si="1"/>
        <v>2.6171281691786423</v>
      </c>
      <c r="H65" s="75">
        <f>VLOOKUP($A65,'Data Vlaue (Cr)'!$C:$FB,99)</f>
        <v>5449</v>
      </c>
      <c r="I65" s="75">
        <f>VLOOKUP($A65,'Data Vlaue (Cr)'!$C:$FB,100)</f>
        <v>5610</v>
      </c>
      <c r="J65" s="75">
        <f t="shared" si="2"/>
        <v>-161</v>
      </c>
      <c r="K65" s="75">
        <f t="shared" si="3"/>
        <v>-2.9546705817581209</v>
      </c>
      <c r="L65" s="75">
        <f>VLOOKUP($A65,'Data Vlaue (Cr)'!$C:$FB,67)</f>
        <v>7865</v>
      </c>
      <c r="M65" s="75">
        <f>VLOOKUP($A65,'Data Vlaue (Cr)'!$C:$FB,68)</f>
        <v>3579</v>
      </c>
      <c r="N65" s="75">
        <f t="shared" si="4"/>
        <v>4286</v>
      </c>
      <c r="O65" s="75">
        <f t="shared" si="5"/>
        <v>54.494596312778128</v>
      </c>
      <c r="P65" s="75">
        <f>VLOOKUP($A65,'Data Vlaue (Cr)'!$C:$FB,119)</f>
        <v>0.76</v>
      </c>
      <c r="Q65" s="75">
        <f>VLOOKUP($A65,'Data Vlaue (Cr)'!$C:$FB,122)*100</f>
        <v>22.58</v>
      </c>
      <c r="R65" s="75">
        <f>VLOOKUP($A65,'Data Vlaue (Cr)'!$C:$FB,125)</f>
        <v>0.42</v>
      </c>
      <c r="S65" s="75">
        <f>VLOOKUP($A65,'Data Vlaue (Cr)'!$C:$FB,128)*100</f>
        <v>-16</v>
      </c>
    </row>
    <row r="66" spans="1:19" x14ac:dyDescent="0.25">
      <c r="A66" s="96" t="str">
        <f>'Data Vlaue (Cr)'!C57</f>
        <v>DLF</v>
      </c>
      <c r="B66" s="75">
        <f>VLOOKUP($A66,'Data Vlaue (Cr)'!$C:$FB,2)</f>
        <v>825</v>
      </c>
      <c r="C66" s="75">
        <f>VLOOKUP($A66,'Data Vlaue (Cr)'!$C:$FB,8)</f>
        <v>735.25</v>
      </c>
      <c r="D66" s="75">
        <f>VLOOKUP($A66,'Data Vlaue (Cr)'!$C:$FB,4)</f>
        <v>737.65</v>
      </c>
      <c r="E66" s="75">
        <f>VLOOKUP($A66,'Data Vlaue (Cr)'!$C:$FB,5)</f>
        <v>731.85</v>
      </c>
      <c r="F66" s="75">
        <f t="shared" si="0"/>
        <v>2.3999999999999773</v>
      </c>
      <c r="G66" s="75">
        <f t="shared" si="1"/>
        <v>0.78628075645630779</v>
      </c>
      <c r="H66" s="75">
        <f>VLOOKUP($A66,'Data Vlaue (Cr)'!$C:$FB,99)</f>
        <v>5078</v>
      </c>
      <c r="I66" s="75">
        <f>VLOOKUP($A66,'Data Vlaue (Cr)'!$C:$FB,100)</f>
        <v>5025</v>
      </c>
      <c r="J66" s="75">
        <f t="shared" si="2"/>
        <v>53</v>
      </c>
      <c r="K66" s="75">
        <f t="shared" si="3"/>
        <v>1.0437179992122882</v>
      </c>
      <c r="L66" s="75">
        <f>VLOOKUP($A66,'Data Vlaue (Cr)'!$C:$FB,67)</f>
        <v>1664</v>
      </c>
      <c r="M66" s="75">
        <f>VLOOKUP($A66,'Data Vlaue (Cr)'!$C:$FB,68)</f>
        <v>1805</v>
      </c>
      <c r="N66" s="75">
        <f t="shared" si="4"/>
        <v>-141</v>
      </c>
      <c r="O66" s="75">
        <f t="shared" si="5"/>
        <v>-8.4735576923076934</v>
      </c>
      <c r="P66" s="75">
        <f>VLOOKUP($A66,'Data Vlaue (Cr)'!$C:$FB,119)</f>
        <v>0.66</v>
      </c>
      <c r="Q66" s="75">
        <f>VLOOKUP($A66,'Data Vlaue (Cr)'!$C:$FB,122)*100</f>
        <v>-2.94</v>
      </c>
      <c r="R66" s="75">
        <f>VLOOKUP($A66,'Data Vlaue (Cr)'!$C:$FB,125)</f>
        <v>0.3</v>
      </c>
      <c r="S66" s="75">
        <f>VLOOKUP($A66,'Data Vlaue (Cr)'!$C:$FB,128)*100</f>
        <v>-3.2300000000000004</v>
      </c>
    </row>
    <row r="67" spans="1:19" x14ac:dyDescent="0.25">
      <c r="A67" s="96" t="str">
        <f>'Data Vlaue (Cr)'!C58</f>
        <v>DMART</v>
      </c>
      <c r="B67" s="75">
        <f>VLOOKUP($A67,'Data Vlaue (Cr)'!$C:$FB,2)</f>
        <v>150</v>
      </c>
      <c r="C67" s="75">
        <f>VLOOKUP($A67,'Data Vlaue (Cr)'!$C:$FB,8)</f>
        <v>4301.6000000000004</v>
      </c>
      <c r="D67" s="75">
        <f>VLOOKUP($A67,'Data Vlaue (Cr)'!$C:$FB,4)</f>
        <v>4312.7</v>
      </c>
      <c r="E67" s="75">
        <f>VLOOKUP($A67,'Data Vlaue (Cr)'!$C:$FB,5)</f>
        <v>4410.8999999999996</v>
      </c>
      <c r="F67" s="75">
        <f t="shared" si="0"/>
        <v>11.099999999999454</v>
      </c>
      <c r="G67" s="75">
        <f t="shared" si="1"/>
        <v>-2.2769958494678466</v>
      </c>
      <c r="H67" s="75">
        <f>VLOOKUP($A67,'Data Vlaue (Cr)'!$C:$FB,99)</f>
        <v>3741</v>
      </c>
      <c r="I67" s="75">
        <f>VLOOKUP($A67,'Data Vlaue (Cr)'!$C:$FB,100)</f>
        <v>3354</v>
      </c>
      <c r="J67" s="75">
        <f t="shared" si="2"/>
        <v>387</v>
      </c>
      <c r="K67" s="75">
        <f t="shared" si="3"/>
        <v>10.344827586206897</v>
      </c>
      <c r="L67" s="75">
        <f>VLOOKUP($A67,'Data Vlaue (Cr)'!$C:$FB,67)</f>
        <v>4305</v>
      </c>
      <c r="M67" s="75">
        <f>VLOOKUP($A67,'Data Vlaue (Cr)'!$C:$FB,68)</f>
        <v>1437</v>
      </c>
      <c r="N67" s="75">
        <f t="shared" si="4"/>
        <v>2868</v>
      </c>
      <c r="O67" s="75">
        <f t="shared" si="5"/>
        <v>66.620209059233446</v>
      </c>
      <c r="P67" s="75">
        <f>VLOOKUP($A67,'Data Vlaue (Cr)'!$C:$FB,119)</f>
        <v>0.62</v>
      </c>
      <c r="Q67" s="75">
        <f>VLOOKUP($A67,'Data Vlaue (Cr)'!$C:$FB,122)*100</f>
        <v>-7.46</v>
      </c>
      <c r="R67" s="75">
        <f>VLOOKUP($A67,'Data Vlaue (Cr)'!$C:$FB,125)</f>
        <v>0.62</v>
      </c>
      <c r="S67" s="75">
        <f>VLOOKUP($A67,'Data Vlaue (Cr)'!$C:$FB,128)*100</f>
        <v>1.6400000000000001</v>
      </c>
    </row>
    <row r="68" spans="1:19" x14ac:dyDescent="0.25">
      <c r="A68" s="96" t="str">
        <f>'Data Vlaue (Cr)'!C59</f>
        <v>DRREDDY</v>
      </c>
      <c r="B68" s="75">
        <f>VLOOKUP($A68,'Data Vlaue (Cr)'!$C:$FB,2)</f>
        <v>625</v>
      </c>
      <c r="C68" s="75">
        <f>VLOOKUP($A68,'Data Vlaue (Cr)'!$C:$FB,8)</f>
        <v>1248.5999999999999</v>
      </c>
      <c r="D68" s="75">
        <f>VLOOKUP($A68,'Data Vlaue (Cr)'!$C:$FB,4)</f>
        <v>1255</v>
      </c>
      <c r="E68" s="75">
        <f>VLOOKUP($A68,'Data Vlaue (Cr)'!$C:$FB,5)</f>
        <v>1254.7</v>
      </c>
      <c r="F68" s="75">
        <f t="shared" si="0"/>
        <v>6.4000000000000909</v>
      </c>
      <c r="G68" s="75">
        <f t="shared" si="1"/>
        <v>2.3904382470115899E-2</v>
      </c>
      <c r="H68" s="75">
        <f>VLOOKUP($A68,'Data Vlaue (Cr)'!$C:$FB,99)</f>
        <v>2337</v>
      </c>
      <c r="I68" s="75">
        <f>VLOOKUP($A68,'Data Vlaue (Cr)'!$C:$FB,100)</f>
        <v>2221</v>
      </c>
      <c r="J68" s="75">
        <f t="shared" si="2"/>
        <v>116</v>
      </c>
      <c r="K68" s="75">
        <f t="shared" si="3"/>
        <v>4.9636285836542573</v>
      </c>
      <c r="L68" s="75">
        <f>VLOOKUP($A68,'Data Vlaue (Cr)'!$C:$FB,67)</f>
        <v>841</v>
      </c>
      <c r="M68" s="75">
        <f>VLOOKUP($A68,'Data Vlaue (Cr)'!$C:$FB,68)</f>
        <v>878</v>
      </c>
      <c r="N68" s="75">
        <f t="shared" si="4"/>
        <v>-37</v>
      </c>
      <c r="O68" s="75">
        <f t="shared" si="5"/>
        <v>-4.3995243757431624</v>
      </c>
      <c r="P68" s="75">
        <f>VLOOKUP($A68,'Data Vlaue (Cr)'!$C:$FB,119)</f>
        <v>0.65</v>
      </c>
      <c r="Q68" s="75">
        <f>VLOOKUP($A68,'Data Vlaue (Cr)'!$C:$FB,122)*100</f>
        <v>-15.58</v>
      </c>
      <c r="R68" s="75">
        <f>VLOOKUP($A68,'Data Vlaue (Cr)'!$C:$FB,125)</f>
        <v>0.44</v>
      </c>
      <c r="S68" s="75">
        <f>VLOOKUP($A68,'Data Vlaue (Cr)'!$C:$FB,128)*100</f>
        <v>-12</v>
      </c>
    </row>
    <row r="69" spans="1:19" x14ac:dyDescent="0.25">
      <c r="A69" s="96" t="str">
        <f>'Data Vlaue (Cr)'!C60</f>
        <v>EICHERMOT</v>
      </c>
      <c r="B69" s="75">
        <f>VLOOKUP($A69,'Data Vlaue (Cr)'!$C:$FB,2)</f>
        <v>175</v>
      </c>
      <c r="C69" s="75">
        <f>VLOOKUP($A69,'Data Vlaue (Cr)'!$C:$FB,8)</f>
        <v>6880</v>
      </c>
      <c r="D69" s="75">
        <f>VLOOKUP($A69,'Data Vlaue (Cr)'!$C:$FB,4)</f>
        <v>6919.5</v>
      </c>
      <c r="E69" s="75">
        <f>VLOOKUP($A69,'Data Vlaue (Cr)'!$C:$FB,5)</f>
        <v>6965</v>
      </c>
      <c r="F69" s="75">
        <f t="shared" si="0"/>
        <v>39.5</v>
      </c>
      <c r="G69" s="75">
        <f t="shared" si="1"/>
        <v>-0.6575619625695498</v>
      </c>
      <c r="H69" s="75">
        <f>VLOOKUP($A69,'Data Vlaue (Cr)'!$C:$FB,99)</f>
        <v>4697</v>
      </c>
      <c r="I69" s="75">
        <f>VLOOKUP($A69,'Data Vlaue (Cr)'!$C:$FB,100)</f>
        <v>4727</v>
      </c>
      <c r="J69" s="75">
        <f t="shared" si="2"/>
        <v>-30</v>
      </c>
      <c r="K69" s="75">
        <f t="shared" si="3"/>
        <v>-0.63870555673834362</v>
      </c>
      <c r="L69" s="75">
        <f>VLOOKUP($A69,'Data Vlaue (Cr)'!$C:$FB,67)</f>
        <v>2742</v>
      </c>
      <c r="M69" s="75">
        <f>VLOOKUP($A69,'Data Vlaue (Cr)'!$C:$FB,68)</f>
        <v>6640</v>
      </c>
      <c r="N69" s="75">
        <f t="shared" si="4"/>
        <v>-3898</v>
      </c>
      <c r="O69" s="75">
        <f t="shared" si="5"/>
        <v>-142.15900802334062</v>
      </c>
      <c r="P69" s="75">
        <f>VLOOKUP($A69,'Data Vlaue (Cr)'!$C:$FB,119)</f>
        <v>0.76</v>
      </c>
      <c r="Q69" s="75">
        <f>VLOOKUP($A69,'Data Vlaue (Cr)'!$C:$FB,122)*100</f>
        <v>-9.5200000000000014</v>
      </c>
      <c r="R69" s="75">
        <f>VLOOKUP($A69,'Data Vlaue (Cr)'!$C:$FB,125)</f>
        <v>0.43</v>
      </c>
      <c r="S69" s="75">
        <f>VLOOKUP($A69,'Data Vlaue (Cr)'!$C:$FB,128)*100</f>
        <v>-46.25</v>
      </c>
    </row>
    <row r="70" spans="1:19" x14ac:dyDescent="0.25">
      <c r="A70" s="96" t="str">
        <f>'Data Vlaue (Cr)'!C61</f>
        <v>ETERNAL</v>
      </c>
      <c r="B70" s="75">
        <f>VLOOKUP($A70,'Data Vlaue (Cr)'!$C:$FB,2)</f>
        <v>2425</v>
      </c>
      <c r="C70" s="75">
        <f>VLOOKUP($A70,'Data Vlaue (Cr)'!$C:$FB,8)</f>
        <v>335.1</v>
      </c>
      <c r="D70" s="75">
        <f>VLOOKUP($A70,'Data Vlaue (Cr)'!$C:$FB,4)</f>
        <v>337.15</v>
      </c>
      <c r="E70" s="75">
        <f>VLOOKUP($A70,'Data Vlaue (Cr)'!$C:$FB,5)</f>
        <v>330.55</v>
      </c>
      <c r="F70" s="75">
        <f t="shared" si="0"/>
        <v>2.0499999999999545</v>
      </c>
      <c r="G70" s="75">
        <f t="shared" si="1"/>
        <v>1.9575856443719313</v>
      </c>
      <c r="H70" s="75">
        <f>VLOOKUP($A70,'Data Vlaue (Cr)'!$C:$FB,99)</f>
        <v>11388</v>
      </c>
      <c r="I70" s="75">
        <f>VLOOKUP($A70,'Data Vlaue (Cr)'!$C:$FB,100)</f>
        <v>11312</v>
      </c>
      <c r="J70" s="75">
        <f t="shared" si="2"/>
        <v>76</v>
      </c>
      <c r="K70" s="75">
        <f t="shared" si="3"/>
        <v>0.66736916051984541</v>
      </c>
      <c r="L70" s="75">
        <f>VLOOKUP($A70,'Data Vlaue (Cr)'!$C:$FB,67)</f>
        <v>3818</v>
      </c>
      <c r="M70" s="75">
        <f>VLOOKUP($A70,'Data Vlaue (Cr)'!$C:$FB,68)</f>
        <v>3131</v>
      </c>
      <c r="N70" s="75">
        <f t="shared" si="4"/>
        <v>687</v>
      </c>
      <c r="O70" s="75">
        <f t="shared" si="5"/>
        <v>17.993713986380303</v>
      </c>
      <c r="P70" s="75">
        <f>VLOOKUP($A70,'Data Vlaue (Cr)'!$C:$FB,119)</f>
        <v>0.73</v>
      </c>
      <c r="Q70" s="75">
        <f>VLOOKUP($A70,'Data Vlaue (Cr)'!$C:$FB,122)*100</f>
        <v>5.8000000000000007</v>
      </c>
      <c r="R70" s="75">
        <f>VLOOKUP($A70,'Data Vlaue (Cr)'!$C:$FB,125)</f>
        <v>0.52</v>
      </c>
      <c r="S70" s="75">
        <f>VLOOKUP($A70,'Data Vlaue (Cr)'!$C:$FB,128)*100</f>
        <v>-1.8900000000000001</v>
      </c>
    </row>
    <row r="71" spans="1:19" x14ac:dyDescent="0.25">
      <c r="A71" s="96" t="str">
        <f>'Data Vlaue (Cr)'!C62</f>
        <v>EXIDEIND</v>
      </c>
      <c r="B71" s="75">
        <f>VLOOKUP($A71,'Data Vlaue (Cr)'!$C:$FB,2)</f>
        <v>1800</v>
      </c>
      <c r="C71" s="75">
        <f>VLOOKUP($A71,'Data Vlaue (Cr)'!$C:$FB,8)</f>
        <v>399.95</v>
      </c>
      <c r="D71" s="75">
        <f>VLOOKUP($A71,'Data Vlaue (Cr)'!$C:$FB,4)</f>
        <v>401.45</v>
      </c>
      <c r="E71" s="75">
        <f>VLOOKUP($A71,'Data Vlaue (Cr)'!$C:$FB,5)</f>
        <v>399.35</v>
      </c>
      <c r="F71" s="75">
        <f t="shared" si="0"/>
        <v>1.5</v>
      </c>
      <c r="G71" s="75">
        <f t="shared" si="1"/>
        <v>0.52310374891019207</v>
      </c>
      <c r="H71" s="75">
        <f>VLOOKUP($A71,'Data Vlaue (Cr)'!$C:$FB,99)</f>
        <v>1844</v>
      </c>
      <c r="I71" s="75">
        <f>VLOOKUP($A71,'Data Vlaue (Cr)'!$C:$FB,100)</f>
        <v>1824</v>
      </c>
      <c r="J71" s="75">
        <f t="shared" si="2"/>
        <v>20</v>
      </c>
      <c r="K71" s="75">
        <f t="shared" si="3"/>
        <v>1.0845986984815619</v>
      </c>
      <c r="L71" s="75">
        <f>VLOOKUP($A71,'Data Vlaue (Cr)'!$C:$FB,67)</f>
        <v>454</v>
      </c>
      <c r="M71" s="75">
        <f>VLOOKUP($A71,'Data Vlaue (Cr)'!$C:$FB,68)</f>
        <v>531</v>
      </c>
      <c r="N71" s="75">
        <f t="shared" si="4"/>
        <v>-77</v>
      </c>
      <c r="O71" s="75">
        <f t="shared" si="5"/>
        <v>-16.960352422907491</v>
      </c>
      <c r="P71" s="75">
        <f>VLOOKUP($A71,'Data Vlaue (Cr)'!$C:$FB,119)</f>
        <v>0.75</v>
      </c>
      <c r="Q71" s="75">
        <f>VLOOKUP($A71,'Data Vlaue (Cr)'!$C:$FB,122)*100</f>
        <v>1.35</v>
      </c>
      <c r="R71" s="75">
        <f>VLOOKUP($A71,'Data Vlaue (Cr)'!$C:$FB,125)</f>
        <v>0.37</v>
      </c>
      <c r="S71" s="75">
        <f>VLOOKUP($A71,'Data Vlaue (Cr)'!$C:$FB,128)*100</f>
        <v>-2.63</v>
      </c>
    </row>
    <row r="72" spans="1:19" x14ac:dyDescent="0.25">
      <c r="A72" s="96" t="str">
        <f>'Data Vlaue (Cr)'!C63</f>
        <v>FEDERALBNK</v>
      </c>
      <c r="B72" s="75">
        <f>VLOOKUP($A72,'Data Vlaue (Cr)'!$C:$FB,2)</f>
        <v>5000</v>
      </c>
      <c r="C72" s="75">
        <f>VLOOKUP($A72,'Data Vlaue (Cr)'!$C:$FB,8)</f>
        <v>193.66</v>
      </c>
      <c r="D72" s="75">
        <f>VLOOKUP($A72,'Data Vlaue (Cr)'!$C:$FB,4)</f>
        <v>194.7</v>
      </c>
      <c r="E72" s="75">
        <f>VLOOKUP($A72,'Data Vlaue (Cr)'!$C:$FB,5)</f>
        <v>193.59</v>
      </c>
      <c r="F72" s="75">
        <f t="shared" si="0"/>
        <v>1.039999999999992</v>
      </c>
      <c r="G72" s="75">
        <f t="shared" si="1"/>
        <v>0.5701078582434439</v>
      </c>
      <c r="H72" s="75">
        <f>VLOOKUP($A72,'Data Vlaue (Cr)'!$C:$FB,99)</f>
        <v>3195</v>
      </c>
      <c r="I72" s="75">
        <f>VLOOKUP($A72,'Data Vlaue (Cr)'!$C:$FB,100)</f>
        <v>2843</v>
      </c>
      <c r="J72" s="75">
        <f t="shared" si="2"/>
        <v>352</v>
      </c>
      <c r="K72" s="75">
        <f t="shared" si="3"/>
        <v>11.017214397496087</v>
      </c>
      <c r="L72" s="75">
        <f>VLOOKUP($A72,'Data Vlaue (Cr)'!$C:$FB,67)</f>
        <v>2462</v>
      </c>
      <c r="M72" s="75">
        <f>VLOOKUP($A72,'Data Vlaue (Cr)'!$C:$FB,68)</f>
        <v>1206</v>
      </c>
      <c r="N72" s="75">
        <f t="shared" si="4"/>
        <v>1256</v>
      </c>
      <c r="O72" s="75">
        <f t="shared" si="5"/>
        <v>51.015434606011375</v>
      </c>
      <c r="P72" s="75">
        <f>VLOOKUP($A72,'Data Vlaue (Cr)'!$C:$FB,119)</f>
        <v>0.69</v>
      </c>
      <c r="Q72" s="75">
        <f>VLOOKUP($A72,'Data Vlaue (Cr)'!$C:$FB,122)*100</f>
        <v>-17.86</v>
      </c>
      <c r="R72" s="75">
        <f>VLOOKUP($A72,'Data Vlaue (Cr)'!$C:$FB,125)</f>
        <v>0.32</v>
      </c>
      <c r="S72" s="75">
        <f>VLOOKUP($A72,'Data Vlaue (Cr)'!$C:$FB,128)*100</f>
        <v>-37.25</v>
      </c>
    </row>
    <row r="73" spans="1:19" x14ac:dyDescent="0.25">
      <c r="A73" s="96" t="str">
        <f>'Data Vlaue (Cr)'!C64</f>
        <v>FINNIFTY</v>
      </c>
      <c r="B73" s="75">
        <f>VLOOKUP($A73,'Data Vlaue (Cr)'!$C:$FB,2)</f>
        <v>65</v>
      </c>
      <c r="C73" s="75">
        <f>VLOOKUP($A73,'Data Vlaue (Cr)'!$C:$FB,8)</f>
        <v>26712.05</v>
      </c>
      <c r="D73" s="75">
        <f>VLOOKUP($A73,'Data Vlaue (Cr)'!$C:$FB,4)</f>
        <v>26798.6</v>
      </c>
      <c r="E73" s="75">
        <f>VLOOKUP($A73,'Data Vlaue (Cr)'!$C:$FB,5)</f>
        <v>26549.7</v>
      </c>
      <c r="F73" s="75">
        <f t="shared" si="0"/>
        <v>86.549999999999272</v>
      </c>
      <c r="G73" s="75">
        <f t="shared" si="1"/>
        <v>0.92877986163455495</v>
      </c>
      <c r="H73" s="75">
        <f>VLOOKUP($A73,'Data Vlaue (Cr)'!$C:$FB,99)</f>
        <v>3502</v>
      </c>
      <c r="I73" s="75">
        <f>VLOOKUP($A73,'Data Vlaue (Cr)'!$C:$FB,100)</f>
        <v>1756</v>
      </c>
      <c r="J73" s="75">
        <f t="shared" si="2"/>
        <v>1746</v>
      </c>
      <c r="K73" s="75">
        <f t="shared" si="3"/>
        <v>49.857224443175326</v>
      </c>
      <c r="L73" s="75">
        <f>VLOOKUP($A73,'Data Vlaue (Cr)'!$C:$FB,67)</f>
        <v>10287</v>
      </c>
      <c r="M73" s="75">
        <f>VLOOKUP($A73,'Data Vlaue (Cr)'!$C:$FB,68)</f>
        <v>6111</v>
      </c>
      <c r="N73" s="75">
        <f t="shared" si="4"/>
        <v>4176</v>
      </c>
      <c r="O73" s="75">
        <f t="shared" si="5"/>
        <v>40.594925634295713</v>
      </c>
      <c r="P73" s="75">
        <f>VLOOKUP($A73,'Data Vlaue (Cr)'!$C:$FB,119)</f>
        <v>0.71</v>
      </c>
      <c r="Q73" s="75">
        <f>VLOOKUP($A73,'Data Vlaue (Cr)'!$C:$FB,122)*100</f>
        <v>22.41</v>
      </c>
      <c r="R73" s="75">
        <f>VLOOKUP($A73,'Data Vlaue (Cr)'!$C:$FB,125)</f>
        <v>0.62</v>
      </c>
      <c r="S73" s="75">
        <f>VLOOKUP($A73,'Data Vlaue (Cr)'!$C:$FB,128)*100</f>
        <v>-6.0600000000000005</v>
      </c>
    </row>
    <row r="74" spans="1:19" x14ac:dyDescent="0.25">
      <c r="A74" s="96" t="str">
        <f>'Data Vlaue (Cr)'!C65</f>
        <v>FORTIS</v>
      </c>
      <c r="B74" s="75">
        <f>VLOOKUP($A74,'Data Vlaue (Cr)'!$C:$FB,2)</f>
        <v>775</v>
      </c>
      <c r="C74" s="75">
        <f>VLOOKUP($A74,'Data Vlaue (Cr)'!$C:$FB,8)</f>
        <v>1053.9000000000001</v>
      </c>
      <c r="D74" s="75">
        <f>VLOOKUP($A74,'Data Vlaue (Cr)'!$C:$FB,4)</f>
        <v>1057.45</v>
      </c>
      <c r="E74" s="75">
        <f>VLOOKUP($A74,'Data Vlaue (Cr)'!$C:$FB,5)</f>
        <v>986.8</v>
      </c>
      <c r="F74" s="75">
        <f t="shared" si="0"/>
        <v>3.5499999999999545</v>
      </c>
      <c r="G74" s="75">
        <f t="shared" si="1"/>
        <v>6.6811669582486255</v>
      </c>
      <c r="H74" s="75">
        <f>VLOOKUP($A74,'Data Vlaue (Cr)'!$C:$FB,99)</f>
        <v>1682</v>
      </c>
      <c r="I74" s="75">
        <f>VLOOKUP($A74,'Data Vlaue (Cr)'!$C:$FB,100)</f>
        <v>1118</v>
      </c>
      <c r="J74" s="75">
        <f t="shared" si="2"/>
        <v>564</v>
      </c>
      <c r="K74" s="75">
        <f t="shared" si="3"/>
        <v>33.531510107015457</v>
      </c>
      <c r="L74" s="75">
        <f>VLOOKUP($A74,'Data Vlaue (Cr)'!$C:$FB,67)</f>
        <v>8357</v>
      </c>
      <c r="M74" s="75">
        <f>VLOOKUP($A74,'Data Vlaue (Cr)'!$C:$FB,68)</f>
        <v>904</v>
      </c>
      <c r="N74" s="75">
        <f t="shared" si="4"/>
        <v>7453</v>
      </c>
      <c r="O74" s="75">
        <f t="shared" si="5"/>
        <v>89.182721072155076</v>
      </c>
      <c r="P74" s="75">
        <f>VLOOKUP($A74,'Data Vlaue (Cr)'!$C:$FB,119)</f>
        <v>0.7</v>
      </c>
      <c r="Q74" s="75">
        <f>VLOOKUP($A74,'Data Vlaue (Cr)'!$C:$FB,122)*100</f>
        <v>20.69</v>
      </c>
      <c r="R74" s="75">
        <f>VLOOKUP($A74,'Data Vlaue (Cr)'!$C:$FB,125)</f>
        <v>0.35</v>
      </c>
      <c r="S74" s="75">
        <f>VLOOKUP($A74,'Data Vlaue (Cr)'!$C:$FB,128)*100</f>
        <v>-44.440000000000005</v>
      </c>
    </row>
    <row r="75" spans="1:19" x14ac:dyDescent="0.25">
      <c r="A75" s="96" t="str">
        <f>'Data Vlaue (Cr)'!C66</f>
        <v>GAIL</v>
      </c>
      <c r="B75" s="75">
        <f>VLOOKUP($A75,'Data Vlaue (Cr)'!$C:$FB,2)</f>
        <v>3150</v>
      </c>
      <c r="C75" s="75">
        <f>VLOOKUP($A75,'Data Vlaue (Cr)'!$C:$FB,8)</f>
        <v>176.62</v>
      </c>
      <c r="D75" s="75">
        <f>VLOOKUP($A75,'Data Vlaue (Cr)'!$C:$FB,4)</f>
        <v>177.62</v>
      </c>
      <c r="E75" s="75">
        <f>VLOOKUP($A75,'Data Vlaue (Cr)'!$C:$FB,5)</f>
        <v>178.5</v>
      </c>
      <c r="F75" s="75">
        <f t="shared" si="0"/>
        <v>1</v>
      </c>
      <c r="G75" s="75">
        <f>(D75-E75)/D75*100</f>
        <v>-0.49543970273617577</v>
      </c>
      <c r="H75" s="75">
        <f>VLOOKUP($A75,'Data Vlaue (Cr)'!$C:$FB,99)</f>
        <v>2875</v>
      </c>
      <c r="I75" s="75">
        <f>VLOOKUP($A75,'Data Vlaue (Cr)'!$C:$FB,100)</f>
        <v>2758</v>
      </c>
      <c r="J75" s="75">
        <f t="shared" si="2"/>
        <v>117</v>
      </c>
      <c r="K75" s="75">
        <f t="shared" si="3"/>
        <v>4.0695652173913039</v>
      </c>
      <c r="L75" s="75">
        <f>VLOOKUP($A75,'Data Vlaue (Cr)'!$C:$FB,67)</f>
        <v>836</v>
      </c>
      <c r="M75" s="75">
        <f>VLOOKUP($A75,'Data Vlaue (Cr)'!$C:$FB,68)</f>
        <v>740</v>
      </c>
      <c r="N75" s="75">
        <f t="shared" si="4"/>
        <v>96</v>
      </c>
      <c r="O75" s="75">
        <f t="shared" si="5"/>
        <v>11.483253588516746</v>
      </c>
      <c r="P75" s="75">
        <f>VLOOKUP($A75,'Data Vlaue (Cr)'!$C:$FB,119)</f>
        <v>0.65</v>
      </c>
      <c r="Q75" s="75">
        <f>VLOOKUP($A75,'Data Vlaue (Cr)'!$C:$FB,122)*100</f>
        <v>-8.4500000000000011</v>
      </c>
      <c r="R75" s="75">
        <f>VLOOKUP($A75,'Data Vlaue (Cr)'!$C:$FB,125)</f>
        <v>0.25</v>
      </c>
      <c r="S75" s="75">
        <f>VLOOKUP($A75,'Data Vlaue (Cr)'!$C:$FB,128)*100</f>
        <v>-19.350000000000001</v>
      </c>
    </row>
    <row r="76" spans="1:19" x14ac:dyDescent="0.25">
      <c r="A76" s="96" t="str">
        <f>'Data Vlaue (Cr)'!C67</f>
        <v>GLENMARK</v>
      </c>
      <c r="B76" s="75">
        <f>VLOOKUP($A76,'Data Vlaue (Cr)'!$C:$FB,2)</f>
        <v>375</v>
      </c>
      <c r="C76" s="75">
        <f>VLOOKUP($A76,'Data Vlaue (Cr)'!$C:$FB,8)</f>
        <v>1971.2</v>
      </c>
      <c r="D76" s="75">
        <f>VLOOKUP($A76,'Data Vlaue (Cr)'!$C:$FB,4)</f>
        <v>1978.4</v>
      </c>
      <c r="E76" s="75">
        <f>VLOOKUP($A76,'Data Vlaue (Cr)'!$C:$FB,5)</f>
        <v>1988</v>
      </c>
      <c r="F76" s="75">
        <f t="shared" ref="F76:F139" si="6">D76-C76</f>
        <v>7.2000000000000455</v>
      </c>
      <c r="G76" s="75">
        <f t="shared" ref="G76:G139" si="7">(D76-E76)/D76*100</f>
        <v>-0.48524059846340017</v>
      </c>
      <c r="H76" s="75">
        <f>VLOOKUP($A76,'Data Vlaue (Cr)'!$C:$FB,99)</f>
        <v>1908</v>
      </c>
      <c r="I76" s="75">
        <f>VLOOKUP($A76,'Data Vlaue (Cr)'!$C:$FB,100)</f>
        <v>1900</v>
      </c>
      <c r="J76" s="75">
        <f t="shared" ref="J76:J139" si="8">H76-I76</f>
        <v>8</v>
      </c>
      <c r="K76" s="75">
        <f t="shared" ref="K76:K139" si="9">J76/H76*100</f>
        <v>0.41928721174004197</v>
      </c>
      <c r="L76" s="75">
        <f>VLOOKUP($A76,'Data Vlaue (Cr)'!$C:$FB,67)</f>
        <v>381</v>
      </c>
      <c r="M76" s="75">
        <f>VLOOKUP($A76,'Data Vlaue (Cr)'!$C:$FB,68)</f>
        <v>560</v>
      </c>
      <c r="N76" s="75">
        <f t="shared" ref="N76:N139" si="10">L76-M76</f>
        <v>-179</v>
      </c>
      <c r="O76" s="75">
        <f t="shared" ref="O76:O139" si="11">N76/L76*100</f>
        <v>-46.981627296587924</v>
      </c>
      <c r="P76" s="75">
        <f>VLOOKUP($A76,'Data Vlaue (Cr)'!$C:$FB,119)</f>
        <v>0.69</v>
      </c>
      <c r="Q76" s="75">
        <f>VLOOKUP($A76,'Data Vlaue (Cr)'!$C:$FB,122)*100</f>
        <v>-5.48</v>
      </c>
      <c r="R76" s="75">
        <f>VLOOKUP($A76,'Data Vlaue (Cr)'!$C:$FB,125)</f>
        <v>0.38</v>
      </c>
      <c r="S76" s="75">
        <f>VLOOKUP($A76,'Data Vlaue (Cr)'!$C:$FB,128)*100</f>
        <v>11.76</v>
      </c>
    </row>
    <row r="77" spans="1:19" x14ac:dyDescent="0.25">
      <c r="A77" s="96" t="str">
        <f>'Data Vlaue (Cr)'!C68</f>
        <v>GMRAIRPORT</v>
      </c>
      <c r="B77" s="75">
        <f>VLOOKUP($A77,'Data Vlaue (Cr)'!$C:$FB,2)</f>
        <v>6975</v>
      </c>
      <c r="C77" s="75">
        <f>VLOOKUP($A77,'Data Vlaue (Cr)'!$C:$FB,8)</f>
        <v>88.7</v>
      </c>
      <c r="D77" s="75">
        <f>VLOOKUP($A77,'Data Vlaue (Cr)'!$C:$FB,4)</f>
        <v>89</v>
      </c>
      <c r="E77" s="75">
        <f>VLOOKUP($A77,'Data Vlaue (Cr)'!$C:$FB,5)</f>
        <v>89.64</v>
      </c>
      <c r="F77" s="75">
        <f t="shared" si="6"/>
        <v>0.29999999999999716</v>
      </c>
      <c r="G77" s="75">
        <f t="shared" si="7"/>
        <v>-0.71910112359550626</v>
      </c>
      <c r="H77" s="75">
        <f>VLOOKUP($A77,'Data Vlaue (Cr)'!$C:$FB,99)</f>
        <v>2696</v>
      </c>
      <c r="I77" s="75">
        <f>VLOOKUP($A77,'Data Vlaue (Cr)'!$C:$FB,100)</f>
        <v>2636</v>
      </c>
      <c r="J77" s="75">
        <f t="shared" si="8"/>
        <v>60</v>
      </c>
      <c r="K77" s="75">
        <f t="shared" si="9"/>
        <v>2.2255192878338281</v>
      </c>
      <c r="L77" s="75">
        <f>VLOOKUP($A77,'Data Vlaue (Cr)'!$C:$FB,67)</f>
        <v>706</v>
      </c>
      <c r="M77" s="75">
        <f>VLOOKUP($A77,'Data Vlaue (Cr)'!$C:$FB,68)</f>
        <v>522</v>
      </c>
      <c r="N77" s="75">
        <f t="shared" si="10"/>
        <v>184</v>
      </c>
      <c r="O77" s="75">
        <f t="shared" si="11"/>
        <v>26.062322946175637</v>
      </c>
      <c r="P77" s="75">
        <f>VLOOKUP($A77,'Data Vlaue (Cr)'!$C:$FB,119)</f>
        <v>0.51</v>
      </c>
      <c r="Q77" s="75">
        <f>VLOOKUP($A77,'Data Vlaue (Cr)'!$C:$FB,122)*100</f>
        <v>-3.7699999999999996</v>
      </c>
      <c r="R77" s="75">
        <f>VLOOKUP($A77,'Data Vlaue (Cr)'!$C:$FB,125)</f>
        <v>0.37</v>
      </c>
      <c r="S77" s="75">
        <f>VLOOKUP($A77,'Data Vlaue (Cr)'!$C:$FB,128)*100</f>
        <v>-5.13</v>
      </c>
    </row>
    <row r="78" spans="1:19" x14ac:dyDescent="0.25">
      <c r="A78" s="96" t="str">
        <f>'Data Vlaue (Cr)'!C69</f>
        <v>GODREJCP</v>
      </c>
      <c r="B78" s="75">
        <f>VLOOKUP($A78,'Data Vlaue (Cr)'!$C:$FB,2)</f>
        <v>500</v>
      </c>
      <c r="C78" s="75">
        <f>VLOOKUP($A78,'Data Vlaue (Cr)'!$C:$FB,8)</f>
        <v>1147.5999999999999</v>
      </c>
      <c r="D78" s="75">
        <f>VLOOKUP($A78,'Data Vlaue (Cr)'!$C:$FB,4)</f>
        <v>1150</v>
      </c>
      <c r="E78" s="75">
        <f>VLOOKUP($A78,'Data Vlaue (Cr)'!$C:$FB,5)</f>
        <v>1145.3</v>
      </c>
      <c r="F78" s="75">
        <f t="shared" si="6"/>
        <v>2.4000000000000909</v>
      </c>
      <c r="G78" s="75">
        <f t="shared" si="7"/>
        <v>0.40869565217391701</v>
      </c>
      <c r="H78" s="75">
        <f>VLOOKUP($A78,'Data Vlaue (Cr)'!$C:$FB,99)</f>
        <v>1790</v>
      </c>
      <c r="I78" s="75">
        <f>VLOOKUP($A78,'Data Vlaue (Cr)'!$C:$FB,100)</f>
        <v>1736</v>
      </c>
      <c r="J78" s="75">
        <f t="shared" si="8"/>
        <v>54</v>
      </c>
      <c r="K78" s="75">
        <f t="shared" si="9"/>
        <v>3.016759776536313</v>
      </c>
      <c r="L78" s="75">
        <f>VLOOKUP($A78,'Data Vlaue (Cr)'!$C:$FB,67)</f>
        <v>504</v>
      </c>
      <c r="M78" s="75">
        <f>VLOOKUP($A78,'Data Vlaue (Cr)'!$C:$FB,68)</f>
        <v>362</v>
      </c>
      <c r="N78" s="75">
        <f t="shared" si="10"/>
        <v>142</v>
      </c>
      <c r="O78" s="75">
        <f t="shared" si="11"/>
        <v>28.174603174603174</v>
      </c>
      <c r="P78" s="75">
        <f>VLOOKUP($A78,'Data Vlaue (Cr)'!$C:$FB,119)</f>
        <v>0.71</v>
      </c>
      <c r="Q78" s="75">
        <f>VLOOKUP($A78,'Data Vlaue (Cr)'!$C:$FB,122)*100</f>
        <v>9.2299999999999986</v>
      </c>
      <c r="R78" s="75">
        <f>VLOOKUP($A78,'Data Vlaue (Cr)'!$C:$FB,125)</f>
        <v>0.51</v>
      </c>
      <c r="S78" s="75">
        <f>VLOOKUP($A78,'Data Vlaue (Cr)'!$C:$FB,128)*100</f>
        <v>15.909999999999998</v>
      </c>
    </row>
    <row r="79" spans="1:19" x14ac:dyDescent="0.25">
      <c r="A79" s="96" t="str">
        <f>'Data Vlaue (Cr)'!C70</f>
        <v>GODREJPROP</v>
      </c>
      <c r="B79" s="75">
        <f>VLOOKUP($A79,'Data Vlaue (Cr)'!$C:$FB,2)</f>
        <v>275</v>
      </c>
      <c r="C79" s="75">
        <f>VLOOKUP($A79,'Data Vlaue (Cr)'!$C:$FB,8)</f>
        <v>2056.5</v>
      </c>
      <c r="D79" s="75">
        <f>VLOOKUP($A79,'Data Vlaue (Cr)'!$C:$FB,4)</f>
        <v>2065</v>
      </c>
      <c r="E79" s="75">
        <f>VLOOKUP($A79,'Data Vlaue (Cr)'!$C:$FB,5)</f>
        <v>2040.7</v>
      </c>
      <c r="F79" s="75">
        <f t="shared" si="6"/>
        <v>8.5</v>
      </c>
      <c r="G79" s="75">
        <f t="shared" si="7"/>
        <v>1.1767554479418862</v>
      </c>
      <c r="H79" s="75">
        <f>VLOOKUP($A79,'Data Vlaue (Cr)'!$C:$FB,99)</f>
        <v>2868</v>
      </c>
      <c r="I79" s="75">
        <f>VLOOKUP($A79,'Data Vlaue (Cr)'!$C:$FB,100)</f>
        <v>2854</v>
      </c>
      <c r="J79" s="75">
        <f t="shared" si="8"/>
        <v>14</v>
      </c>
      <c r="K79" s="75">
        <f t="shared" si="9"/>
        <v>0.48814504881450488</v>
      </c>
      <c r="L79" s="75">
        <f>VLOOKUP($A79,'Data Vlaue (Cr)'!$C:$FB,67)</f>
        <v>639</v>
      </c>
      <c r="M79" s="75">
        <f>VLOOKUP($A79,'Data Vlaue (Cr)'!$C:$FB,68)</f>
        <v>656</v>
      </c>
      <c r="N79" s="75">
        <f t="shared" si="10"/>
        <v>-17</v>
      </c>
      <c r="O79" s="75">
        <f t="shared" si="11"/>
        <v>-2.6604068857589982</v>
      </c>
      <c r="P79" s="75">
        <f>VLOOKUP($A79,'Data Vlaue (Cr)'!$C:$FB,119)</f>
        <v>0.66</v>
      </c>
      <c r="Q79" s="75">
        <f>VLOOKUP($A79,'Data Vlaue (Cr)'!$C:$FB,122)*100</f>
        <v>-1.49</v>
      </c>
      <c r="R79" s="75">
        <f>VLOOKUP($A79,'Data Vlaue (Cr)'!$C:$FB,125)</f>
        <v>0.33</v>
      </c>
      <c r="S79" s="75">
        <f>VLOOKUP($A79,'Data Vlaue (Cr)'!$C:$FB,128)*100</f>
        <v>-5.71</v>
      </c>
    </row>
    <row r="80" spans="1:19" x14ac:dyDescent="0.25">
      <c r="A80" s="96" t="str">
        <f>'Data Vlaue (Cr)'!C71</f>
        <v>GRASIM</v>
      </c>
      <c r="B80" s="75">
        <f>VLOOKUP($A80,'Data Vlaue (Cr)'!$C:$FB,2)</f>
        <v>250</v>
      </c>
      <c r="C80" s="75">
        <f>VLOOKUP($A80,'Data Vlaue (Cr)'!$C:$FB,8)</f>
        <v>2807.4</v>
      </c>
      <c r="D80" s="75">
        <f>VLOOKUP($A80,'Data Vlaue (Cr)'!$C:$FB,4)</f>
        <v>2823.6</v>
      </c>
      <c r="E80" s="75">
        <f>VLOOKUP($A80,'Data Vlaue (Cr)'!$C:$FB,5)</f>
        <v>2810.5</v>
      </c>
      <c r="F80" s="75">
        <f t="shared" si="6"/>
        <v>16.199999999999818</v>
      </c>
      <c r="G80" s="75">
        <f t="shared" si="7"/>
        <v>0.4639467346649635</v>
      </c>
      <c r="H80" s="75">
        <f>VLOOKUP($A80,'Data Vlaue (Cr)'!$C:$FB,99)</f>
        <v>4646</v>
      </c>
      <c r="I80" s="75">
        <f>VLOOKUP($A80,'Data Vlaue (Cr)'!$C:$FB,100)</f>
        <v>4589</v>
      </c>
      <c r="J80" s="75">
        <f t="shared" si="8"/>
        <v>57</v>
      </c>
      <c r="K80" s="75">
        <f t="shared" si="9"/>
        <v>1.2268618166164442</v>
      </c>
      <c r="L80" s="75">
        <f>VLOOKUP($A80,'Data Vlaue (Cr)'!$C:$FB,67)</f>
        <v>975</v>
      </c>
      <c r="M80" s="75">
        <f>VLOOKUP($A80,'Data Vlaue (Cr)'!$C:$FB,68)</f>
        <v>1313</v>
      </c>
      <c r="N80" s="75">
        <f t="shared" si="10"/>
        <v>-338</v>
      </c>
      <c r="O80" s="75">
        <f t="shared" si="11"/>
        <v>-34.666666666666671</v>
      </c>
      <c r="P80" s="75">
        <f>VLOOKUP($A80,'Data Vlaue (Cr)'!$C:$FB,119)</f>
        <v>0.62</v>
      </c>
      <c r="Q80" s="75">
        <f>VLOOKUP($A80,'Data Vlaue (Cr)'!$C:$FB,122)*100</f>
        <v>-1.59</v>
      </c>
      <c r="R80" s="75">
        <f>VLOOKUP($A80,'Data Vlaue (Cr)'!$C:$FB,125)</f>
        <v>0.48</v>
      </c>
      <c r="S80" s="75">
        <f>VLOOKUP($A80,'Data Vlaue (Cr)'!$C:$FB,128)*100</f>
        <v>-7.6899999999999995</v>
      </c>
    </row>
    <row r="81" spans="1:19" x14ac:dyDescent="0.25">
      <c r="A81" s="96" t="str">
        <f>'Data Vlaue (Cr)'!C72</f>
        <v>HAL</v>
      </c>
      <c r="B81" s="75">
        <f>VLOOKUP($A81,'Data Vlaue (Cr)'!$C:$FB,2)</f>
        <v>150</v>
      </c>
      <c r="C81" s="75">
        <f>VLOOKUP($A81,'Data Vlaue (Cr)'!$C:$FB,8)</f>
        <v>4845.2</v>
      </c>
      <c r="D81" s="75">
        <f>VLOOKUP($A81,'Data Vlaue (Cr)'!$C:$FB,4)</f>
        <v>4874.1000000000004</v>
      </c>
      <c r="E81" s="75">
        <f>VLOOKUP($A81,'Data Vlaue (Cr)'!$C:$FB,5)</f>
        <v>4894.6000000000004</v>
      </c>
      <c r="F81" s="75">
        <f t="shared" si="6"/>
        <v>28.900000000000546</v>
      </c>
      <c r="G81" s="75">
        <f t="shared" si="7"/>
        <v>-0.42059046798383287</v>
      </c>
      <c r="H81" s="75">
        <f>VLOOKUP($A81,'Data Vlaue (Cr)'!$C:$FB,99)</f>
        <v>7158</v>
      </c>
      <c r="I81" s="75">
        <f>VLOOKUP($A81,'Data Vlaue (Cr)'!$C:$FB,100)</f>
        <v>6851</v>
      </c>
      <c r="J81" s="75">
        <f t="shared" si="8"/>
        <v>307</v>
      </c>
      <c r="K81" s="75">
        <f t="shared" si="9"/>
        <v>4.2889075160659402</v>
      </c>
      <c r="L81" s="75">
        <f>VLOOKUP($A81,'Data Vlaue (Cr)'!$C:$FB,67)</f>
        <v>3731</v>
      </c>
      <c r="M81" s="75">
        <f>VLOOKUP($A81,'Data Vlaue (Cr)'!$C:$FB,68)</f>
        <v>5038</v>
      </c>
      <c r="N81" s="75">
        <f t="shared" si="10"/>
        <v>-1307</v>
      </c>
      <c r="O81" s="75">
        <f t="shared" si="11"/>
        <v>-35.030822835700889</v>
      </c>
      <c r="P81" s="75">
        <f>VLOOKUP($A81,'Data Vlaue (Cr)'!$C:$FB,119)</f>
        <v>0.63</v>
      </c>
      <c r="Q81" s="75">
        <f>VLOOKUP($A81,'Data Vlaue (Cr)'!$C:$FB,122)*100</f>
        <v>-10</v>
      </c>
      <c r="R81" s="75">
        <f>VLOOKUP($A81,'Data Vlaue (Cr)'!$C:$FB,125)</f>
        <v>0.28000000000000003</v>
      </c>
      <c r="S81" s="75">
        <f>VLOOKUP($A81,'Data Vlaue (Cr)'!$C:$FB,128)*100</f>
        <v>27.27</v>
      </c>
    </row>
    <row r="82" spans="1:19" x14ac:dyDescent="0.25">
      <c r="A82" s="96" t="str">
        <f>'Data Vlaue (Cr)'!C73</f>
        <v>HAVELLS</v>
      </c>
      <c r="B82" s="75">
        <f>VLOOKUP($A82,'Data Vlaue (Cr)'!$C:$FB,2)</f>
        <v>500</v>
      </c>
      <c r="C82" s="75">
        <f>VLOOKUP($A82,'Data Vlaue (Cr)'!$C:$FB,8)</f>
        <v>1497.7</v>
      </c>
      <c r="D82" s="75">
        <f>VLOOKUP($A82,'Data Vlaue (Cr)'!$C:$FB,4)</f>
        <v>1502.6</v>
      </c>
      <c r="E82" s="75">
        <f>VLOOKUP($A82,'Data Vlaue (Cr)'!$C:$FB,5)</f>
        <v>1495.4</v>
      </c>
      <c r="F82" s="75">
        <f t="shared" si="6"/>
        <v>4.8999999999998636</v>
      </c>
      <c r="G82" s="75">
        <f t="shared" si="7"/>
        <v>0.47916943963794884</v>
      </c>
      <c r="H82" s="75">
        <f>VLOOKUP($A82,'Data Vlaue (Cr)'!$C:$FB,99)</f>
        <v>2181</v>
      </c>
      <c r="I82" s="75">
        <f>VLOOKUP($A82,'Data Vlaue (Cr)'!$C:$FB,100)</f>
        <v>2113</v>
      </c>
      <c r="J82" s="75">
        <f t="shared" si="8"/>
        <v>68</v>
      </c>
      <c r="K82" s="75">
        <f t="shared" si="9"/>
        <v>3.1178358551123337</v>
      </c>
      <c r="L82" s="75">
        <f>VLOOKUP($A82,'Data Vlaue (Cr)'!$C:$FB,67)</f>
        <v>559</v>
      </c>
      <c r="M82" s="75">
        <f>VLOOKUP($A82,'Data Vlaue (Cr)'!$C:$FB,68)</f>
        <v>860</v>
      </c>
      <c r="N82" s="75">
        <f t="shared" si="10"/>
        <v>-301</v>
      </c>
      <c r="O82" s="75">
        <f t="shared" si="11"/>
        <v>-53.846153846153847</v>
      </c>
      <c r="P82" s="75">
        <f>VLOOKUP($A82,'Data Vlaue (Cr)'!$C:$FB,119)</f>
        <v>0.65</v>
      </c>
      <c r="Q82" s="75">
        <f>VLOOKUP($A82,'Data Vlaue (Cr)'!$C:$FB,122)*100</f>
        <v>1.5599999999999998</v>
      </c>
      <c r="R82" s="75">
        <f>VLOOKUP($A82,'Data Vlaue (Cr)'!$C:$FB,125)</f>
        <v>0.41</v>
      </c>
      <c r="S82" s="75">
        <f>VLOOKUP($A82,'Data Vlaue (Cr)'!$C:$FB,128)*100</f>
        <v>7.89</v>
      </c>
    </row>
    <row r="83" spans="1:19" x14ac:dyDescent="0.25">
      <c r="A83" s="96" t="str">
        <f>'Data Vlaue (Cr)'!C74</f>
        <v>HCLTECH</v>
      </c>
      <c r="B83" s="75">
        <f>VLOOKUP($A83,'Data Vlaue (Cr)'!$C:$FB,2)</f>
        <v>350</v>
      </c>
      <c r="C83" s="75">
        <f>VLOOKUP($A83,'Data Vlaue (Cr)'!$C:$FB,8)</f>
        <v>1417.7</v>
      </c>
      <c r="D83" s="75">
        <f>VLOOKUP($A83,'Data Vlaue (Cr)'!$C:$FB,4)</f>
        <v>1414</v>
      </c>
      <c r="E83" s="75">
        <f>VLOOKUP($A83,'Data Vlaue (Cr)'!$C:$FB,5)</f>
        <v>1386.9</v>
      </c>
      <c r="F83" s="75">
        <f t="shared" si="6"/>
        <v>-3.7000000000000455</v>
      </c>
      <c r="G83" s="75">
        <f t="shared" si="7"/>
        <v>1.91654879773691</v>
      </c>
      <c r="H83" s="75">
        <f>VLOOKUP($A83,'Data Vlaue (Cr)'!$C:$FB,99)</f>
        <v>4236</v>
      </c>
      <c r="I83" s="75">
        <f>VLOOKUP($A83,'Data Vlaue (Cr)'!$C:$FB,100)</f>
        <v>4139</v>
      </c>
      <c r="J83" s="75">
        <f t="shared" si="8"/>
        <v>97</v>
      </c>
      <c r="K83" s="75">
        <f t="shared" si="9"/>
        <v>2.2898961284230404</v>
      </c>
      <c r="L83" s="75">
        <f>VLOOKUP($A83,'Data Vlaue (Cr)'!$C:$FB,67)</f>
        <v>2051</v>
      </c>
      <c r="M83" s="75">
        <f>VLOOKUP($A83,'Data Vlaue (Cr)'!$C:$FB,68)</f>
        <v>1176</v>
      </c>
      <c r="N83" s="75">
        <f t="shared" si="10"/>
        <v>875</v>
      </c>
      <c r="O83" s="75">
        <f t="shared" si="11"/>
        <v>42.662116040955631</v>
      </c>
      <c r="P83" s="75">
        <f>VLOOKUP($A83,'Data Vlaue (Cr)'!$C:$FB,119)</f>
        <v>0.79</v>
      </c>
      <c r="Q83" s="75">
        <f>VLOOKUP($A83,'Data Vlaue (Cr)'!$C:$FB,122)*100</f>
        <v>-5.9499999999999993</v>
      </c>
      <c r="R83" s="75">
        <f>VLOOKUP($A83,'Data Vlaue (Cr)'!$C:$FB,125)</f>
        <v>0.38</v>
      </c>
      <c r="S83" s="75">
        <f>VLOOKUP($A83,'Data Vlaue (Cr)'!$C:$FB,128)*100</f>
        <v>-46.48</v>
      </c>
    </row>
    <row r="84" spans="1:19" x14ac:dyDescent="0.25">
      <c r="A84" s="96" t="str">
        <f>'Data Vlaue (Cr)'!C75</f>
        <v>HDFCAMC</v>
      </c>
      <c r="B84" s="75">
        <f>VLOOKUP($A84,'Data Vlaue (Cr)'!$C:$FB,2)</f>
        <v>150</v>
      </c>
      <c r="C84" s="75">
        <f>VLOOKUP($A84,'Data Vlaue (Cr)'!$C:$FB,8)</f>
        <v>5661</v>
      </c>
      <c r="D84" s="75">
        <f>VLOOKUP($A84,'Data Vlaue (Cr)'!$C:$FB,4)</f>
        <v>5693.5</v>
      </c>
      <c r="E84" s="75">
        <f>VLOOKUP($A84,'Data Vlaue (Cr)'!$C:$FB,5)</f>
        <v>5621</v>
      </c>
      <c r="F84" s="75">
        <f t="shared" si="6"/>
        <v>32.5</v>
      </c>
      <c r="G84" s="75">
        <f t="shared" si="7"/>
        <v>1.2733819267585842</v>
      </c>
      <c r="H84" s="75">
        <f>VLOOKUP($A84,'Data Vlaue (Cr)'!$C:$FB,99)</f>
        <v>1719</v>
      </c>
      <c r="I84" s="75">
        <f>VLOOKUP($A84,'Data Vlaue (Cr)'!$C:$FB,100)</f>
        <v>1682</v>
      </c>
      <c r="J84" s="75">
        <f t="shared" si="8"/>
        <v>37</v>
      </c>
      <c r="K84" s="75">
        <f t="shared" si="9"/>
        <v>2.1524141942990109</v>
      </c>
      <c r="L84" s="75">
        <f>VLOOKUP($A84,'Data Vlaue (Cr)'!$C:$FB,67)</f>
        <v>829</v>
      </c>
      <c r="M84" s="75">
        <f>VLOOKUP($A84,'Data Vlaue (Cr)'!$C:$FB,68)</f>
        <v>668</v>
      </c>
      <c r="N84" s="75">
        <f t="shared" si="10"/>
        <v>161</v>
      </c>
      <c r="O84" s="75">
        <f t="shared" si="11"/>
        <v>19.420989143546443</v>
      </c>
      <c r="P84" s="75">
        <f>VLOOKUP($A84,'Data Vlaue (Cr)'!$C:$FB,119)</f>
        <v>0.89</v>
      </c>
      <c r="Q84" s="75">
        <f>VLOOKUP($A84,'Data Vlaue (Cr)'!$C:$FB,122)*100</f>
        <v>-5.3199999999999994</v>
      </c>
      <c r="R84" s="75">
        <f>VLOOKUP($A84,'Data Vlaue (Cr)'!$C:$FB,125)</f>
        <v>0.37</v>
      </c>
      <c r="S84" s="75">
        <f>VLOOKUP($A84,'Data Vlaue (Cr)'!$C:$FB,128)*100</f>
        <v>-2.63</v>
      </c>
    </row>
    <row r="85" spans="1:19" x14ac:dyDescent="0.25">
      <c r="A85" s="96" t="str">
        <f>'Data Vlaue (Cr)'!C76</f>
        <v>HDFCBANK</v>
      </c>
      <c r="B85" s="75">
        <f>VLOOKUP($A85,'Data Vlaue (Cr)'!$C:$FB,2)</f>
        <v>1100</v>
      </c>
      <c r="C85" s="75">
        <f>VLOOKUP($A85,'Data Vlaue (Cr)'!$C:$FB,8)</f>
        <v>973.45</v>
      </c>
      <c r="D85" s="75">
        <f>VLOOKUP($A85,'Data Vlaue (Cr)'!$C:$FB,4)</f>
        <v>976.6</v>
      </c>
      <c r="E85" s="75">
        <f>VLOOKUP($A85,'Data Vlaue (Cr)'!$C:$FB,5)</f>
        <v>968.6</v>
      </c>
      <c r="F85" s="75">
        <f t="shared" si="6"/>
        <v>3.1499999999999773</v>
      </c>
      <c r="G85" s="75">
        <f t="shared" si="7"/>
        <v>0.81916854392791305</v>
      </c>
      <c r="H85" s="75">
        <f>VLOOKUP($A85,'Data Vlaue (Cr)'!$C:$FB,99)</f>
        <v>26151</v>
      </c>
      <c r="I85" s="75">
        <f>VLOOKUP($A85,'Data Vlaue (Cr)'!$C:$FB,100)</f>
        <v>26427</v>
      </c>
      <c r="J85" s="75">
        <f t="shared" si="8"/>
        <v>-276</v>
      </c>
      <c r="K85" s="75">
        <f t="shared" si="9"/>
        <v>-1.0554089709762533</v>
      </c>
      <c r="L85" s="75">
        <f>VLOOKUP($A85,'Data Vlaue (Cr)'!$C:$FB,67)</f>
        <v>13114</v>
      </c>
      <c r="M85" s="75">
        <f>VLOOKUP($A85,'Data Vlaue (Cr)'!$C:$FB,68)</f>
        <v>11604</v>
      </c>
      <c r="N85" s="75">
        <f t="shared" si="10"/>
        <v>1510</v>
      </c>
      <c r="O85" s="75">
        <f t="shared" si="11"/>
        <v>11.514412078694525</v>
      </c>
      <c r="P85" s="75">
        <f>VLOOKUP($A85,'Data Vlaue (Cr)'!$C:$FB,119)</f>
        <v>0.83</v>
      </c>
      <c r="Q85" s="75">
        <f>VLOOKUP($A85,'Data Vlaue (Cr)'!$C:$FB,122)*100</f>
        <v>5.0599999999999996</v>
      </c>
      <c r="R85" s="75">
        <f>VLOOKUP($A85,'Data Vlaue (Cr)'!$C:$FB,125)</f>
        <v>0.57999999999999996</v>
      </c>
      <c r="S85" s="75">
        <f>VLOOKUP($A85,'Data Vlaue (Cr)'!$C:$FB,128)*100</f>
        <v>-1.69</v>
      </c>
    </row>
    <row r="86" spans="1:19" x14ac:dyDescent="0.25">
      <c r="A86" s="96" t="str">
        <f>'Data Vlaue (Cr)'!C77</f>
        <v>HDFCLIFE</v>
      </c>
      <c r="B86" s="75">
        <f>VLOOKUP($A86,'Data Vlaue (Cr)'!$C:$FB,2)</f>
        <v>1100</v>
      </c>
      <c r="C86" s="75">
        <f>VLOOKUP($A86,'Data Vlaue (Cr)'!$C:$FB,8)</f>
        <v>763.05</v>
      </c>
      <c r="D86" s="75">
        <f>VLOOKUP($A86,'Data Vlaue (Cr)'!$C:$FB,4)</f>
        <v>764.35</v>
      </c>
      <c r="E86" s="75">
        <f>VLOOKUP($A86,'Data Vlaue (Cr)'!$C:$FB,5)</f>
        <v>762.4</v>
      </c>
      <c r="F86" s="75">
        <f t="shared" si="6"/>
        <v>1.3000000000000682</v>
      </c>
      <c r="G86" s="75">
        <f t="shared" si="7"/>
        <v>0.25511872833126781</v>
      </c>
      <c r="H86" s="75">
        <f>VLOOKUP($A86,'Data Vlaue (Cr)'!$C:$FB,99)</f>
        <v>2962</v>
      </c>
      <c r="I86" s="75">
        <f>VLOOKUP($A86,'Data Vlaue (Cr)'!$C:$FB,100)</f>
        <v>2855</v>
      </c>
      <c r="J86" s="75">
        <f t="shared" si="8"/>
        <v>107</v>
      </c>
      <c r="K86" s="75">
        <f t="shared" si="9"/>
        <v>3.6124240378122887</v>
      </c>
      <c r="L86" s="75">
        <f>VLOOKUP($A86,'Data Vlaue (Cr)'!$C:$FB,67)</f>
        <v>784</v>
      </c>
      <c r="M86" s="75">
        <f>VLOOKUP($A86,'Data Vlaue (Cr)'!$C:$FB,68)</f>
        <v>848</v>
      </c>
      <c r="N86" s="75">
        <f t="shared" si="10"/>
        <v>-64</v>
      </c>
      <c r="O86" s="75">
        <f t="shared" si="11"/>
        <v>-8.1632653061224492</v>
      </c>
      <c r="P86" s="75">
        <f>VLOOKUP($A86,'Data Vlaue (Cr)'!$C:$FB,119)</f>
        <v>0.65</v>
      </c>
      <c r="Q86" s="75">
        <f>VLOOKUP($A86,'Data Vlaue (Cr)'!$C:$FB,122)*100</f>
        <v>-5.8000000000000007</v>
      </c>
      <c r="R86" s="75">
        <f>VLOOKUP($A86,'Data Vlaue (Cr)'!$C:$FB,125)</f>
        <v>0.46</v>
      </c>
      <c r="S86" s="75">
        <f>VLOOKUP($A86,'Data Vlaue (Cr)'!$C:$FB,128)*100</f>
        <v>-2.13</v>
      </c>
    </row>
    <row r="87" spans="1:19" x14ac:dyDescent="0.25">
      <c r="A87" s="96" t="str">
        <f>'Data Vlaue (Cr)'!C78</f>
        <v>HEROMOTOCO</v>
      </c>
      <c r="B87" s="75">
        <f>VLOOKUP($A87,'Data Vlaue (Cr)'!$C:$FB,2)</f>
        <v>150</v>
      </c>
      <c r="C87" s="75">
        <f>VLOOKUP($A87,'Data Vlaue (Cr)'!$C:$FB,8)</f>
        <v>5581.5</v>
      </c>
      <c r="D87" s="75">
        <f>VLOOKUP($A87,'Data Vlaue (Cr)'!$C:$FB,4)</f>
        <v>5613</v>
      </c>
      <c r="E87" s="75">
        <f>VLOOKUP($A87,'Data Vlaue (Cr)'!$C:$FB,5)</f>
        <v>5581</v>
      </c>
      <c r="F87" s="75">
        <f t="shared" si="6"/>
        <v>31.5</v>
      </c>
      <c r="G87" s="75">
        <f t="shared" si="7"/>
        <v>0.57010511313023338</v>
      </c>
      <c r="H87" s="75">
        <f>VLOOKUP($A87,'Data Vlaue (Cr)'!$C:$FB,99)</f>
        <v>4862</v>
      </c>
      <c r="I87" s="75">
        <f>VLOOKUP($A87,'Data Vlaue (Cr)'!$C:$FB,100)</f>
        <v>4883</v>
      </c>
      <c r="J87" s="75">
        <f t="shared" si="8"/>
        <v>-21</v>
      </c>
      <c r="K87" s="75">
        <f t="shared" si="9"/>
        <v>-0.43192102015631423</v>
      </c>
      <c r="L87" s="75">
        <f>VLOOKUP($A87,'Data Vlaue (Cr)'!$C:$FB,67)</f>
        <v>4082</v>
      </c>
      <c r="M87" s="75">
        <f>VLOOKUP($A87,'Data Vlaue (Cr)'!$C:$FB,68)</f>
        <v>12897</v>
      </c>
      <c r="N87" s="75">
        <f t="shared" si="10"/>
        <v>-8815</v>
      </c>
      <c r="O87" s="75">
        <f t="shared" si="11"/>
        <v>-215.94806467417934</v>
      </c>
      <c r="P87" s="75">
        <f>VLOOKUP($A87,'Data Vlaue (Cr)'!$C:$FB,119)</f>
        <v>0.78</v>
      </c>
      <c r="Q87" s="75">
        <f>VLOOKUP($A87,'Data Vlaue (Cr)'!$C:$FB,122)*100</f>
        <v>4</v>
      </c>
      <c r="R87" s="75">
        <f>VLOOKUP($A87,'Data Vlaue (Cr)'!$C:$FB,125)</f>
        <v>0.51</v>
      </c>
      <c r="S87" s="75">
        <f>VLOOKUP($A87,'Data Vlaue (Cr)'!$C:$FB,128)*100</f>
        <v>10.870000000000001</v>
      </c>
    </row>
    <row r="88" spans="1:19" x14ac:dyDescent="0.25">
      <c r="A88" s="96" t="str">
        <f>'Data Vlaue (Cr)'!C79</f>
        <v>HFCL</v>
      </c>
      <c r="B88" s="75">
        <f>VLOOKUP($A88,'Data Vlaue (Cr)'!$C:$FB,2)</f>
        <v>6450</v>
      </c>
      <c r="C88" s="75">
        <f>VLOOKUP($A88,'Data Vlaue (Cr)'!$C:$FB,8)</f>
        <v>74.44</v>
      </c>
      <c r="D88" s="75">
        <f>VLOOKUP($A88,'Data Vlaue (Cr)'!$C:$FB,4)</f>
        <v>74.680000000000007</v>
      </c>
      <c r="E88" s="75">
        <f>VLOOKUP($A88,'Data Vlaue (Cr)'!$C:$FB,5)</f>
        <v>76.36</v>
      </c>
      <c r="F88" s="75">
        <f t="shared" si="6"/>
        <v>0.24000000000000909</v>
      </c>
      <c r="G88" s="75">
        <f t="shared" si="7"/>
        <v>-2.2495982860203432</v>
      </c>
      <c r="H88" s="75">
        <f>VLOOKUP($A88,'Data Vlaue (Cr)'!$C:$FB,99)</f>
        <v>1276</v>
      </c>
      <c r="I88" s="75">
        <f>VLOOKUP($A88,'Data Vlaue (Cr)'!$C:$FB,100)</f>
        <v>1193</v>
      </c>
      <c r="J88" s="75">
        <f t="shared" si="8"/>
        <v>83</v>
      </c>
      <c r="K88" s="75">
        <f t="shared" si="9"/>
        <v>6.5047021943573675</v>
      </c>
      <c r="L88" s="75">
        <f>VLOOKUP($A88,'Data Vlaue (Cr)'!$C:$FB,67)</f>
        <v>467</v>
      </c>
      <c r="M88" s="75">
        <f>VLOOKUP($A88,'Data Vlaue (Cr)'!$C:$FB,68)</f>
        <v>1000</v>
      </c>
      <c r="N88" s="75">
        <f t="shared" si="10"/>
        <v>-533</v>
      </c>
      <c r="O88" s="75">
        <f t="shared" si="11"/>
        <v>-114.13276231263383</v>
      </c>
      <c r="P88" s="75">
        <f>VLOOKUP($A88,'Data Vlaue (Cr)'!$C:$FB,119)</f>
        <v>0.55000000000000004</v>
      </c>
      <c r="Q88" s="75">
        <f>VLOOKUP($A88,'Data Vlaue (Cr)'!$C:$FB,122)*100</f>
        <v>-12.7</v>
      </c>
      <c r="R88" s="75">
        <f>VLOOKUP($A88,'Data Vlaue (Cr)'!$C:$FB,125)</f>
        <v>0.27</v>
      </c>
      <c r="S88" s="75">
        <f>VLOOKUP($A88,'Data Vlaue (Cr)'!$C:$FB,128)*100</f>
        <v>-43.75</v>
      </c>
    </row>
    <row r="89" spans="1:19" x14ac:dyDescent="0.25">
      <c r="A89" s="96" t="str">
        <f>'Data Vlaue (Cr)'!C80</f>
        <v>HINDALCO</v>
      </c>
      <c r="B89" s="75">
        <f>VLOOKUP($A89,'Data Vlaue (Cr)'!$C:$FB,2)</f>
        <v>1400</v>
      </c>
      <c r="C89" s="75">
        <f>VLOOKUP($A89,'Data Vlaue (Cr)'!$C:$FB,8)</f>
        <v>776.7</v>
      </c>
      <c r="D89" s="75">
        <f>VLOOKUP($A89,'Data Vlaue (Cr)'!$C:$FB,4)</f>
        <v>781.25</v>
      </c>
      <c r="E89" s="75">
        <f>VLOOKUP($A89,'Data Vlaue (Cr)'!$C:$FB,5)</f>
        <v>784.55</v>
      </c>
      <c r="F89" s="75">
        <f t="shared" si="6"/>
        <v>4.5499999999999545</v>
      </c>
      <c r="G89" s="75">
        <f t="shared" si="7"/>
        <v>-0.42239999999999422</v>
      </c>
      <c r="H89" s="75">
        <f>VLOOKUP($A89,'Data Vlaue (Cr)'!$C:$FB,99)</f>
        <v>6757</v>
      </c>
      <c r="I89" s="75">
        <f>VLOOKUP($A89,'Data Vlaue (Cr)'!$C:$FB,100)</f>
        <v>6638</v>
      </c>
      <c r="J89" s="75">
        <f t="shared" si="8"/>
        <v>119</v>
      </c>
      <c r="K89" s="75">
        <f t="shared" si="9"/>
        <v>1.761136599082433</v>
      </c>
      <c r="L89" s="75">
        <f>VLOOKUP($A89,'Data Vlaue (Cr)'!$C:$FB,67)</f>
        <v>2757</v>
      </c>
      <c r="M89" s="75">
        <f>VLOOKUP($A89,'Data Vlaue (Cr)'!$C:$FB,68)</f>
        <v>8329</v>
      </c>
      <c r="N89" s="75">
        <f t="shared" si="10"/>
        <v>-5572</v>
      </c>
      <c r="O89" s="75">
        <f t="shared" si="11"/>
        <v>-202.10373594486759</v>
      </c>
      <c r="P89" s="75">
        <f>VLOOKUP($A89,'Data Vlaue (Cr)'!$C:$FB,119)</f>
        <v>0.78</v>
      </c>
      <c r="Q89" s="75">
        <f>VLOOKUP($A89,'Data Vlaue (Cr)'!$C:$FB,122)*100</f>
        <v>-4.88</v>
      </c>
      <c r="R89" s="75">
        <f>VLOOKUP($A89,'Data Vlaue (Cr)'!$C:$FB,125)</f>
        <v>0.52</v>
      </c>
      <c r="S89" s="75">
        <f>VLOOKUP($A89,'Data Vlaue (Cr)'!$C:$FB,128)*100</f>
        <v>23.810000000000002</v>
      </c>
    </row>
    <row r="90" spans="1:19" x14ac:dyDescent="0.25">
      <c r="A90" s="96" t="str">
        <f>'Data Vlaue (Cr)'!C81</f>
        <v>HINDPETRO</v>
      </c>
      <c r="B90" s="75">
        <f>VLOOKUP($A90,'Data Vlaue (Cr)'!$C:$FB,2)</f>
        <v>2025</v>
      </c>
      <c r="C90" s="75">
        <f>VLOOKUP($A90,'Data Vlaue (Cr)'!$C:$FB,8)</f>
        <v>456.3</v>
      </c>
      <c r="D90" s="75">
        <f>VLOOKUP($A90,'Data Vlaue (Cr)'!$C:$FB,4)</f>
        <v>458.4</v>
      </c>
      <c r="E90" s="75">
        <f>VLOOKUP($A90,'Data Vlaue (Cr)'!$C:$FB,5)</f>
        <v>448</v>
      </c>
      <c r="F90" s="75">
        <f t="shared" si="6"/>
        <v>2.0999999999999659</v>
      </c>
      <c r="G90" s="75">
        <f t="shared" si="7"/>
        <v>2.2687609075043582</v>
      </c>
      <c r="H90" s="75">
        <f>VLOOKUP($A90,'Data Vlaue (Cr)'!$C:$FB,99)</f>
        <v>3509</v>
      </c>
      <c r="I90" s="75">
        <f>VLOOKUP($A90,'Data Vlaue (Cr)'!$C:$FB,100)</f>
        <v>3355</v>
      </c>
      <c r="J90" s="75">
        <f t="shared" si="8"/>
        <v>154</v>
      </c>
      <c r="K90" s="75">
        <f t="shared" si="9"/>
        <v>4.3887147335423196</v>
      </c>
      <c r="L90" s="75">
        <f>VLOOKUP($A90,'Data Vlaue (Cr)'!$C:$FB,67)</f>
        <v>3532</v>
      </c>
      <c r="M90" s="75">
        <f>VLOOKUP($A90,'Data Vlaue (Cr)'!$C:$FB,68)</f>
        <v>2479</v>
      </c>
      <c r="N90" s="75">
        <f t="shared" si="10"/>
        <v>1053</v>
      </c>
      <c r="O90" s="75">
        <f t="shared" si="11"/>
        <v>29.813137032842583</v>
      </c>
      <c r="P90" s="75">
        <f>VLOOKUP($A90,'Data Vlaue (Cr)'!$C:$FB,119)</f>
        <v>0.56000000000000005</v>
      </c>
      <c r="Q90" s="75">
        <f>VLOOKUP($A90,'Data Vlaue (Cr)'!$C:$FB,122)*100</f>
        <v>3.6999999999999997</v>
      </c>
      <c r="R90" s="75">
        <f>VLOOKUP($A90,'Data Vlaue (Cr)'!$C:$FB,125)</f>
        <v>0.48</v>
      </c>
      <c r="S90" s="75">
        <f>VLOOKUP($A90,'Data Vlaue (Cr)'!$C:$FB,128)*100</f>
        <v>9.09</v>
      </c>
    </row>
    <row r="91" spans="1:19" x14ac:dyDescent="0.25">
      <c r="A91" s="96" t="str">
        <f>'Data Vlaue (Cr)'!C82</f>
        <v>HINDUNILVR</v>
      </c>
      <c r="B91" s="75">
        <f>VLOOKUP($A91,'Data Vlaue (Cr)'!$C:$FB,2)</f>
        <v>300</v>
      </c>
      <c r="C91" s="75">
        <f>VLOOKUP($A91,'Data Vlaue (Cr)'!$C:$FB,8)</f>
        <v>2541.8000000000002</v>
      </c>
      <c r="D91" s="75">
        <f>VLOOKUP($A91,'Data Vlaue (Cr)'!$C:$FB,4)</f>
        <v>2556.5</v>
      </c>
      <c r="E91" s="75">
        <f>VLOOKUP($A91,'Data Vlaue (Cr)'!$C:$FB,5)</f>
        <v>2552.3000000000002</v>
      </c>
      <c r="F91" s="75">
        <f t="shared" si="6"/>
        <v>14.699999999999818</v>
      </c>
      <c r="G91" s="75">
        <f t="shared" si="7"/>
        <v>0.1642871112849528</v>
      </c>
      <c r="H91" s="75">
        <f>VLOOKUP($A91,'Data Vlaue (Cr)'!$C:$FB,99)</f>
        <v>5255</v>
      </c>
      <c r="I91" s="75">
        <f>VLOOKUP($A91,'Data Vlaue (Cr)'!$C:$FB,100)</f>
        <v>5351</v>
      </c>
      <c r="J91" s="75">
        <f t="shared" si="8"/>
        <v>-96</v>
      </c>
      <c r="K91" s="75">
        <f t="shared" si="9"/>
        <v>-1.8268315889628925</v>
      </c>
      <c r="L91" s="75">
        <f>VLOOKUP($A91,'Data Vlaue (Cr)'!$C:$FB,67)</f>
        <v>1753</v>
      </c>
      <c r="M91" s="75">
        <f>VLOOKUP($A91,'Data Vlaue (Cr)'!$C:$FB,68)</f>
        <v>2228</v>
      </c>
      <c r="N91" s="75">
        <f t="shared" si="10"/>
        <v>-475</v>
      </c>
      <c r="O91" s="75">
        <f t="shared" si="11"/>
        <v>-27.096406160867087</v>
      </c>
      <c r="P91" s="75">
        <f>VLOOKUP($A91,'Data Vlaue (Cr)'!$C:$FB,119)</f>
        <v>0.65</v>
      </c>
      <c r="Q91" s="75">
        <f>VLOOKUP($A91,'Data Vlaue (Cr)'!$C:$FB,122)*100</f>
        <v>0</v>
      </c>
      <c r="R91" s="75">
        <f>VLOOKUP($A91,'Data Vlaue (Cr)'!$C:$FB,125)</f>
        <v>0.66</v>
      </c>
      <c r="S91" s="75">
        <f>VLOOKUP($A91,'Data Vlaue (Cr)'!$C:$FB,128)*100</f>
        <v>-12</v>
      </c>
    </row>
    <row r="92" spans="1:19" x14ac:dyDescent="0.25">
      <c r="A92" s="96" t="str">
        <f>'Data Vlaue (Cr)'!C83</f>
        <v>HINDZINC</v>
      </c>
      <c r="B92" s="75">
        <f>VLOOKUP($A92,'Data Vlaue (Cr)'!$C:$FB,2)</f>
        <v>1225</v>
      </c>
      <c r="C92" s="75">
        <f>VLOOKUP($A92,'Data Vlaue (Cr)'!$C:$FB,8)</f>
        <v>491.5</v>
      </c>
      <c r="D92" s="75">
        <f>VLOOKUP($A92,'Data Vlaue (Cr)'!$C:$FB,4)</f>
        <v>493.3</v>
      </c>
      <c r="E92" s="75">
        <f>VLOOKUP($A92,'Data Vlaue (Cr)'!$C:$FB,5)</f>
        <v>494.5</v>
      </c>
      <c r="F92" s="75">
        <f t="shared" si="6"/>
        <v>1.8000000000000114</v>
      </c>
      <c r="G92" s="75">
        <f t="shared" si="7"/>
        <v>-0.2432596797080861</v>
      </c>
      <c r="H92" s="75">
        <f>VLOOKUP($A92,'Data Vlaue (Cr)'!$C:$FB,99)</f>
        <v>2820</v>
      </c>
      <c r="I92" s="75">
        <f>VLOOKUP($A92,'Data Vlaue (Cr)'!$C:$FB,100)</f>
        <v>2686</v>
      </c>
      <c r="J92" s="75">
        <f t="shared" si="8"/>
        <v>134</v>
      </c>
      <c r="K92" s="75">
        <f t="shared" si="9"/>
        <v>4.75177304964539</v>
      </c>
      <c r="L92" s="75">
        <f>VLOOKUP($A92,'Data Vlaue (Cr)'!$C:$FB,67)</f>
        <v>1529</v>
      </c>
      <c r="M92" s="75">
        <f>VLOOKUP($A92,'Data Vlaue (Cr)'!$C:$FB,68)</f>
        <v>3626</v>
      </c>
      <c r="N92" s="75">
        <f t="shared" si="10"/>
        <v>-2097</v>
      </c>
      <c r="O92" s="75">
        <f t="shared" si="11"/>
        <v>-137.14846304774363</v>
      </c>
      <c r="P92" s="75">
        <f>VLOOKUP($A92,'Data Vlaue (Cr)'!$C:$FB,119)</f>
        <v>0.56999999999999995</v>
      </c>
      <c r="Q92" s="75">
        <f>VLOOKUP($A92,'Data Vlaue (Cr)'!$C:$FB,122)*100</f>
        <v>-6.5600000000000005</v>
      </c>
      <c r="R92" s="75">
        <f>VLOOKUP($A92,'Data Vlaue (Cr)'!$C:$FB,125)</f>
        <v>0.33</v>
      </c>
      <c r="S92" s="75">
        <f>VLOOKUP($A92,'Data Vlaue (Cr)'!$C:$FB,128)*100</f>
        <v>13.79</v>
      </c>
    </row>
    <row r="93" spans="1:19" x14ac:dyDescent="0.25">
      <c r="A93" s="96" t="str">
        <f>'Data Vlaue (Cr)'!C84</f>
        <v>HUDCO</v>
      </c>
      <c r="B93" s="75">
        <f>VLOOKUP($A93,'Data Vlaue (Cr)'!$C:$FB,2)</f>
        <v>2775</v>
      </c>
      <c r="C93" s="75">
        <f>VLOOKUP($A93,'Data Vlaue (Cr)'!$C:$FB,8)</f>
        <v>230.91</v>
      </c>
      <c r="D93" s="75">
        <f>VLOOKUP($A93,'Data Vlaue (Cr)'!$C:$FB,4)</f>
        <v>232.32</v>
      </c>
      <c r="E93" s="75">
        <f>VLOOKUP($A93,'Data Vlaue (Cr)'!$C:$FB,5)</f>
        <v>235.36</v>
      </c>
      <c r="F93" s="75">
        <f t="shared" si="6"/>
        <v>1.4099999999999966</v>
      </c>
      <c r="G93" s="75">
        <f t="shared" si="7"/>
        <v>-1.3085399449035902</v>
      </c>
      <c r="H93" s="75">
        <f>VLOOKUP($A93,'Data Vlaue (Cr)'!$C:$FB,99)</f>
        <v>1114</v>
      </c>
      <c r="I93" s="75">
        <f>VLOOKUP($A93,'Data Vlaue (Cr)'!$C:$FB,100)</f>
        <v>1043</v>
      </c>
      <c r="J93" s="75">
        <f t="shared" si="8"/>
        <v>71</v>
      </c>
      <c r="K93" s="75">
        <f t="shared" si="9"/>
        <v>6.3734290843806107</v>
      </c>
      <c r="L93" s="75">
        <f>VLOOKUP($A93,'Data Vlaue (Cr)'!$C:$FB,67)</f>
        <v>506</v>
      </c>
      <c r="M93" s="75">
        <f>VLOOKUP($A93,'Data Vlaue (Cr)'!$C:$FB,68)</f>
        <v>826</v>
      </c>
      <c r="N93" s="75">
        <f t="shared" si="10"/>
        <v>-320</v>
      </c>
      <c r="O93" s="75">
        <f t="shared" si="11"/>
        <v>-63.241106719367593</v>
      </c>
      <c r="P93" s="75">
        <f>VLOOKUP($A93,'Data Vlaue (Cr)'!$C:$FB,119)</f>
        <v>0.56999999999999995</v>
      </c>
      <c r="Q93" s="75">
        <f>VLOOKUP($A93,'Data Vlaue (Cr)'!$C:$FB,122)*100</f>
        <v>-5</v>
      </c>
      <c r="R93" s="75">
        <f>VLOOKUP($A93,'Data Vlaue (Cr)'!$C:$FB,125)</f>
        <v>0.42</v>
      </c>
      <c r="S93" s="75">
        <f>VLOOKUP($A93,'Data Vlaue (Cr)'!$C:$FB,128)*100</f>
        <v>-8.6999999999999993</v>
      </c>
    </row>
    <row r="94" spans="1:19" x14ac:dyDescent="0.25">
      <c r="A94" s="96" t="str">
        <f>'Data Vlaue (Cr)'!C85</f>
        <v>ICICIBANK</v>
      </c>
      <c r="B94" s="75">
        <f>VLOOKUP($A94,'Data Vlaue (Cr)'!$C:$FB,2)</f>
        <v>700</v>
      </c>
      <c r="C94" s="75">
        <f>VLOOKUP($A94,'Data Vlaue (Cr)'!$C:$FB,8)</f>
        <v>1363.4</v>
      </c>
      <c r="D94" s="75">
        <f>VLOOKUP($A94,'Data Vlaue (Cr)'!$C:$FB,4)</f>
        <v>1368.3</v>
      </c>
      <c r="E94" s="75">
        <f>VLOOKUP($A94,'Data Vlaue (Cr)'!$C:$FB,5)</f>
        <v>1371</v>
      </c>
      <c r="F94" s="75">
        <f t="shared" si="6"/>
        <v>4.8999999999998636</v>
      </c>
      <c r="G94" s="75">
        <f t="shared" si="7"/>
        <v>-0.1973251479938643</v>
      </c>
      <c r="H94" s="75">
        <f>VLOOKUP($A94,'Data Vlaue (Cr)'!$C:$FB,99)</f>
        <v>21801</v>
      </c>
      <c r="I94" s="75">
        <f>VLOOKUP($A94,'Data Vlaue (Cr)'!$C:$FB,100)</f>
        <v>20928</v>
      </c>
      <c r="J94" s="75">
        <f t="shared" si="8"/>
        <v>873</v>
      </c>
      <c r="K94" s="75">
        <f t="shared" si="9"/>
        <v>4.004403467730838</v>
      </c>
      <c r="L94" s="75">
        <f>VLOOKUP($A94,'Data Vlaue (Cr)'!$C:$FB,67)</f>
        <v>9197</v>
      </c>
      <c r="M94" s="75">
        <f>VLOOKUP($A94,'Data Vlaue (Cr)'!$C:$FB,68)</f>
        <v>7606</v>
      </c>
      <c r="N94" s="75">
        <f t="shared" si="10"/>
        <v>1591</v>
      </c>
      <c r="O94" s="75">
        <f t="shared" si="11"/>
        <v>17.299119278025444</v>
      </c>
      <c r="P94" s="75">
        <f>VLOOKUP($A94,'Data Vlaue (Cr)'!$C:$FB,119)</f>
        <v>0.75</v>
      </c>
      <c r="Q94" s="75">
        <f>VLOOKUP($A94,'Data Vlaue (Cr)'!$C:$FB,122)*100</f>
        <v>-6.25</v>
      </c>
      <c r="R94" s="75">
        <f>VLOOKUP($A94,'Data Vlaue (Cr)'!$C:$FB,125)</f>
        <v>0.56000000000000005</v>
      </c>
      <c r="S94" s="75">
        <f>VLOOKUP($A94,'Data Vlaue (Cr)'!$C:$FB,128)*100</f>
        <v>-11.110000000000001</v>
      </c>
    </row>
    <row r="95" spans="1:19" x14ac:dyDescent="0.25">
      <c r="A95" s="96" t="str">
        <f>'Data Vlaue (Cr)'!C86</f>
        <v>ICICIGI</v>
      </c>
      <c r="B95" s="75">
        <f>VLOOKUP($A95,'Data Vlaue (Cr)'!$C:$FB,2)</f>
        <v>325</v>
      </c>
      <c r="C95" s="75">
        <f>VLOOKUP($A95,'Data Vlaue (Cr)'!$C:$FB,8)</f>
        <v>1925.8</v>
      </c>
      <c r="D95" s="75">
        <f>VLOOKUP($A95,'Data Vlaue (Cr)'!$C:$FB,4)</f>
        <v>1931.7</v>
      </c>
      <c r="E95" s="75">
        <f>VLOOKUP($A95,'Data Vlaue (Cr)'!$C:$FB,5)</f>
        <v>1918.1</v>
      </c>
      <c r="F95" s="75">
        <f t="shared" si="6"/>
        <v>5.9000000000000909</v>
      </c>
      <c r="G95" s="75">
        <f t="shared" si="7"/>
        <v>0.704043070870225</v>
      </c>
      <c r="H95" s="75">
        <f>VLOOKUP($A95,'Data Vlaue (Cr)'!$C:$FB,99)</f>
        <v>1249</v>
      </c>
      <c r="I95" s="75">
        <f>VLOOKUP($A95,'Data Vlaue (Cr)'!$C:$FB,100)</f>
        <v>1232</v>
      </c>
      <c r="J95" s="75">
        <f t="shared" si="8"/>
        <v>17</v>
      </c>
      <c r="K95" s="75">
        <f t="shared" si="9"/>
        <v>1.3610888710968776</v>
      </c>
      <c r="L95" s="75">
        <f>VLOOKUP($A95,'Data Vlaue (Cr)'!$C:$FB,67)</f>
        <v>284</v>
      </c>
      <c r="M95" s="75">
        <f>VLOOKUP($A95,'Data Vlaue (Cr)'!$C:$FB,68)</f>
        <v>277</v>
      </c>
      <c r="N95" s="75">
        <f t="shared" si="10"/>
        <v>7</v>
      </c>
      <c r="O95" s="75">
        <f t="shared" si="11"/>
        <v>2.464788732394366</v>
      </c>
      <c r="P95" s="75">
        <f>VLOOKUP($A95,'Data Vlaue (Cr)'!$C:$FB,119)</f>
        <v>0.78</v>
      </c>
      <c r="Q95" s="75">
        <f>VLOOKUP($A95,'Data Vlaue (Cr)'!$C:$FB,122)*100</f>
        <v>-1.27</v>
      </c>
      <c r="R95" s="75">
        <f>VLOOKUP($A95,'Data Vlaue (Cr)'!$C:$FB,125)</f>
        <v>0.27</v>
      </c>
      <c r="S95" s="75">
        <f>VLOOKUP($A95,'Data Vlaue (Cr)'!$C:$FB,128)*100</f>
        <v>-30.769999999999996</v>
      </c>
    </row>
    <row r="96" spans="1:19" x14ac:dyDescent="0.25">
      <c r="A96" s="96" t="str">
        <f>'Data Vlaue (Cr)'!C87</f>
        <v>ICICIPRULI</v>
      </c>
      <c r="B96" s="75">
        <f>VLOOKUP($A96,'Data Vlaue (Cr)'!$C:$FB,2)</f>
        <v>925</v>
      </c>
      <c r="C96" s="75">
        <f>VLOOKUP($A96,'Data Vlaue (Cr)'!$C:$FB,8)</f>
        <v>600.45000000000005</v>
      </c>
      <c r="D96" s="75">
        <f>VLOOKUP($A96,'Data Vlaue (Cr)'!$C:$FB,4)</f>
        <v>604.20000000000005</v>
      </c>
      <c r="E96" s="75">
        <f>VLOOKUP($A96,'Data Vlaue (Cr)'!$C:$FB,5)</f>
        <v>605.04999999999995</v>
      </c>
      <c r="F96" s="75">
        <f t="shared" si="6"/>
        <v>3.75</v>
      </c>
      <c r="G96" s="75">
        <f t="shared" si="7"/>
        <v>-0.14068189341276216</v>
      </c>
      <c r="H96" s="75">
        <f>VLOOKUP($A96,'Data Vlaue (Cr)'!$C:$FB,99)</f>
        <v>953</v>
      </c>
      <c r="I96" s="75">
        <f>VLOOKUP($A96,'Data Vlaue (Cr)'!$C:$FB,100)</f>
        <v>944</v>
      </c>
      <c r="J96" s="75">
        <f t="shared" si="8"/>
        <v>9</v>
      </c>
      <c r="K96" s="75">
        <f t="shared" si="9"/>
        <v>0.94438614900314799</v>
      </c>
      <c r="L96" s="75">
        <f>VLOOKUP($A96,'Data Vlaue (Cr)'!$C:$FB,67)</f>
        <v>174</v>
      </c>
      <c r="M96" s="75">
        <f>VLOOKUP($A96,'Data Vlaue (Cr)'!$C:$FB,68)</f>
        <v>227</v>
      </c>
      <c r="N96" s="75">
        <f t="shared" si="10"/>
        <v>-53</v>
      </c>
      <c r="O96" s="75">
        <f t="shared" si="11"/>
        <v>-30.459770114942529</v>
      </c>
      <c r="P96" s="75">
        <f>VLOOKUP($A96,'Data Vlaue (Cr)'!$C:$FB,119)</f>
        <v>0.8</v>
      </c>
      <c r="Q96" s="75">
        <f>VLOOKUP($A96,'Data Vlaue (Cr)'!$C:$FB,122)*100</f>
        <v>-3.61</v>
      </c>
      <c r="R96" s="75">
        <f>VLOOKUP($A96,'Data Vlaue (Cr)'!$C:$FB,125)</f>
        <v>0.46</v>
      </c>
      <c r="S96" s="75">
        <f>VLOOKUP($A96,'Data Vlaue (Cr)'!$C:$FB,128)*100</f>
        <v>-22.03</v>
      </c>
    </row>
    <row r="97" spans="1:19" x14ac:dyDescent="0.25">
      <c r="A97" s="96" t="str">
        <f>'Data Vlaue (Cr)'!C88</f>
        <v>IDEA</v>
      </c>
      <c r="B97" s="75">
        <f>VLOOKUP($A97,'Data Vlaue (Cr)'!$C:$FB,2)</f>
        <v>71475</v>
      </c>
      <c r="C97" s="75">
        <f>VLOOKUP($A97,'Data Vlaue (Cr)'!$C:$FB,8)</f>
        <v>8.4700000000000006</v>
      </c>
      <c r="D97" s="75">
        <f>VLOOKUP($A97,'Data Vlaue (Cr)'!$C:$FB,4)</f>
        <v>8.51</v>
      </c>
      <c r="E97" s="75">
        <f>VLOOKUP($A97,'Data Vlaue (Cr)'!$C:$FB,5)</f>
        <v>8.89</v>
      </c>
      <c r="F97" s="75">
        <f t="shared" si="6"/>
        <v>3.9999999999999147E-2</v>
      </c>
      <c r="G97" s="75">
        <f t="shared" si="7"/>
        <v>-4.4653349001175178</v>
      </c>
      <c r="H97" s="75">
        <f>VLOOKUP($A97,'Data Vlaue (Cr)'!$C:$FB,99)</f>
        <v>7868</v>
      </c>
      <c r="I97" s="75">
        <f>VLOOKUP($A97,'Data Vlaue (Cr)'!$C:$FB,100)</f>
        <v>7255</v>
      </c>
      <c r="J97" s="75">
        <f t="shared" si="8"/>
        <v>613</v>
      </c>
      <c r="K97" s="75">
        <f t="shared" si="9"/>
        <v>7.7910523640061013</v>
      </c>
      <c r="L97" s="75">
        <f>VLOOKUP($A97,'Data Vlaue (Cr)'!$C:$FB,67)</f>
        <v>5563</v>
      </c>
      <c r="M97" s="75">
        <f>VLOOKUP($A97,'Data Vlaue (Cr)'!$C:$FB,68)</f>
        <v>2385</v>
      </c>
      <c r="N97" s="75">
        <f t="shared" si="10"/>
        <v>3178</v>
      </c>
      <c r="O97" s="75">
        <f t="shared" si="11"/>
        <v>57.127449218047822</v>
      </c>
      <c r="P97" s="75">
        <f>VLOOKUP($A97,'Data Vlaue (Cr)'!$C:$FB,119)</f>
        <v>0.51</v>
      </c>
      <c r="Q97" s="75">
        <f>VLOOKUP($A97,'Data Vlaue (Cr)'!$C:$FB,122)*100</f>
        <v>-5.56</v>
      </c>
      <c r="R97" s="75">
        <f>VLOOKUP($A97,'Data Vlaue (Cr)'!$C:$FB,125)</f>
        <v>0.31</v>
      </c>
      <c r="S97" s="75">
        <f>VLOOKUP($A97,'Data Vlaue (Cr)'!$C:$FB,128)*100</f>
        <v>72.22</v>
      </c>
    </row>
    <row r="98" spans="1:19" x14ac:dyDescent="0.25">
      <c r="A98" s="96" t="str">
        <f>'Data Vlaue (Cr)'!C89</f>
        <v>IDFCFIRSTB</v>
      </c>
      <c r="B98" s="75">
        <f>VLOOKUP($A98,'Data Vlaue (Cr)'!$C:$FB,2)</f>
        <v>9275</v>
      </c>
      <c r="C98" s="75">
        <f>VLOOKUP($A98,'Data Vlaue (Cr)'!$C:$FB,8)</f>
        <v>71.09</v>
      </c>
      <c r="D98" s="75">
        <f>VLOOKUP($A98,'Data Vlaue (Cr)'!$C:$FB,4)</f>
        <v>71.47</v>
      </c>
      <c r="E98" s="75">
        <f>VLOOKUP($A98,'Data Vlaue (Cr)'!$C:$FB,5)</f>
        <v>69.430000000000007</v>
      </c>
      <c r="F98" s="75">
        <f t="shared" si="6"/>
        <v>0.37999999999999545</v>
      </c>
      <c r="G98" s="75">
        <f t="shared" si="7"/>
        <v>2.8543444802014721</v>
      </c>
      <c r="H98" s="75">
        <f>VLOOKUP($A98,'Data Vlaue (Cr)'!$C:$FB,99)</f>
        <v>4318</v>
      </c>
      <c r="I98" s="75">
        <f>VLOOKUP($A98,'Data Vlaue (Cr)'!$C:$FB,100)</f>
        <v>4310</v>
      </c>
      <c r="J98" s="75">
        <f t="shared" si="8"/>
        <v>8</v>
      </c>
      <c r="K98" s="75">
        <f t="shared" si="9"/>
        <v>0.18527095877721167</v>
      </c>
      <c r="L98" s="75">
        <f>VLOOKUP($A98,'Data Vlaue (Cr)'!$C:$FB,67)</f>
        <v>2426</v>
      </c>
      <c r="M98" s="75">
        <f>VLOOKUP($A98,'Data Vlaue (Cr)'!$C:$FB,68)</f>
        <v>975</v>
      </c>
      <c r="N98" s="75">
        <f t="shared" si="10"/>
        <v>1451</v>
      </c>
      <c r="O98" s="75">
        <f t="shared" si="11"/>
        <v>59.810387469084915</v>
      </c>
      <c r="P98" s="75">
        <f>VLOOKUP($A98,'Data Vlaue (Cr)'!$C:$FB,119)</f>
        <v>0.6</v>
      </c>
      <c r="Q98" s="75">
        <f>VLOOKUP($A98,'Data Vlaue (Cr)'!$C:$FB,122)*100</f>
        <v>3.45</v>
      </c>
      <c r="R98" s="75">
        <f>VLOOKUP($A98,'Data Vlaue (Cr)'!$C:$FB,125)</f>
        <v>0.48</v>
      </c>
      <c r="S98" s="75">
        <f>VLOOKUP($A98,'Data Vlaue (Cr)'!$C:$FB,128)*100</f>
        <v>23.080000000000002</v>
      </c>
    </row>
    <row r="99" spans="1:19" x14ac:dyDescent="0.25">
      <c r="A99" s="96" t="str">
        <f>'Data Vlaue (Cr)'!C90</f>
        <v>IEX</v>
      </c>
      <c r="B99" s="75">
        <f>VLOOKUP($A99,'Data Vlaue (Cr)'!$C:$FB,2)</f>
        <v>3750</v>
      </c>
      <c r="C99" s="75">
        <f>VLOOKUP($A99,'Data Vlaue (Cr)'!$C:$FB,8)</f>
        <v>142.55000000000001</v>
      </c>
      <c r="D99" s="75">
        <f>VLOOKUP($A99,'Data Vlaue (Cr)'!$C:$FB,4)</f>
        <v>143.38</v>
      </c>
      <c r="E99" s="75">
        <f>VLOOKUP($A99,'Data Vlaue (Cr)'!$C:$FB,5)</f>
        <v>144.55000000000001</v>
      </c>
      <c r="F99" s="75">
        <f t="shared" si="6"/>
        <v>0.82999999999998408</v>
      </c>
      <c r="G99" s="75">
        <f t="shared" si="7"/>
        <v>-0.8160133909889915</v>
      </c>
      <c r="H99" s="75">
        <f>VLOOKUP($A99,'Data Vlaue (Cr)'!$C:$FB,99)</f>
        <v>1340</v>
      </c>
      <c r="I99" s="75">
        <f>VLOOKUP($A99,'Data Vlaue (Cr)'!$C:$FB,100)</f>
        <v>1294</v>
      </c>
      <c r="J99" s="75">
        <f t="shared" si="8"/>
        <v>46</v>
      </c>
      <c r="K99" s="75">
        <f t="shared" si="9"/>
        <v>3.4328358208955225</v>
      </c>
      <c r="L99" s="75">
        <f>VLOOKUP($A99,'Data Vlaue (Cr)'!$C:$FB,67)</f>
        <v>430</v>
      </c>
      <c r="M99" s="75">
        <f>VLOOKUP($A99,'Data Vlaue (Cr)'!$C:$FB,68)</f>
        <v>964</v>
      </c>
      <c r="N99" s="75">
        <f t="shared" si="10"/>
        <v>-534</v>
      </c>
      <c r="O99" s="75">
        <f t="shared" si="11"/>
        <v>-124.18604651162791</v>
      </c>
      <c r="P99" s="75">
        <f>VLOOKUP($A99,'Data Vlaue (Cr)'!$C:$FB,119)</f>
        <v>0.8</v>
      </c>
      <c r="Q99" s="75">
        <f>VLOOKUP($A99,'Data Vlaue (Cr)'!$C:$FB,122)*100</f>
        <v>-5.88</v>
      </c>
      <c r="R99" s="75">
        <f>VLOOKUP($A99,'Data Vlaue (Cr)'!$C:$FB,125)</f>
        <v>0.39</v>
      </c>
      <c r="S99" s="75">
        <f>VLOOKUP($A99,'Data Vlaue (Cr)'!$C:$FB,128)*100</f>
        <v>-17.02</v>
      </c>
    </row>
    <row r="100" spans="1:19" x14ac:dyDescent="0.25">
      <c r="A100" s="96" t="str">
        <f>'Data Vlaue (Cr)'!C91</f>
        <v>IGL</v>
      </c>
      <c r="B100" s="75">
        <f>VLOOKUP($A100,'Data Vlaue (Cr)'!$C:$FB,2)</f>
        <v>2750</v>
      </c>
      <c r="C100" s="75">
        <f>VLOOKUP($A100,'Data Vlaue (Cr)'!$C:$FB,8)</f>
        <v>208.06</v>
      </c>
      <c r="D100" s="75">
        <f>VLOOKUP($A100,'Data Vlaue (Cr)'!$C:$FB,4)</f>
        <v>209.27</v>
      </c>
      <c r="E100" s="75">
        <f>VLOOKUP($A100,'Data Vlaue (Cr)'!$C:$FB,5)</f>
        <v>210.45</v>
      </c>
      <c r="F100" s="75">
        <f t="shared" si="6"/>
        <v>1.210000000000008</v>
      </c>
      <c r="G100" s="75">
        <f t="shared" si="7"/>
        <v>-0.56386486357336374</v>
      </c>
      <c r="H100" s="75">
        <f>VLOOKUP($A100,'Data Vlaue (Cr)'!$C:$FB,99)</f>
        <v>582</v>
      </c>
      <c r="I100" s="75">
        <f>VLOOKUP($A100,'Data Vlaue (Cr)'!$C:$FB,100)</f>
        <v>541</v>
      </c>
      <c r="J100" s="75">
        <f t="shared" si="8"/>
        <v>41</v>
      </c>
      <c r="K100" s="75">
        <f t="shared" si="9"/>
        <v>7.0446735395189002</v>
      </c>
      <c r="L100" s="75">
        <f>VLOOKUP($A100,'Data Vlaue (Cr)'!$C:$FB,67)</f>
        <v>197</v>
      </c>
      <c r="M100" s="75">
        <f>VLOOKUP($A100,'Data Vlaue (Cr)'!$C:$FB,68)</f>
        <v>295</v>
      </c>
      <c r="N100" s="75">
        <f t="shared" si="10"/>
        <v>-98</v>
      </c>
      <c r="O100" s="75">
        <f t="shared" si="11"/>
        <v>-49.746192893401016</v>
      </c>
      <c r="P100" s="75">
        <f>VLOOKUP($A100,'Data Vlaue (Cr)'!$C:$FB,119)</f>
        <v>0.67</v>
      </c>
      <c r="Q100" s="75">
        <f>VLOOKUP($A100,'Data Vlaue (Cr)'!$C:$FB,122)*100</f>
        <v>3.08</v>
      </c>
      <c r="R100" s="75">
        <f>VLOOKUP($A100,'Data Vlaue (Cr)'!$C:$FB,125)</f>
        <v>0.49</v>
      </c>
      <c r="S100" s="75">
        <f>VLOOKUP($A100,'Data Vlaue (Cr)'!$C:$FB,128)*100</f>
        <v>-12.5</v>
      </c>
    </row>
    <row r="101" spans="1:19" x14ac:dyDescent="0.25">
      <c r="A101" s="96" t="str">
        <f>'Data Vlaue (Cr)'!C92</f>
        <v>IIFL</v>
      </c>
      <c r="B101" s="75">
        <f>VLOOKUP($A101,'Data Vlaue (Cr)'!$C:$FB,2)</f>
        <v>1650</v>
      </c>
      <c r="C101" s="75">
        <f>VLOOKUP($A101,'Data Vlaue (Cr)'!$C:$FB,8)</f>
        <v>469.5</v>
      </c>
      <c r="D101" s="75">
        <f>VLOOKUP($A101,'Data Vlaue (Cr)'!$C:$FB,4)</f>
        <v>472.6</v>
      </c>
      <c r="E101" s="75">
        <f>VLOOKUP($A101,'Data Vlaue (Cr)'!$C:$FB,5)</f>
        <v>459.3</v>
      </c>
      <c r="F101" s="75">
        <f t="shared" si="6"/>
        <v>3.1000000000000227</v>
      </c>
      <c r="G101" s="75">
        <f t="shared" si="7"/>
        <v>2.8142192128650043</v>
      </c>
      <c r="H101" s="75">
        <f>VLOOKUP($A101,'Data Vlaue (Cr)'!$C:$FB,99)</f>
        <v>1004</v>
      </c>
      <c r="I101" s="75">
        <f>VLOOKUP($A101,'Data Vlaue (Cr)'!$C:$FB,100)</f>
        <v>969</v>
      </c>
      <c r="J101" s="75">
        <f t="shared" si="8"/>
        <v>35</v>
      </c>
      <c r="K101" s="75">
        <f t="shared" si="9"/>
        <v>3.4860557768924298</v>
      </c>
      <c r="L101" s="75">
        <f>VLOOKUP($A101,'Data Vlaue (Cr)'!$C:$FB,67)</f>
        <v>750</v>
      </c>
      <c r="M101" s="75">
        <f>VLOOKUP($A101,'Data Vlaue (Cr)'!$C:$FB,68)</f>
        <v>1252</v>
      </c>
      <c r="N101" s="75">
        <f t="shared" si="10"/>
        <v>-502</v>
      </c>
      <c r="O101" s="75">
        <f t="shared" si="11"/>
        <v>-66.933333333333337</v>
      </c>
      <c r="P101" s="75">
        <f>VLOOKUP($A101,'Data Vlaue (Cr)'!$C:$FB,119)</f>
        <v>0.46</v>
      </c>
      <c r="Q101" s="75">
        <f>VLOOKUP($A101,'Data Vlaue (Cr)'!$C:$FB,122)*100</f>
        <v>0</v>
      </c>
      <c r="R101" s="75">
        <f>VLOOKUP($A101,'Data Vlaue (Cr)'!$C:$FB,125)</f>
        <v>0.2</v>
      </c>
      <c r="S101" s="75">
        <f>VLOOKUP($A101,'Data Vlaue (Cr)'!$C:$FB,128)*100</f>
        <v>-20</v>
      </c>
    </row>
    <row r="102" spans="1:19" x14ac:dyDescent="0.25">
      <c r="A102" s="96" t="str">
        <f>'Data Vlaue (Cr)'!C93</f>
        <v>INDHOTEL</v>
      </c>
      <c r="B102" s="75">
        <f>VLOOKUP($A102,'Data Vlaue (Cr)'!$C:$FB,2)</f>
        <v>1000</v>
      </c>
      <c r="C102" s="75">
        <f>VLOOKUP($A102,'Data Vlaue (Cr)'!$C:$FB,8)</f>
        <v>723.55</v>
      </c>
      <c r="D102" s="75">
        <f>VLOOKUP($A102,'Data Vlaue (Cr)'!$C:$FB,4)</f>
        <v>727.8</v>
      </c>
      <c r="E102" s="75">
        <f>VLOOKUP($A102,'Data Vlaue (Cr)'!$C:$FB,5)</f>
        <v>729</v>
      </c>
      <c r="F102" s="75">
        <f t="shared" si="6"/>
        <v>4.25</v>
      </c>
      <c r="G102" s="75">
        <f t="shared" si="7"/>
        <v>-0.16488046166529891</v>
      </c>
      <c r="H102" s="75">
        <f>VLOOKUP($A102,'Data Vlaue (Cr)'!$C:$FB,99)</f>
        <v>3291</v>
      </c>
      <c r="I102" s="75">
        <f>VLOOKUP($A102,'Data Vlaue (Cr)'!$C:$FB,100)</f>
        <v>3137</v>
      </c>
      <c r="J102" s="75">
        <f t="shared" si="8"/>
        <v>154</v>
      </c>
      <c r="K102" s="75">
        <f t="shared" si="9"/>
        <v>4.6794287450622907</v>
      </c>
      <c r="L102" s="75">
        <f>VLOOKUP($A102,'Data Vlaue (Cr)'!$C:$FB,67)</f>
        <v>790</v>
      </c>
      <c r="M102" s="75">
        <f>VLOOKUP($A102,'Data Vlaue (Cr)'!$C:$FB,68)</f>
        <v>692</v>
      </c>
      <c r="N102" s="75">
        <f t="shared" si="10"/>
        <v>98</v>
      </c>
      <c r="O102" s="75">
        <f t="shared" si="11"/>
        <v>12.405063291139239</v>
      </c>
      <c r="P102" s="75">
        <f>VLOOKUP($A102,'Data Vlaue (Cr)'!$C:$FB,119)</f>
        <v>0.56999999999999995</v>
      </c>
      <c r="Q102" s="75">
        <f>VLOOKUP($A102,'Data Vlaue (Cr)'!$C:$FB,122)*100</f>
        <v>-6.5600000000000005</v>
      </c>
      <c r="R102" s="75">
        <f>VLOOKUP($A102,'Data Vlaue (Cr)'!$C:$FB,125)</f>
        <v>0.22</v>
      </c>
      <c r="S102" s="75">
        <f>VLOOKUP($A102,'Data Vlaue (Cr)'!$C:$FB,128)*100</f>
        <v>-43.59</v>
      </c>
    </row>
    <row r="103" spans="1:19" x14ac:dyDescent="0.25">
      <c r="A103" s="96" t="str">
        <f>'Data Vlaue (Cr)'!C94</f>
        <v>INDIANB</v>
      </c>
      <c r="B103" s="75">
        <f>VLOOKUP($A103,'Data Vlaue (Cr)'!$C:$FB,2)</f>
        <v>1000</v>
      </c>
      <c r="C103" s="75">
        <f>VLOOKUP($A103,'Data Vlaue (Cr)'!$C:$FB,8)</f>
        <v>758.05</v>
      </c>
      <c r="D103" s="75">
        <f>VLOOKUP($A103,'Data Vlaue (Cr)'!$C:$FB,4)</f>
        <v>759.3</v>
      </c>
      <c r="E103" s="75">
        <f>VLOOKUP($A103,'Data Vlaue (Cr)'!$C:$FB,5)</f>
        <v>755.4</v>
      </c>
      <c r="F103" s="75">
        <f t="shared" si="6"/>
        <v>1.25</v>
      </c>
      <c r="G103" s="75">
        <f t="shared" si="7"/>
        <v>0.51363097589885121</v>
      </c>
      <c r="H103" s="75">
        <f>VLOOKUP($A103,'Data Vlaue (Cr)'!$C:$FB,99)</f>
        <v>966</v>
      </c>
      <c r="I103" s="75">
        <f>VLOOKUP($A103,'Data Vlaue (Cr)'!$C:$FB,100)</f>
        <v>935</v>
      </c>
      <c r="J103" s="75">
        <f t="shared" si="8"/>
        <v>31</v>
      </c>
      <c r="K103" s="75">
        <f t="shared" si="9"/>
        <v>3.2091097308488616</v>
      </c>
      <c r="L103" s="75">
        <f>VLOOKUP($A103,'Data Vlaue (Cr)'!$C:$FB,67)</f>
        <v>810</v>
      </c>
      <c r="M103" s="75">
        <f>VLOOKUP($A103,'Data Vlaue (Cr)'!$C:$FB,68)</f>
        <v>1321</v>
      </c>
      <c r="N103" s="75">
        <f t="shared" si="10"/>
        <v>-511</v>
      </c>
      <c r="O103" s="75">
        <f t="shared" si="11"/>
        <v>-63.086419753086417</v>
      </c>
      <c r="P103" s="75">
        <f>VLOOKUP($A103,'Data Vlaue (Cr)'!$C:$FB,119)</f>
        <v>0.89</v>
      </c>
      <c r="Q103" s="75">
        <f>VLOOKUP($A103,'Data Vlaue (Cr)'!$C:$FB,122)*100</f>
        <v>-2.1999999999999997</v>
      </c>
      <c r="R103" s="75">
        <f>VLOOKUP($A103,'Data Vlaue (Cr)'!$C:$FB,125)</f>
        <v>0.38</v>
      </c>
      <c r="S103" s="75">
        <f>VLOOKUP($A103,'Data Vlaue (Cr)'!$C:$FB,128)*100</f>
        <v>11.76</v>
      </c>
    </row>
    <row r="104" spans="1:19" x14ac:dyDescent="0.25">
      <c r="A104" s="96" t="str">
        <f>'Data Vlaue (Cr)'!C95</f>
        <v>INDIAVIX</v>
      </c>
      <c r="B104" s="75">
        <f>VLOOKUP($A104,'Data Vlaue (Cr)'!$C:$FB,2)</f>
        <v>1</v>
      </c>
      <c r="C104" s="75">
        <f>VLOOKUP($A104,'Data Vlaue (Cr)'!$C:$FB,8)</f>
        <v>10.19</v>
      </c>
      <c r="D104" s="75">
        <f>VLOOKUP($A104,'Data Vlaue (Cr)'!$C:$FB,4)</f>
        <v>10.19</v>
      </c>
      <c r="E104" s="75">
        <f>VLOOKUP($A104,'Data Vlaue (Cr)'!$C:$FB,5)</f>
        <v>10.06</v>
      </c>
      <c r="F104" s="75">
        <f t="shared" si="6"/>
        <v>0</v>
      </c>
      <c r="G104" s="75">
        <f t="shared" si="7"/>
        <v>1.2757605495583808</v>
      </c>
      <c r="H104" s="75">
        <f>VLOOKUP($A104,'Data Vlaue (Cr)'!$C:$FB,99)</f>
        <v>0</v>
      </c>
      <c r="I104" s="75">
        <f>VLOOKUP($A104,'Data Vlaue (Cr)'!$C:$FB,100)</f>
        <v>0</v>
      </c>
      <c r="J104" s="75">
        <f t="shared" si="8"/>
        <v>0</v>
      </c>
      <c r="K104" s="75" t="e">
        <f t="shared" si="9"/>
        <v>#DIV/0!</v>
      </c>
      <c r="L104" s="75">
        <f>VLOOKUP($A104,'Data Vlaue (Cr)'!$C:$FB,67)</f>
        <v>0</v>
      </c>
      <c r="M104" s="75">
        <f>VLOOKUP($A104,'Data Vlaue (Cr)'!$C:$FB,68)</f>
        <v>0</v>
      </c>
      <c r="N104" s="75">
        <f t="shared" si="10"/>
        <v>0</v>
      </c>
      <c r="O104" s="75" t="e">
        <f t="shared" si="11"/>
        <v>#DIV/0!</v>
      </c>
      <c r="P104" s="75">
        <f>VLOOKUP($A104,'Data Vlaue (Cr)'!$C:$FB,119)</f>
        <v>0</v>
      </c>
      <c r="Q104" s="75">
        <f>VLOOKUP($A104,'Data Vlaue (Cr)'!$C:$FB,122)*100</f>
        <v>0</v>
      </c>
      <c r="R104" s="75">
        <f>VLOOKUP($A104,'Data Vlaue (Cr)'!$C:$FB,125)</f>
        <v>0</v>
      </c>
      <c r="S104" s="75">
        <f>VLOOKUP($A104,'Data Vlaue (Cr)'!$C:$FB,128)*100</f>
        <v>0</v>
      </c>
    </row>
    <row r="105" spans="1:19" x14ac:dyDescent="0.25">
      <c r="A105" s="96" t="str">
        <f>'Data Vlaue (Cr)'!C96</f>
        <v>INDIGO</v>
      </c>
      <c r="B105" s="75">
        <f>VLOOKUP($A105,'Data Vlaue (Cr)'!$C:$FB,2)</f>
        <v>150</v>
      </c>
      <c r="C105" s="75">
        <f>VLOOKUP($A105,'Data Vlaue (Cr)'!$C:$FB,8)</f>
        <v>5694.5</v>
      </c>
      <c r="D105" s="75">
        <f>VLOOKUP($A105,'Data Vlaue (Cr)'!$C:$FB,4)</f>
        <v>5715</v>
      </c>
      <c r="E105" s="75">
        <f>VLOOKUP($A105,'Data Vlaue (Cr)'!$C:$FB,5)</f>
        <v>5684.5</v>
      </c>
      <c r="F105" s="75">
        <f t="shared" si="6"/>
        <v>20.5</v>
      </c>
      <c r="G105" s="75">
        <f t="shared" si="7"/>
        <v>0.5336832895888014</v>
      </c>
      <c r="H105" s="75">
        <f>VLOOKUP($A105,'Data Vlaue (Cr)'!$C:$FB,99)</f>
        <v>6360</v>
      </c>
      <c r="I105" s="75">
        <f>VLOOKUP($A105,'Data Vlaue (Cr)'!$C:$FB,100)</f>
        <v>6361</v>
      </c>
      <c r="J105" s="75">
        <f t="shared" si="8"/>
        <v>-1</v>
      </c>
      <c r="K105" s="75">
        <f t="shared" si="9"/>
        <v>-1.5723270440251572E-2</v>
      </c>
      <c r="L105" s="75">
        <f>VLOOKUP($A105,'Data Vlaue (Cr)'!$C:$FB,67)</f>
        <v>2044</v>
      </c>
      <c r="M105" s="75">
        <f>VLOOKUP($A105,'Data Vlaue (Cr)'!$C:$FB,68)</f>
        <v>2491</v>
      </c>
      <c r="N105" s="75">
        <f t="shared" si="10"/>
        <v>-447</v>
      </c>
      <c r="O105" s="75">
        <f t="shared" si="11"/>
        <v>-21.868884540117417</v>
      </c>
      <c r="P105" s="75">
        <f>VLOOKUP($A105,'Data Vlaue (Cr)'!$C:$FB,119)</f>
        <v>0.72</v>
      </c>
      <c r="Q105" s="75">
        <f>VLOOKUP($A105,'Data Vlaue (Cr)'!$C:$FB,122)*100</f>
        <v>1.41</v>
      </c>
      <c r="R105" s="75">
        <f>VLOOKUP($A105,'Data Vlaue (Cr)'!$C:$FB,125)</f>
        <v>0.48</v>
      </c>
      <c r="S105" s="75">
        <f>VLOOKUP($A105,'Data Vlaue (Cr)'!$C:$FB,128)*100</f>
        <v>45.45</v>
      </c>
    </row>
    <row r="106" spans="1:19" x14ac:dyDescent="0.25">
      <c r="A106" s="96" t="str">
        <f>'Data Vlaue (Cr)'!C97</f>
        <v>INDUSINDBK</v>
      </c>
      <c r="B106" s="75">
        <f>VLOOKUP($A106,'Data Vlaue (Cr)'!$C:$FB,2)</f>
        <v>700</v>
      </c>
      <c r="C106" s="75">
        <f>VLOOKUP($A106,'Data Vlaue (Cr)'!$C:$FB,8)</f>
        <v>739.3</v>
      </c>
      <c r="D106" s="75">
        <f>VLOOKUP($A106,'Data Vlaue (Cr)'!$C:$FB,4)</f>
        <v>743.8</v>
      </c>
      <c r="E106" s="75">
        <f>VLOOKUP($A106,'Data Vlaue (Cr)'!$C:$FB,5)</f>
        <v>752.3</v>
      </c>
      <c r="F106" s="75">
        <f t="shared" si="6"/>
        <v>4.5</v>
      </c>
      <c r="G106" s="75">
        <f t="shared" si="7"/>
        <v>-1.1427803172895941</v>
      </c>
      <c r="H106" s="75">
        <f>VLOOKUP($A106,'Data Vlaue (Cr)'!$C:$FB,99)</f>
        <v>5603</v>
      </c>
      <c r="I106" s="75">
        <f>VLOOKUP($A106,'Data Vlaue (Cr)'!$C:$FB,100)</f>
        <v>5506</v>
      </c>
      <c r="J106" s="75">
        <f t="shared" si="8"/>
        <v>97</v>
      </c>
      <c r="K106" s="75">
        <f t="shared" si="9"/>
        <v>1.7312154203105481</v>
      </c>
      <c r="L106" s="75">
        <f>VLOOKUP($A106,'Data Vlaue (Cr)'!$C:$FB,67)</f>
        <v>2536</v>
      </c>
      <c r="M106" s="75">
        <f>VLOOKUP($A106,'Data Vlaue (Cr)'!$C:$FB,68)</f>
        <v>1926</v>
      </c>
      <c r="N106" s="75">
        <f t="shared" si="10"/>
        <v>610</v>
      </c>
      <c r="O106" s="75">
        <f t="shared" si="11"/>
        <v>24.053627760252365</v>
      </c>
      <c r="P106" s="75">
        <f>VLOOKUP($A106,'Data Vlaue (Cr)'!$C:$FB,119)</f>
        <v>0.99</v>
      </c>
      <c r="Q106" s="75">
        <f>VLOOKUP($A106,'Data Vlaue (Cr)'!$C:$FB,122)*100</f>
        <v>-10</v>
      </c>
      <c r="R106" s="75">
        <f>VLOOKUP($A106,'Data Vlaue (Cr)'!$C:$FB,125)</f>
        <v>0.69</v>
      </c>
      <c r="S106" s="75">
        <f>VLOOKUP($A106,'Data Vlaue (Cr)'!$C:$FB,128)*100</f>
        <v>53.33</v>
      </c>
    </row>
    <row r="107" spans="1:19" x14ac:dyDescent="0.25">
      <c r="A107" s="96" t="str">
        <f>'Data Vlaue (Cr)'!C98</f>
        <v>INDUSTOWER</v>
      </c>
      <c r="B107" s="75">
        <f>VLOOKUP($A107,'Data Vlaue (Cr)'!$C:$FB,2)</f>
        <v>1700</v>
      </c>
      <c r="C107" s="75">
        <f>VLOOKUP($A107,'Data Vlaue (Cr)'!$C:$FB,8)</f>
        <v>353.65</v>
      </c>
      <c r="D107" s="75">
        <f>VLOOKUP($A107,'Data Vlaue (Cr)'!$C:$FB,4)</f>
        <v>355.35</v>
      </c>
      <c r="E107" s="75">
        <f>VLOOKUP($A107,'Data Vlaue (Cr)'!$C:$FB,5)</f>
        <v>356</v>
      </c>
      <c r="F107" s="75">
        <f t="shared" si="6"/>
        <v>1.7000000000000455</v>
      </c>
      <c r="G107" s="75">
        <f t="shared" si="7"/>
        <v>-0.18291824961305114</v>
      </c>
      <c r="H107" s="75">
        <f>VLOOKUP($A107,'Data Vlaue (Cr)'!$C:$FB,99)</f>
        <v>4083</v>
      </c>
      <c r="I107" s="75">
        <f>VLOOKUP($A107,'Data Vlaue (Cr)'!$C:$FB,100)</f>
        <v>4028</v>
      </c>
      <c r="J107" s="75">
        <f t="shared" si="8"/>
        <v>55</v>
      </c>
      <c r="K107" s="75">
        <f t="shared" si="9"/>
        <v>1.3470487386725447</v>
      </c>
      <c r="L107" s="75">
        <f>VLOOKUP($A107,'Data Vlaue (Cr)'!$C:$FB,67)</f>
        <v>1556</v>
      </c>
      <c r="M107" s="75">
        <f>VLOOKUP($A107,'Data Vlaue (Cr)'!$C:$FB,68)</f>
        <v>968</v>
      </c>
      <c r="N107" s="75">
        <f t="shared" si="10"/>
        <v>588</v>
      </c>
      <c r="O107" s="75">
        <f t="shared" si="11"/>
        <v>37.789203084832906</v>
      </c>
      <c r="P107" s="75">
        <f>VLOOKUP($A107,'Data Vlaue (Cr)'!$C:$FB,119)</f>
        <v>0.7</v>
      </c>
      <c r="Q107" s="75">
        <f>VLOOKUP($A107,'Data Vlaue (Cr)'!$C:$FB,122)*100</f>
        <v>-5.41</v>
      </c>
      <c r="R107" s="75">
        <f>VLOOKUP($A107,'Data Vlaue (Cr)'!$C:$FB,125)</f>
        <v>0.4</v>
      </c>
      <c r="S107" s="75">
        <f>VLOOKUP($A107,'Data Vlaue (Cr)'!$C:$FB,128)*100</f>
        <v>-14.89</v>
      </c>
    </row>
    <row r="108" spans="1:19" x14ac:dyDescent="0.25">
      <c r="A108" s="96" t="str">
        <f>'Data Vlaue (Cr)'!C99</f>
        <v>INFY</v>
      </c>
      <c r="B108" s="75">
        <f>VLOOKUP($A108,'Data Vlaue (Cr)'!$C:$FB,2)</f>
        <v>400</v>
      </c>
      <c r="C108" s="75">
        <f>VLOOKUP($A108,'Data Vlaue (Cr)'!$C:$FB,8)</f>
        <v>1476</v>
      </c>
      <c r="D108" s="75">
        <f>VLOOKUP($A108,'Data Vlaue (Cr)'!$C:$FB,4)</f>
        <v>1471.1</v>
      </c>
      <c r="E108" s="75">
        <f>VLOOKUP($A108,'Data Vlaue (Cr)'!$C:$FB,5)</f>
        <v>1442.3</v>
      </c>
      <c r="F108" s="75">
        <f t="shared" si="6"/>
        <v>-4.9000000000000909</v>
      </c>
      <c r="G108" s="75">
        <f t="shared" si="7"/>
        <v>1.9577187138875642</v>
      </c>
      <c r="H108" s="75">
        <f>VLOOKUP($A108,'Data Vlaue (Cr)'!$C:$FB,99)</f>
        <v>13747</v>
      </c>
      <c r="I108" s="75">
        <f>VLOOKUP($A108,'Data Vlaue (Cr)'!$C:$FB,100)</f>
        <v>13740</v>
      </c>
      <c r="J108" s="75">
        <f t="shared" si="8"/>
        <v>7</v>
      </c>
      <c r="K108" s="75">
        <f t="shared" si="9"/>
        <v>5.0920200771077326E-2</v>
      </c>
      <c r="L108" s="75">
        <f>VLOOKUP($A108,'Data Vlaue (Cr)'!$C:$FB,67)</f>
        <v>7704</v>
      </c>
      <c r="M108" s="75">
        <f>VLOOKUP($A108,'Data Vlaue (Cr)'!$C:$FB,68)</f>
        <v>4249</v>
      </c>
      <c r="N108" s="75">
        <f t="shared" si="10"/>
        <v>3455</v>
      </c>
      <c r="O108" s="75">
        <f t="shared" si="11"/>
        <v>44.846832814122536</v>
      </c>
      <c r="P108" s="75">
        <f>VLOOKUP($A108,'Data Vlaue (Cr)'!$C:$FB,119)</f>
        <v>0.88</v>
      </c>
      <c r="Q108" s="75">
        <f>VLOOKUP($A108,'Data Vlaue (Cr)'!$C:$FB,122)*100</f>
        <v>0</v>
      </c>
      <c r="R108" s="75">
        <f>VLOOKUP($A108,'Data Vlaue (Cr)'!$C:$FB,125)</f>
        <v>0.5</v>
      </c>
      <c r="S108" s="75">
        <f>VLOOKUP($A108,'Data Vlaue (Cr)'!$C:$FB,128)*100</f>
        <v>-3.85</v>
      </c>
    </row>
    <row r="109" spans="1:19" x14ac:dyDescent="0.25">
      <c r="A109" s="96" t="str">
        <f>'Data Vlaue (Cr)'!C100</f>
        <v>INOXWIND</v>
      </c>
      <c r="B109" s="75">
        <f>VLOOKUP($A109,'Data Vlaue (Cr)'!$C:$FB,2)</f>
        <v>3272</v>
      </c>
      <c r="C109" s="75">
        <f>VLOOKUP($A109,'Data Vlaue (Cr)'!$C:$FB,8)</f>
        <v>139.38</v>
      </c>
      <c r="D109" s="75">
        <f>VLOOKUP($A109,'Data Vlaue (Cr)'!$C:$FB,4)</f>
        <v>140.16</v>
      </c>
      <c r="E109" s="75">
        <f>VLOOKUP($A109,'Data Vlaue (Cr)'!$C:$FB,5)</f>
        <v>142.43</v>
      </c>
      <c r="F109" s="75">
        <f t="shared" si="6"/>
        <v>0.78000000000000114</v>
      </c>
      <c r="G109" s="75">
        <f t="shared" si="7"/>
        <v>-1.6195776255707834</v>
      </c>
      <c r="H109" s="75">
        <f>VLOOKUP($A109,'Data Vlaue (Cr)'!$C:$FB,99)</f>
        <v>980</v>
      </c>
      <c r="I109" s="75">
        <f>VLOOKUP($A109,'Data Vlaue (Cr)'!$C:$FB,100)</f>
        <v>930</v>
      </c>
      <c r="J109" s="75">
        <f t="shared" si="8"/>
        <v>50</v>
      </c>
      <c r="K109" s="75">
        <f t="shared" si="9"/>
        <v>5.1020408163265305</v>
      </c>
      <c r="L109" s="75">
        <f>VLOOKUP($A109,'Data Vlaue (Cr)'!$C:$FB,67)</f>
        <v>179</v>
      </c>
      <c r="M109" s="75">
        <f>VLOOKUP($A109,'Data Vlaue (Cr)'!$C:$FB,68)</f>
        <v>179</v>
      </c>
      <c r="N109" s="75">
        <f t="shared" si="10"/>
        <v>0</v>
      </c>
      <c r="O109" s="75">
        <f t="shared" si="11"/>
        <v>0</v>
      </c>
      <c r="P109" s="75">
        <f>VLOOKUP($A109,'Data Vlaue (Cr)'!$C:$FB,119)</f>
        <v>0.55000000000000004</v>
      </c>
      <c r="Q109" s="75">
        <f>VLOOKUP($A109,'Data Vlaue (Cr)'!$C:$FB,122)*100</f>
        <v>-6.78</v>
      </c>
      <c r="R109" s="75">
        <f>VLOOKUP($A109,'Data Vlaue (Cr)'!$C:$FB,125)</f>
        <v>0.34</v>
      </c>
      <c r="S109" s="75">
        <f>VLOOKUP($A109,'Data Vlaue (Cr)'!$C:$FB,128)*100</f>
        <v>112.5</v>
      </c>
    </row>
    <row r="110" spans="1:19" x14ac:dyDescent="0.25">
      <c r="A110" s="96" t="str">
        <f>'Data Vlaue (Cr)'!C101</f>
        <v>IOC</v>
      </c>
      <c r="B110" s="75">
        <f>VLOOKUP($A110,'Data Vlaue (Cr)'!$C:$FB,2)</f>
        <v>4875</v>
      </c>
      <c r="C110" s="75">
        <f>VLOOKUP($A110,'Data Vlaue (Cr)'!$C:$FB,8)</f>
        <v>154.84</v>
      </c>
      <c r="D110" s="75">
        <f>VLOOKUP($A110,'Data Vlaue (Cr)'!$C:$FB,4)</f>
        <v>155.72</v>
      </c>
      <c r="E110" s="75">
        <f>VLOOKUP($A110,'Data Vlaue (Cr)'!$C:$FB,5)</f>
        <v>151.32</v>
      </c>
      <c r="F110" s="75">
        <f t="shared" si="6"/>
        <v>0.87999999999999545</v>
      </c>
      <c r="G110" s="75">
        <f t="shared" si="7"/>
        <v>2.825584382224509</v>
      </c>
      <c r="H110" s="75">
        <f>VLOOKUP($A110,'Data Vlaue (Cr)'!$C:$FB,99)</f>
        <v>2252</v>
      </c>
      <c r="I110" s="75">
        <f>VLOOKUP($A110,'Data Vlaue (Cr)'!$C:$FB,100)</f>
        <v>2087</v>
      </c>
      <c r="J110" s="75">
        <f t="shared" si="8"/>
        <v>165</v>
      </c>
      <c r="K110" s="75">
        <f t="shared" si="9"/>
        <v>7.3268206039076382</v>
      </c>
      <c r="L110" s="75">
        <f>VLOOKUP($A110,'Data Vlaue (Cr)'!$C:$FB,67)</f>
        <v>2471</v>
      </c>
      <c r="M110" s="75">
        <f>VLOOKUP($A110,'Data Vlaue (Cr)'!$C:$FB,68)</f>
        <v>994</v>
      </c>
      <c r="N110" s="75">
        <f t="shared" si="10"/>
        <v>1477</v>
      </c>
      <c r="O110" s="75">
        <f t="shared" si="11"/>
        <v>59.773371104815865</v>
      </c>
      <c r="P110" s="75">
        <f>VLOOKUP($A110,'Data Vlaue (Cr)'!$C:$FB,119)</f>
        <v>0.74</v>
      </c>
      <c r="Q110" s="75">
        <f>VLOOKUP($A110,'Data Vlaue (Cr)'!$C:$FB,122)*100</f>
        <v>12.120000000000001</v>
      </c>
      <c r="R110" s="75">
        <f>VLOOKUP($A110,'Data Vlaue (Cr)'!$C:$FB,125)</f>
        <v>0.48</v>
      </c>
      <c r="S110" s="75">
        <f>VLOOKUP($A110,'Data Vlaue (Cr)'!$C:$FB,128)*100</f>
        <v>0</v>
      </c>
    </row>
    <row r="111" spans="1:19" x14ac:dyDescent="0.25">
      <c r="A111" s="96" t="str">
        <f>'Data Vlaue (Cr)'!C102</f>
        <v>IRCTC</v>
      </c>
      <c r="B111" s="75">
        <f>VLOOKUP($A111,'Data Vlaue (Cr)'!$C:$FB,2)</f>
        <v>875</v>
      </c>
      <c r="C111" s="75">
        <f>VLOOKUP($A111,'Data Vlaue (Cr)'!$C:$FB,8)</f>
        <v>710.25</v>
      </c>
      <c r="D111" s="75">
        <f>VLOOKUP($A111,'Data Vlaue (Cr)'!$C:$FB,4)</f>
        <v>714.1</v>
      </c>
      <c r="E111" s="75">
        <f>VLOOKUP($A111,'Data Vlaue (Cr)'!$C:$FB,5)</f>
        <v>711.75</v>
      </c>
      <c r="F111" s="75">
        <f t="shared" si="6"/>
        <v>3.8500000000000227</v>
      </c>
      <c r="G111" s="75">
        <f t="shared" si="7"/>
        <v>0.32908556224618718</v>
      </c>
      <c r="H111" s="75">
        <f>VLOOKUP($A111,'Data Vlaue (Cr)'!$C:$FB,99)</f>
        <v>1784</v>
      </c>
      <c r="I111" s="75">
        <f>VLOOKUP($A111,'Data Vlaue (Cr)'!$C:$FB,100)</f>
        <v>1727</v>
      </c>
      <c r="J111" s="75">
        <f t="shared" si="8"/>
        <v>57</v>
      </c>
      <c r="K111" s="75">
        <f t="shared" si="9"/>
        <v>3.195067264573991</v>
      </c>
      <c r="L111" s="75">
        <f>VLOOKUP($A111,'Data Vlaue (Cr)'!$C:$FB,67)</f>
        <v>376</v>
      </c>
      <c r="M111" s="75">
        <f>VLOOKUP($A111,'Data Vlaue (Cr)'!$C:$FB,68)</f>
        <v>383</v>
      </c>
      <c r="N111" s="75">
        <f t="shared" si="10"/>
        <v>-7</v>
      </c>
      <c r="O111" s="75">
        <f t="shared" si="11"/>
        <v>-1.8617021276595744</v>
      </c>
      <c r="P111" s="75">
        <f>VLOOKUP($A111,'Data Vlaue (Cr)'!$C:$FB,119)</f>
        <v>0.76</v>
      </c>
      <c r="Q111" s="75">
        <f>VLOOKUP($A111,'Data Vlaue (Cr)'!$C:$FB,122)*100</f>
        <v>-3.8</v>
      </c>
      <c r="R111" s="75">
        <f>VLOOKUP($A111,'Data Vlaue (Cr)'!$C:$FB,125)</f>
        <v>0.34</v>
      </c>
      <c r="S111" s="75">
        <f>VLOOKUP($A111,'Data Vlaue (Cr)'!$C:$FB,128)*100</f>
        <v>-5.56</v>
      </c>
    </row>
    <row r="112" spans="1:19" x14ac:dyDescent="0.25">
      <c r="A112" s="96" t="str">
        <f>'Data Vlaue (Cr)'!C103</f>
        <v>IREDA</v>
      </c>
      <c r="B112" s="75">
        <f>VLOOKUP($A112,'Data Vlaue (Cr)'!$C:$FB,2)</f>
        <v>3450</v>
      </c>
      <c r="C112" s="75">
        <f>VLOOKUP($A112,'Data Vlaue (Cr)'!$C:$FB,8)</f>
        <v>151.16</v>
      </c>
      <c r="D112" s="75">
        <f>VLOOKUP($A112,'Data Vlaue (Cr)'!$C:$FB,4)</f>
        <v>150.94999999999999</v>
      </c>
      <c r="E112" s="75">
        <f>VLOOKUP($A112,'Data Vlaue (Cr)'!$C:$FB,5)</f>
        <v>154.52000000000001</v>
      </c>
      <c r="F112" s="75">
        <f t="shared" si="6"/>
        <v>-0.21000000000000796</v>
      </c>
      <c r="G112" s="75">
        <f t="shared" si="7"/>
        <v>-2.3650215303080637</v>
      </c>
      <c r="H112" s="75">
        <f>VLOOKUP($A112,'Data Vlaue (Cr)'!$C:$FB,99)</f>
        <v>1244</v>
      </c>
      <c r="I112" s="75">
        <f>VLOOKUP($A112,'Data Vlaue (Cr)'!$C:$FB,100)</f>
        <v>1095</v>
      </c>
      <c r="J112" s="75">
        <f t="shared" si="8"/>
        <v>149</v>
      </c>
      <c r="K112" s="75">
        <f t="shared" si="9"/>
        <v>11.97749196141479</v>
      </c>
      <c r="L112" s="75">
        <f>VLOOKUP($A112,'Data Vlaue (Cr)'!$C:$FB,67)</f>
        <v>725</v>
      </c>
      <c r="M112" s="75">
        <f>VLOOKUP($A112,'Data Vlaue (Cr)'!$C:$FB,68)</f>
        <v>1081</v>
      </c>
      <c r="N112" s="75">
        <f t="shared" si="10"/>
        <v>-356</v>
      </c>
      <c r="O112" s="75">
        <f t="shared" si="11"/>
        <v>-49.103448275862071</v>
      </c>
      <c r="P112" s="75">
        <f>VLOOKUP($A112,'Data Vlaue (Cr)'!$C:$FB,119)</f>
        <v>0.42</v>
      </c>
      <c r="Q112" s="75">
        <f>VLOOKUP($A112,'Data Vlaue (Cr)'!$C:$FB,122)*100</f>
        <v>0</v>
      </c>
      <c r="R112" s="75">
        <f>VLOOKUP($A112,'Data Vlaue (Cr)'!$C:$FB,125)</f>
        <v>0.27</v>
      </c>
      <c r="S112" s="75">
        <f>VLOOKUP($A112,'Data Vlaue (Cr)'!$C:$FB,128)*100</f>
        <v>-3.5700000000000003</v>
      </c>
    </row>
    <row r="113" spans="1:19" x14ac:dyDescent="0.25">
      <c r="A113" s="96" t="str">
        <f>'Data Vlaue (Cr)'!C104</f>
        <v>IRFC</v>
      </c>
      <c r="B113" s="75">
        <f>VLOOKUP($A113,'Data Vlaue (Cr)'!$C:$FB,2)</f>
        <v>4250</v>
      </c>
      <c r="C113" s="75">
        <f>VLOOKUP($A113,'Data Vlaue (Cr)'!$C:$FB,8)</f>
        <v>125.24</v>
      </c>
      <c r="D113" s="75">
        <f>VLOOKUP($A113,'Data Vlaue (Cr)'!$C:$FB,4)</f>
        <v>126.01</v>
      </c>
      <c r="E113" s="75">
        <f>VLOOKUP($A113,'Data Vlaue (Cr)'!$C:$FB,5)</f>
        <v>126.69</v>
      </c>
      <c r="F113" s="75">
        <f t="shared" si="6"/>
        <v>0.77000000000001023</v>
      </c>
      <c r="G113" s="75">
        <f t="shared" si="7"/>
        <v>-0.53963971113403109</v>
      </c>
      <c r="H113" s="75">
        <f>VLOOKUP($A113,'Data Vlaue (Cr)'!$C:$FB,99)</f>
        <v>855</v>
      </c>
      <c r="I113" s="75">
        <f>VLOOKUP($A113,'Data Vlaue (Cr)'!$C:$FB,100)</f>
        <v>823</v>
      </c>
      <c r="J113" s="75">
        <f t="shared" si="8"/>
        <v>32</v>
      </c>
      <c r="K113" s="75">
        <f t="shared" si="9"/>
        <v>3.7426900584795324</v>
      </c>
      <c r="L113" s="75">
        <f>VLOOKUP($A113,'Data Vlaue (Cr)'!$C:$FB,67)</f>
        <v>185</v>
      </c>
      <c r="M113" s="75">
        <f>VLOOKUP($A113,'Data Vlaue (Cr)'!$C:$FB,68)</f>
        <v>209</v>
      </c>
      <c r="N113" s="75">
        <f t="shared" si="10"/>
        <v>-24</v>
      </c>
      <c r="O113" s="75">
        <f t="shared" si="11"/>
        <v>-12.972972972972974</v>
      </c>
      <c r="P113" s="75">
        <f>VLOOKUP($A113,'Data Vlaue (Cr)'!$C:$FB,119)</f>
        <v>0.55000000000000004</v>
      </c>
      <c r="Q113" s="75">
        <f>VLOOKUP($A113,'Data Vlaue (Cr)'!$C:$FB,122)*100</f>
        <v>-1.79</v>
      </c>
      <c r="R113" s="75">
        <f>VLOOKUP($A113,'Data Vlaue (Cr)'!$C:$FB,125)</f>
        <v>0.31</v>
      </c>
      <c r="S113" s="75">
        <f>VLOOKUP($A113,'Data Vlaue (Cr)'!$C:$FB,128)*100</f>
        <v>-11.43</v>
      </c>
    </row>
    <row r="114" spans="1:19" x14ac:dyDescent="0.25">
      <c r="A114" s="96" t="str">
        <f>'Data Vlaue (Cr)'!C105</f>
        <v>ITC</v>
      </c>
      <c r="B114" s="75">
        <f>VLOOKUP($A114,'Data Vlaue (Cr)'!$C:$FB,2)</f>
        <v>1600</v>
      </c>
      <c r="C114" s="75">
        <f>VLOOKUP($A114,'Data Vlaue (Cr)'!$C:$FB,8)</f>
        <v>400.75</v>
      </c>
      <c r="D114" s="75">
        <f>VLOOKUP($A114,'Data Vlaue (Cr)'!$C:$FB,4)</f>
        <v>403.15</v>
      </c>
      <c r="E114" s="75">
        <f>VLOOKUP($A114,'Data Vlaue (Cr)'!$C:$FB,5)</f>
        <v>406.15</v>
      </c>
      <c r="F114" s="75">
        <f t="shared" si="6"/>
        <v>2.3999999999999773</v>
      </c>
      <c r="G114" s="75">
        <f t="shared" si="7"/>
        <v>-0.74413989830088068</v>
      </c>
      <c r="H114" s="75">
        <f>VLOOKUP($A114,'Data Vlaue (Cr)'!$C:$FB,99)</f>
        <v>7406</v>
      </c>
      <c r="I114" s="75">
        <f>VLOOKUP($A114,'Data Vlaue (Cr)'!$C:$FB,100)</f>
        <v>6859</v>
      </c>
      <c r="J114" s="75">
        <f t="shared" si="8"/>
        <v>547</v>
      </c>
      <c r="K114" s="75">
        <f t="shared" si="9"/>
        <v>7.3859033216311101</v>
      </c>
      <c r="L114" s="75">
        <f>VLOOKUP($A114,'Data Vlaue (Cr)'!$C:$FB,67)</f>
        <v>2919</v>
      </c>
      <c r="M114" s="75">
        <f>VLOOKUP($A114,'Data Vlaue (Cr)'!$C:$FB,68)</f>
        <v>3055</v>
      </c>
      <c r="N114" s="75">
        <f t="shared" si="10"/>
        <v>-136</v>
      </c>
      <c r="O114" s="75">
        <f t="shared" si="11"/>
        <v>-4.6591298389859546</v>
      </c>
      <c r="P114" s="75">
        <f>VLOOKUP($A114,'Data Vlaue (Cr)'!$C:$FB,119)</f>
        <v>0.7</v>
      </c>
      <c r="Q114" s="75">
        <f>VLOOKUP($A114,'Data Vlaue (Cr)'!$C:$FB,122)*100</f>
        <v>0</v>
      </c>
      <c r="R114" s="75">
        <f>VLOOKUP($A114,'Data Vlaue (Cr)'!$C:$FB,125)</f>
        <v>0.53</v>
      </c>
      <c r="S114" s="75">
        <f>VLOOKUP($A114,'Data Vlaue (Cr)'!$C:$FB,128)*100</f>
        <v>-10.17</v>
      </c>
    </row>
    <row r="115" spans="1:19" x14ac:dyDescent="0.25">
      <c r="A115" s="96" t="str">
        <f>'Data Vlaue (Cr)'!C106</f>
        <v>JINDALSTEL</v>
      </c>
      <c r="B115" s="75">
        <f>VLOOKUP($A115,'Data Vlaue (Cr)'!$C:$FB,2)</f>
        <v>625</v>
      </c>
      <c r="C115" s="75">
        <f>VLOOKUP($A115,'Data Vlaue (Cr)'!$C:$FB,8)</f>
        <v>1055.9000000000001</v>
      </c>
      <c r="D115" s="75">
        <f>VLOOKUP($A115,'Data Vlaue (Cr)'!$C:$FB,4)</f>
        <v>1059.3</v>
      </c>
      <c r="E115" s="75">
        <f>VLOOKUP($A115,'Data Vlaue (Cr)'!$C:$FB,5)</f>
        <v>1080.2</v>
      </c>
      <c r="F115" s="75">
        <f t="shared" si="6"/>
        <v>3.3999999999998636</v>
      </c>
      <c r="G115" s="75">
        <f t="shared" si="7"/>
        <v>-1.9730010384216079</v>
      </c>
      <c r="H115" s="75">
        <f>VLOOKUP($A115,'Data Vlaue (Cr)'!$C:$FB,99)</f>
        <v>2055</v>
      </c>
      <c r="I115" s="75">
        <f>VLOOKUP($A115,'Data Vlaue (Cr)'!$C:$FB,100)</f>
        <v>1912</v>
      </c>
      <c r="J115" s="75">
        <f t="shared" si="8"/>
        <v>143</v>
      </c>
      <c r="K115" s="75">
        <f t="shared" si="9"/>
        <v>6.9586374695863746</v>
      </c>
      <c r="L115" s="75">
        <f>VLOOKUP($A115,'Data Vlaue (Cr)'!$C:$FB,67)</f>
        <v>2238</v>
      </c>
      <c r="M115" s="75">
        <f>VLOOKUP($A115,'Data Vlaue (Cr)'!$C:$FB,68)</f>
        <v>2212</v>
      </c>
      <c r="N115" s="75">
        <f t="shared" si="10"/>
        <v>26</v>
      </c>
      <c r="O115" s="75">
        <f t="shared" si="11"/>
        <v>1.161751563896336</v>
      </c>
      <c r="P115" s="75">
        <f>VLOOKUP($A115,'Data Vlaue (Cr)'!$C:$FB,119)</f>
        <v>0.68</v>
      </c>
      <c r="Q115" s="75">
        <f>VLOOKUP($A115,'Data Vlaue (Cr)'!$C:$FB,122)*100</f>
        <v>-13.919999999999998</v>
      </c>
      <c r="R115" s="75">
        <f>VLOOKUP($A115,'Data Vlaue (Cr)'!$C:$FB,125)</f>
        <v>0.55000000000000004</v>
      </c>
      <c r="S115" s="75">
        <f>VLOOKUP($A115,'Data Vlaue (Cr)'!$C:$FB,128)*100</f>
        <v>77.42</v>
      </c>
    </row>
    <row r="116" spans="1:19" x14ac:dyDescent="0.25">
      <c r="A116" s="96" t="str">
        <f>'Data Vlaue (Cr)'!C107</f>
        <v>JIOFIN</v>
      </c>
      <c r="B116" s="75">
        <f>VLOOKUP($A116,'Data Vlaue (Cr)'!$C:$FB,2)</f>
        <v>2350</v>
      </c>
      <c r="C116" s="75">
        <f>VLOOKUP($A116,'Data Vlaue (Cr)'!$C:$FB,8)</f>
        <v>306.25</v>
      </c>
      <c r="D116" s="75">
        <f>VLOOKUP($A116,'Data Vlaue (Cr)'!$C:$FB,4)</f>
        <v>308.05</v>
      </c>
      <c r="E116" s="75">
        <f>VLOOKUP($A116,'Data Vlaue (Cr)'!$C:$FB,5)</f>
        <v>303.2</v>
      </c>
      <c r="F116" s="75">
        <f t="shared" si="6"/>
        <v>1.8000000000000114</v>
      </c>
      <c r="G116" s="75">
        <f t="shared" si="7"/>
        <v>1.5744197370556803</v>
      </c>
      <c r="H116" s="75">
        <f>VLOOKUP($A116,'Data Vlaue (Cr)'!$C:$FB,99)</f>
        <v>6810</v>
      </c>
      <c r="I116" s="75">
        <f>VLOOKUP($A116,'Data Vlaue (Cr)'!$C:$FB,100)</f>
        <v>6824</v>
      </c>
      <c r="J116" s="75">
        <f t="shared" si="8"/>
        <v>-14</v>
      </c>
      <c r="K116" s="75">
        <f t="shared" si="9"/>
        <v>-0.20558002936857561</v>
      </c>
      <c r="L116" s="75">
        <f>VLOOKUP($A116,'Data Vlaue (Cr)'!$C:$FB,67)</f>
        <v>3004</v>
      </c>
      <c r="M116" s="75">
        <f>VLOOKUP($A116,'Data Vlaue (Cr)'!$C:$FB,68)</f>
        <v>2023</v>
      </c>
      <c r="N116" s="75">
        <f t="shared" si="10"/>
        <v>981</v>
      </c>
      <c r="O116" s="75">
        <f t="shared" si="11"/>
        <v>32.656458055925427</v>
      </c>
      <c r="P116" s="75">
        <f>VLOOKUP($A116,'Data Vlaue (Cr)'!$C:$FB,119)</f>
        <v>0.76</v>
      </c>
      <c r="Q116" s="75">
        <f>VLOOKUP($A116,'Data Vlaue (Cr)'!$C:$FB,122)*100</f>
        <v>1.3299999999999998</v>
      </c>
      <c r="R116" s="75">
        <f>VLOOKUP($A116,'Data Vlaue (Cr)'!$C:$FB,125)</f>
        <v>0.38</v>
      </c>
      <c r="S116" s="75">
        <f>VLOOKUP($A116,'Data Vlaue (Cr)'!$C:$FB,128)*100</f>
        <v>-13.639999999999999</v>
      </c>
    </row>
    <row r="117" spans="1:19" x14ac:dyDescent="0.25">
      <c r="A117" s="96" t="str">
        <f>'Data Vlaue (Cr)'!C108</f>
        <v>JSWENERGY</v>
      </c>
      <c r="B117" s="75">
        <f>VLOOKUP($A117,'Data Vlaue (Cr)'!$C:$FB,2)</f>
        <v>1000</v>
      </c>
      <c r="C117" s="75">
        <f>VLOOKUP($A117,'Data Vlaue (Cr)'!$C:$FB,8)</f>
        <v>541</v>
      </c>
      <c r="D117" s="75">
        <f>VLOOKUP($A117,'Data Vlaue (Cr)'!$C:$FB,4)</f>
        <v>543.29999999999995</v>
      </c>
      <c r="E117" s="75">
        <f>VLOOKUP($A117,'Data Vlaue (Cr)'!$C:$FB,5)</f>
        <v>543.4</v>
      </c>
      <c r="F117" s="75">
        <f t="shared" si="6"/>
        <v>2.2999999999999545</v>
      </c>
      <c r="G117" s="75">
        <f t="shared" si="7"/>
        <v>-1.8406037180199293E-2</v>
      </c>
      <c r="H117" s="75">
        <f>VLOOKUP($A117,'Data Vlaue (Cr)'!$C:$FB,99)</f>
        <v>2555</v>
      </c>
      <c r="I117" s="75">
        <f>VLOOKUP($A117,'Data Vlaue (Cr)'!$C:$FB,100)</f>
        <v>2515</v>
      </c>
      <c r="J117" s="75">
        <f t="shared" si="8"/>
        <v>40</v>
      </c>
      <c r="K117" s="75">
        <f t="shared" si="9"/>
        <v>1.5655577299412915</v>
      </c>
      <c r="L117" s="75">
        <f>VLOOKUP($A117,'Data Vlaue (Cr)'!$C:$FB,67)</f>
        <v>432</v>
      </c>
      <c r="M117" s="75">
        <f>VLOOKUP($A117,'Data Vlaue (Cr)'!$C:$FB,68)</f>
        <v>443</v>
      </c>
      <c r="N117" s="75">
        <f t="shared" si="10"/>
        <v>-11</v>
      </c>
      <c r="O117" s="75">
        <f t="shared" si="11"/>
        <v>-2.5462962962962963</v>
      </c>
      <c r="P117" s="75">
        <f>VLOOKUP($A117,'Data Vlaue (Cr)'!$C:$FB,119)</f>
        <v>0.65</v>
      </c>
      <c r="Q117" s="75">
        <f>VLOOKUP($A117,'Data Vlaue (Cr)'!$C:$FB,122)*100</f>
        <v>-7.1400000000000006</v>
      </c>
      <c r="R117" s="75">
        <f>VLOOKUP($A117,'Data Vlaue (Cr)'!$C:$FB,125)</f>
        <v>0.39</v>
      </c>
      <c r="S117" s="75">
        <f>VLOOKUP($A117,'Data Vlaue (Cr)'!$C:$FB,128)*100</f>
        <v>25.81</v>
      </c>
    </row>
    <row r="118" spans="1:19" x14ac:dyDescent="0.25">
      <c r="A118" s="96" t="str">
        <f>'Data Vlaue (Cr)'!C109</f>
        <v>JSWSTEEL</v>
      </c>
      <c r="B118" s="75">
        <f>VLOOKUP($A118,'Data Vlaue (Cr)'!$C:$FB,2)</f>
        <v>675</v>
      </c>
      <c r="C118" s="75">
        <f>VLOOKUP($A118,'Data Vlaue (Cr)'!$C:$FB,8)</f>
        <v>1159.9000000000001</v>
      </c>
      <c r="D118" s="75">
        <f>VLOOKUP($A118,'Data Vlaue (Cr)'!$C:$FB,4)</f>
        <v>1167.5</v>
      </c>
      <c r="E118" s="75">
        <f>VLOOKUP($A118,'Data Vlaue (Cr)'!$C:$FB,5)</f>
        <v>1169.3</v>
      </c>
      <c r="F118" s="75">
        <f t="shared" si="6"/>
        <v>7.5999999999999091</v>
      </c>
      <c r="G118" s="75">
        <f t="shared" si="7"/>
        <v>-0.15417558886509247</v>
      </c>
      <c r="H118" s="75">
        <f>VLOOKUP($A118,'Data Vlaue (Cr)'!$C:$FB,99)</f>
        <v>6182</v>
      </c>
      <c r="I118" s="75">
        <f>VLOOKUP($A118,'Data Vlaue (Cr)'!$C:$FB,100)</f>
        <v>6147</v>
      </c>
      <c r="J118" s="75">
        <f t="shared" si="8"/>
        <v>35</v>
      </c>
      <c r="K118" s="75">
        <f t="shared" si="9"/>
        <v>0.56615981882885791</v>
      </c>
      <c r="L118" s="75">
        <f>VLOOKUP($A118,'Data Vlaue (Cr)'!$C:$FB,67)</f>
        <v>1333</v>
      </c>
      <c r="M118" s="75">
        <f>VLOOKUP($A118,'Data Vlaue (Cr)'!$C:$FB,68)</f>
        <v>3225</v>
      </c>
      <c r="N118" s="75">
        <f t="shared" si="10"/>
        <v>-1892</v>
      </c>
      <c r="O118" s="75">
        <f t="shared" si="11"/>
        <v>-141.93548387096774</v>
      </c>
      <c r="P118" s="75">
        <f>VLOOKUP($A118,'Data Vlaue (Cr)'!$C:$FB,119)</f>
        <v>0.65</v>
      </c>
      <c r="Q118" s="75">
        <f>VLOOKUP($A118,'Data Vlaue (Cr)'!$C:$FB,122)*100</f>
        <v>1.5599999999999998</v>
      </c>
      <c r="R118" s="75">
        <f>VLOOKUP($A118,'Data Vlaue (Cr)'!$C:$FB,125)</f>
        <v>0.5</v>
      </c>
      <c r="S118" s="75">
        <f>VLOOKUP($A118,'Data Vlaue (Cr)'!$C:$FB,128)*100</f>
        <v>16.28</v>
      </c>
    </row>
    <row r="119" spans="1:19" x14ac:dyDescent="0.25">
      <c r="A119" s="96" t="str">
        <f>'Data Vlaue (Cr)'!C110</f>
        <v>JUBLFOOD</v>
      </c>
      <c r="B119" s="75">
        <f>VLOOKUP($A119,'Data Vlaue (Cr)'!$C:$FB,2)</f>
        <v>1250</v>
      </c>
      <c r="C119" s="75">
        <f>VLOOKUP($A119,'Data Vlaue (Cr)'!$C:$FB,8)</f>
        <v>623.35</v>
      </c>
      <c r="D119" s="75">
        <f>VLOOKUP($A119,'Data Vlaue (Cr)'!$C:$FB,4)</f>
        <v>626.70000000000005</v>
      </c>
      <c r="E119" s="75">
        <f>VLOOKUP($A119,'Data Vlaue (Cr)'!$C:$FB,5)</f>
        <v>631.95000000000005</v>
      </c>
      <c r="F119" s="75">
        <f t="shared" si="6"/>
        <v>3.3500000000000227</v>
      </c>
      <c r="G119" s="75">
        <f t="shared" si="7"/>
        <v>-0.83772139779798949</v>
      </c>
      <c r="H119" s="75">
        <f>VLOOKUP($A119,'Data Vlaue (Cr)'!$C:$FB,99)</f>
        <v>1784</v>
      </c>
      <c r="I119" s="75">
        <f>VLOOKUP($A119,'Data Vlaue (Cr)'!$C:$FB,100)</f>
        <v>1679</v>
      </c>
      <c r="J119" s="75">
        <f t="shared" si="8"/>
        <v>105</v>
      </c>
      <c r="K119" s="75">
        <f t="shared" si="9"/>
        <v>5.8856502242152473</v>
      </c>
      <c r="L119" s="75">
        <f>VLOOKUP($A119,'Data Vlaue (Cr)'!$C:$FB,67)</f>
        <v>1009</v>
      </c>
      <c r="M119" s="75">
        <f>VLOOKUP($A119,'Data Vlaue (Cr)'!$C:$FB,68)</f>
        <v>493</v>
      </c>
      <c r="N119" s="75">
        <f t="shared" si="10"/>
        <v>516</v>
      </c>
      <c r="O119" s="75">
        <f t="shared" si="11"/>
        <v>51.139742319127848</v>
      </c>
      <c r="P119" s="75">
        <f>VLOOKUP($A119,'Data Vlaue (Cr)'!$C:$FB,119)</f>
        <v>0.66</v>
      </c>
      <c r="Q119" s="75">
        <f>VLOOKUP($A119,'Data Vlaue (Cr)'!$C:$FB,122)*100</f>
        <v>-2.94</v>
      </c>
      <c r="R119" s="75">
        <f>VLOOKUP($A119,'Data Vlaue (Cr)'!$C:$FB,125)</f>
        <v>0.48</v>
      </c>
      <c r="S119" s="75">
        <f>VLOOKUP($A119,'Data Vlaue (Cr)'!$C:$FB,128)*100</f>
        <v>41.18</v>
      </c>
    </row>
    <row r="120" spans="1:19" x14ac:dyDescent="0.25">
      <c r="A120" s="96" t="str">
        <f>'Data Vlaue (Cr)'!C111</f>
        <v>KALYANKJIL</v>
      </c>
      <c r="B120" s="75">
        <f>VLOOKUP($A120,'Data Vlaue (Cr)'!$C:$FB,2)</f>
        <v>1175</v>
      </c>
      <c r="C120" s="75">
        <f>VLOOKUP($A120,'Data Vlaue (Cr)'!$C:$FB,8)</f>
        <v>485.35</v>
      </c>
      <c r="D120" s="75">
        <f>VLOOKUP($A120,'Data Vlaue (Cr)'!$C:$FB,4)</f>
        <v>487.1</v>
      </c>
      <c r="E120" s="75">
        <f>VLOOKUP($A120,'Data Vlaue (Cr)'!$C:$FB,5)</f>
        <v>493.55</v>
      </c>
      <c r="F120" s="75">
        <f t="shared" si="6"/>
        <v>1.75</v>
      </c>
      <c r="G120" s="75">
        <f t="shared" si="7"/>
        <v>-1.3241634161363145</v>
      </c>
      <c r="H120" s="75">
        <f>VLOOKUP($A120,'Data Vlaue (Cr)'!$C:$FB,99)</f>
        <v>2432</v>
      </c>
      <c r="I120" s="75">
        <f>VLOOKUP($A120,'Data Vlaue (Cr)'!$C:$FB,100)</f>
        <v>2323</v>
      </c>
      <c r="J120" s="75">
        <f t="shared" si="8"/>
        <v>109</v>
      </c>
      <c r="K120" s="75">
        <f t="shared" si="9"/>
        <v>4.4819078947368416</v>
      </c>
      <c r="L120" s="75">
        <f>VLOOKUP($A120,'Data Vlaue (Cr)'!$C:$FB,67)</f>
        <v>1793</v>
      </c>
      <c r="M120" s="75">
        <f>VLOOKUP($A120,'Data Vlaue (Cr)'!$C:$FB,68)</f>
        <v>3745</v>
      </c>
      <c r="N120" s="75">
        <f t="shared" si="10"/>
        <v>-1952</v>
      </c>
      <c r="O120" s="75">
        <f t="shared" si="11"/>
        <v>-108.86781929726715</v>
      </c>
      <c r="P120" s="75">
        <f>VLOOKUP($A120,'Data Vlaue (Cr)'!$C:$FB,119)</f>
        <v>0.56000000000000005</v>
      </c>
      <c r="Q120" s="75">
        <f>VLOOKUP($A120,'Data Vlaue (Cr)'!$C:$FB,122)*100</f>
        <v>-8.2000000000000011</v>
      </c>
      <c r="R120" s="75">
        <f>VLOOKUP($A120,'Data Vlaue (Cr)'!$C:$FB,125)</f>
        <v>0.39</v>
      </c>
      <c r="S120" s="75">
        <f>VLOOKUP($A120,'Data Vlaue (Cr)'!$C:$FB,128)*100</f>
        <v>5.41</v>
      </c>
    </row>
    <row r="121" spans="1:19" x14ac:dyDescent="0.25">
      <c r="A121" s="96" t="str">
        <f>'Data Vlaue (Cr)'!C112</f>
        <v>KAYNES</v>
      </c>
      <c r="B121" s="75">
        <f>VLOOKUP($A121,'Data Vlaue (Cr)'!$C:$FB,2)</f>
        <v>100</v>
      </c>
      <c r="C121" s="75">
        <f>VLOOKUP($A121,'Data Vlaue (Cr)'!$C:$FB,8)</f>
        <v>7466.5</v>
      </c>
      <c r="D121" s="75">
        <f>VLOOKUP($A121,'Data Vlaue (Cr)'!$C:$FB,4)</f>
        <v>7487</v>
      </c>
      <c r="E121" s="75">
        <f>VLOOKUP($A121,'Data Vlaue (Cr)'!$C:$FB,5)</f>
        <v>7300.5</v>
      </c>
      <c r="F121" s="75">
        <f t="shared" si="6"/>
        <v>20.5</v>
      </c>
      <c r="G121" s="75">
        <f t="shared" si="7"/>
        <v>2.4909843729130494</v>
      </c>
      <c r="H121" s="75">
        <f>VLOOKUP($A121,'Data Vlaue (Cr)'!$C:$FB,99)</f>
        <v>1542</v>
      </c>
      <c r="I121" s="75">
        <f>VLOOKUP($A121,'Data Vlaue (Cr)'!$C:$FB,100)</f>
        <v>1529</v>
      </c>
      <c r="J121" s="75">
        <f t="shared" si="8"/>
        <v>13</v>
      </c>
      <c r="K121" s="75">
        <f t="shared" si="9"/>
        <v>0.8430609597924773</v>
      </c>
      <c r="L121" s="75">
        <f>VLOOKUP($A121,'Data Vlaue (Cr)'!$C:$FB,67)</f>
        <v>1697</v>
      </c>
      <c r="M121" s="75">
        <f>VLOOKUP($A121,'Data Vlaue (Cr)'!$C:$FB,68)</f>
        <v>659</v>
      </c>
      <c r="N121" s="75">
        <f t="shared" si="10"/>
        <v>1038</v>
      </c>
      <c r="O121" s="75">
        <f t="shared" si="11"/>
        <v>61.166764879198588</v>
      </c>
      <c r="P121" s="75">
        <f>VLOOKUP($A121,'Data Vlaue (Cr)'!$C:$FB,119)</f>
        <v>0.56999999999999995</v>
      </c>
      <c r="Q121" s="75">
        <f>VLOOKUP($A121,'Data Vlaue (Cr)'!$C:$FB,122)*100</f>
        <v>7.55</v>
      </c>
      <c r="R121" s="75">
        <f>VLOOKUP($A121,'Data Vlaue (Cr)'!$C:$FB,125)</f>
        <v>0.21</v>
      </c>
      <c r="S121" s="75">
        <f>VLOOKUP($A121,'Data Vlaue (Cr)'!$C:$FB,128)*100</f>
        <v>-27.589999999999996</v>
      </c>
    </row>
    <row r="122" spans="1:19" x14ac:dyDescent="0.25">
      <c r="A122" s="96" t="str">
        <f>'Data Vlaue (Cr)'!C113</f>
        <v>KEI</v>
      </c>
      <c r="B122" s="75">
        <f>VLOOKUP($A122,'Data Vlaue (Cr)'!$C:$FB,2)</f>
        <v>175</v>
      </c>
      <c r="C122" s="75">
        <f>VLOOKUP($A122,'Data Vlaue (Cr)'!$C:$FB,8)</f>
        <v>4131.7</v>
      </c>
      <c r="D122" s="75">
        <f>VLOOKUP($A122,'Data Vlaue (Cr)'!$C:$FB,4)</f>
        <v>4154.7</v>
      </c>
      <c r="E122" s="75">
        <f>VLOOKUP($A122,'Data Vlaue (Cr)'!$C:$FB,5)</f>
        <v>4070.5</v>
      </c>
      <c r="F122" s="75">
        <f t="shared" si="6"/>
        <v>23</v>
      </c>
      <c r="G122" s="75">
        <f t="shared" si="7"/>
        <v>2.026620453943722</v>
      </c>
      <c r="H122" s="75">
        <f>VLOOKUP($A122,'Data Vlaue (Cr)'!$C:$FB,99)</f>
        <v>846</v>
      </c>
      <c r="I122" s="75">
        <f>VLOOKUP($A122,'Data Vlaue (Cr)'!$C:$FB,100)</f>
        <v>788</v>
      </c>
      <c r="J122" s="75">
        <f t="shared" si="8"/>
        <v>58</v>
      </c>
      <c r="K122" s="75">
        <f t="shared" si="9"/>
        <v>6.8557919621749415</v>
      </c>
      <c r="L122" s="75">
        <f>VLOOKUP($A122,'Data Vlaue (Cr)'!$C:$FB,67)</f>
        <v>778</v>
      </c>
      <c r="M122" s="75">
        <f>VLOOKUP($A122,'Data Vlaue (Cr)'!$C:$FB,68)</f>
        <v>559</v>
      </c>
      <c r="N122" s="75">
        <f t="shared" si="10"/>
        <v>219</v>
      </c>
      <c r="O122" s="75">
        <f t="shared" si="11"/>
        <v>28.14910025706941</v>
      </c>
      <c r="P122" s="75">
        <f>VLOOKUP($A122,'Data Vlaue (Cr)'!$C:$FB,119)</f>
        <v>0.83</v>
      </c>
      <c r="Q122" s="75">
        <f>VLOOKUP($A122,'Data Vlaue (Cr)'!$C:$FB,122)*100</f>
        <v>-6.74</v>
      </c>
      <c r="R122" s="75">
        <f>VLOOKUP($A122,'Data Vlaue (Cr)'!$C:$FB,125)</f>
        <v>0.3</v>
      </c>
      <c r="S122" s="75">
        <f>VLOOKUP($A122,'Data Vlaue (Cr)'!$C:$FB,128)*100</f>
        <v>-57.75</v>
      </c>
    </row>
    <row r="123" spans="1:19" x14ac:dyDescent="0.25">
      <c r="A123" s="96" t="str">
        <f>'Data Vlaue (Cr)'!C114</f>
        <v>KFINTECH</v>
      </c>
      <c r="B123" s="75">
        <f>VLOOKUP($A123,'Data Vlaue (Cr)'!$C:$FB,2)</f>
        <v>450</v>
      </c>
      <c r="C123" s="75">
        <f>VLOOKUP($A123,'Data Vlaue (Cr)'!$C:$FB,8)</f>
        <v>1062.5</v>
      </c>
      <c r="D123" s="75">
        <f>VLOOKUP($A123,'Data Vlaue (Cr)'!$C:$FB,4)</f>
        <v>1068</v>
      </c>
      <c r="E123" s="75">
        <f>VLOOKUP($A123,'Data Vlaue (Cr)'!$C:$FB,5)</f>
        <v>1070.5999999999999</v>
      </c>
      <c r="F123" s="75">
        <f t="shared" si="6"/>
        <v>5.5</v>
      </c>
      <c r="G123" s="75">
        <f t="shared" si="7"/>
        <v>-0.24344569288388662</v>
      </c>
      <c r="H123" s="75">
        <f>VLOOKUP($A123,'Data Vlaue (Cr)'!$C:$FB,99)</f>
        <v>404</v>
      </c>
      <c r="I123" s="75">
        <f>VLOOKUP($A123,'Data Vlaue (Cr)'!$C:$FB,100)</f>
        <v>379</v>
      </c>
      <c r="J123" s="75">
        <f t="shared" si="8"/>
        <v>25</v>
      </c>
      <c r="K123" s="75">
        <f t="shared" si="9"/>
        <v>6.1881188118811883</v>
      </c>
      <c r="L123" s="75">
        <f>VLOOKUP($A123,'Data Vlaue (Cr)'!$C:$FB,67)</f>
        <v>118</v>
      </c>
      <c r="M123" s="75">
        <f>VLOOKUP($A123,'Data Vlaue (Cr)'!$C:$FB,68)</f>
        <v>150</v>
      </c>
      <c r="N123" s="75">
        <f t="shared" si="10"/>
        <v>-32</v>
      </c>
      <c r="O123" s="75">
        <f t="shared" si="11"/>
        <v>-27.118644067796609</v>
      </c>
      <c r="P123" s="75">
        <f>VLOOKUP($A123,'Data Vlaue (Cr)'!$C:$FB,119)</f>
        <v>0.5</v>
      </c>
      <c r="Q123" s="75">
        <f>VLOOKUP($A123,'Data Vlaue (Cr)'!$C:$FB,122)*100</f>
        <v>-18.029999999999998</v>
      </c>
      <c r="R123" s="75">
        <f>VLOOKUP($A123,'Data Vlaue (Cr)'!$C:$FB,125)</f>
        <v>0.19</v>
      </c>
      <c r="S123" s="75">
        <f>VLOOKUP($A123,'Data Vlaue (Cr)'!$C:$FB,128)*100</f>
        <v>-52.5</v>
      </c>
    </row>
    <row r="124" spans="1:19" x14ac:dyDescent="0.25">
      <c r="A124" s="96" t="str">
        <f>'Data Vlaue (Cr)'!C115</f>
        <v>KOTAKBANK</v>
      </c>
      <c r="B124" s="75">
        <f>VLOOKUP($A124,'Data Vlaue (Cr)'!$C:$FB,2)</f>
        <v>400</v>
      </c>
      <c r="C124" s="75">
        <f>VLOOKUP($A124,'Data Vlaue (Cr)'!$C:$FB,8)</f>
        <v>2146</v>
      </c>
      <c r="D124" s="75">
        <f>VLOOKUP($A124,'Data Vlaue (Cr)'!$C:$FB,4)</f>
        <v>2152.9</v>
      </c>
      <c r="E124" s="75">
        <f>VLOOKUP($A124,'Data Vlaue (Cr)'!$C:$FB,5)</f>
        <v>2108.8000000000002</v>
      </c>
      <c r="F124" s="75">
        <f t="shared" si="6"/>
        <v>6.9000000000000909</v>
      </c>
      <c r="G124" s="75">
        <f t="shared" si="7"/>
        <v>2.0483998327836828</v>
      </c>
      <c r="H124" s="75">
        <f>VLOOKUP($A124,'Data Vlaue (Cr)'!$C:$FB,99)</f>
        <v>11354</v>
      </c>
      <c r="I124" s="75">
        <f>VLOOKUP($A124,'Data Vlaue (Cr)'!$C:$FB,100)</f>
        <v>10804</v>
      </c>
      <c r="J124" s="75">
        <f t="shared" si="8"/>
        <v>550</v>
      </c>
      <c r="K124" s="75">
        <f t="shared" si="9"/>
        <v>4.8441078034172973</v>
      </c>
      <c r="L124" s="75">
        <f>VLOOKUP($A124,'Data Vlaue (Cr)'!$C:$FB,67)</f>
        <v>14819</v>
      </c>
      <c r="M124" s="75">
        <f>VLOOKUP($A124,'Data Vlaue (Cr)'!$C:$FB,68)</f>
        <v>11773</v>
      </c>
      <c r="N124" s="75">
        <f t="shared" si="10"/>
        <v>3046</v>
      </c>
      <c r="O124" s="75">
        <f t="shared" si="11"/>
        <v>20.554693299142993</v>
      </c>
      <c r="P124" s="75">
        <f>VLOOKUP($A124,'Data Vlaue (Cr)'!$C:$FB,119)</f>
        <v>1.1399999999999999</v>
      </c>
      <c r="Q124" s="75">
        <f>VLOOKUP($A124,'Data Vlaue (Cr)'!$C:$FB,122)*100</f>
        <v>-2.56</v>
      </c>
      <c r="R124" s="75">
        <f>VLOOKUP($A124,'Data Vlaue (Cr)'!$C:$FB,125)</f>
        <v>0.59</v>
      </c>
      <c r="S124" s="75">
        <f>VLOOKUP($A124,'Data Vlaue (Cr)'!$C:$FB,128)*100</f>
        <v>5.36</v>
      </c>
    </row>
    <row r="125" spans="1:19" x14ac:dyDescent="0.25">
      <c r="A125" s="96" t="str">
        <f>'Data Vlaue (Cr)'!C116</f>
        <v>KPITTECH</v>
      </c>
      <c r="B125" s="75">
        <f>VLOOKUP($A125,'Data Vlaue (Cr)'!$C:$FB,2)</f>
        <v>400</v>
      </c>
      <c r="C125" s="75">
        <f>VLOOKUP($A125,'Data Vlaue (Cr)'!$C:$FB,8)</f>
        <v>1156.7</v>
      </c>
      <c r="D125" s="75">
        <f>VLOOKUP($A125,'Data Vlaue (Cr)'!$C:$FB,4)</f>
        <v>1157</v>
      </c>
      <c r="E125" s="75">
        <f>VLOOKUP($A125,'Data Vlaue (Cr)'!$C:$FB,5)</f>
        <v>1152</v>
      </c>
      <c r="F125" s="75">
        <f t="shared" si="6"/>
        <v>0.29999999999995453</v>
      </c>
      <c r="G125" s="75">
        <f t="shared" si="7"/>
        <v>0.43215211754537602</v>
      </c>
      <c r="H125" s="75">
        <f>VLOOKUP($A125,'Data Vlaue (Cr)'!$C:$FB,99)</f>
        <v>1054</v>
      </c>
      <c r="I125" s="75">
        <f>VLOOKUP($A125,'Data Vlaue (Cr)'!$C:$FB,100)</f>
        <v>1003</v>
      </c>
      <c r="J125" s="75">
        <f t="shared" si="8"/>
        <v>51</v>
      </c>
      <c r="K125" s="75">
        <f t="shared" si="9"/>
        <v>4.838709677419355</v>
      </c>
      <c r="L125" s="75">
        <f>VLOOKUP($A125,'Data Vlaue (Cr)'!$C:$FB,67)</f>
        <v>716</v>
      </c>
      <c r="M125" s="75">
        <f>VLOOKUP($A125,'Data Vlaue (Cr)'!$C:$FB,68)</f>
        <v>419</v>
      </c>
      <c r="N125" s="75">
        <f t="shared" si="10"/>
        <v>297</v>
      </c>
      <c r="O125" s="75">
        <f t="shared" si="11"/>
        <v>41.480446927374302</v>
      </c>
      <c r="P125" s="75">
        <f>VLOOKUP($A125,'Data Vlaue (Cr)'!$C:$FB,119)</f>
        <v>0.79</v>
      </c>
      <c r="Q125" s="75">
        <f>VLOOKUP($A125,'Data Vlaue (Cr)'!$C:$FB,122)*100</f>
        <v>-2.4699999999999998</v>
      </c>
      <c r="R125" s="75">
        <f>VLOOKUP($A125,'Data Vlaue (Cr)'!$C:$FB,125)</f>
        <v>0.74</v>
      </c>
      <c r="S125" s="75">
        <f>VLOOKUP($A125,'Data Vlaue (Cr)'!$C:$FB,128)*100</f>
        <v>42.309999999999995</v>
      </c>
    </row>
    <row r="126" spans="1:19" x14ac:dyDescent="0.25">
      <c r="A126" s="96" t="str">
        <f>'Data Vlaue (Cr)'!C117</f>
        <v>LAURUSLABS</v>
      </c>
      <c r="B126" s="75">
        <f>VLOOKUP($A126,'Data Vlaue (Cr)'!$C:$FB,2)</f>
        <v>1700</v>
      </c>
      <c r="C126" s="75">
        <f>VLOOKUP($A126,'Data Vlaue (Cr)'!$C:$FB,8)</f>
        <v>863</v>
      </c>
      <c r="D126" s="75">
        <f>VLOOKUP($A126,'Data Vlaue (Cr)'!$C:$FB,4)</f>
        <v>868.35</v>
      </c>
      <c r="E126" s="75">
        <f>VLOOKUP($A126,'Data Vlaue (Cr)'!$C:$FB,5)</f>
        <v>872.75</v>
      </c>
      <c r="F126" s="75">
        <f t="shared" si="6"/>
        <v>5.3500000000000227</v>
      </c>
      <c r="G126" s="75">
        <f t="shared" si="7"/>
        <v>-0.50670812460413173</v>
      </c>
      <c r="H126" s="75">
        <f>VLOOKUP($A126,'Data Vlaue (Cr)'!$C:$FB,99)</f>
        <v>2989</v>
      </c>
      <c r="I126" s="75">
        <f>VLOOKUP($A126,'Data Vlaue (Cr)'!$C:$FB,100)</f>
        <v>2900</v>
      </c>
      <c r="J126" s="75">
        <f t="shared" si="8"/>
        <v>89</v>
      </c>
      <c r="K126" s="75">
        <f t="shared" si="9"/>
        <v>2.977584476413516</v>
      </c>
      <c r="L126" s="75">
        <f>VLOOKUP($A126,'Data Vlaue (Cr)'!$C:$FB,67)</f>
        <v>1155</v>
      </c>
      <c r="M126" s="75">
        <f>VLOOKUP($A126,'Data Vlaue (Cr)'!$C:$FB,68)</f>
        <v>1688</v>
      </c>
      <c r="N126" s="75">
        <f t="shared" si="10"/>
        <v>-533</v>
      </c>
      <c r="O126" s="75">
        <f t="shared" si="11"/>
        <v>-46.147186147186147</v>
      </c>
      <c r="P126" s="75">
        <f>VLOOKUP($A126,'Data Vlaue (Cr)'!$C:$FB,119)</f>
        <v>0.6</v>
      </c>
      <c r="Q126" s="75">
        <f>VLOOKUP($A126,'Data Vlaue (Cr)'!$C:$FB,122)*100</f>
        <v>-4.7600000000000007</v>
      </c>
      <c r="R126" s="75">
        <f>VLOOKUP($A126,'Data Vlaue (Cr)'!$C:$FB,125)</f>
        <v>0.44</v>
      </c>
      <c r="S126" s="75">
        <f>VLOOKUP($A126,'Data Vlaue (Cr)'!$C:$FB,128)*100</f>
        <v>-16.98</v>
      </c>
    </row>
    <row r="127" spans="1:19" x14ac:dyDescent="0.25">
      <c r="A127" s="96" t="str">
        <f>'Data Vlaue (Cr)'!C118</f>
        <v>LICHSGFIN</v>
      </c>
      <c r="B127" s="75">
        <f>VLOOKUP($A127,'Data Vlaue (Cr)'!$C:$FB,2)</f>
        <v>1000</v>
      </c>
      <c r="C127" s="75">
        <f>VLOOKUP($A127,'Data Vlaue (Cr)'!$C:$FB,8)</f>
        <v>576.85</v>
      </c>
      <c r="D127" s="75">
        <f>VLOOKUP($A127,'Data Vlaue (Cr)'!$C:$FB,4)</f>
        <v>580.20000000000005</v>
      </c>
      <c r="E127" s="75">
        <f>VLOOKUP($A127,'Data Vlaue (Cr)'!$C:$FB,5)</f>
        <v>582.54999999999995</v>
      </c>
      <c r="F127" s="75">
        <f t="shared" si="6"/>
        <v>3.3500000000000227</v>
      </c>
      <c r="G127" s="75">
        <f t="shared" si="7"/>
        <v>-0.40503274732849165</v>
      </c>
      <c r="H127" s="75">
        <f>VLOOKUP($A127,'Data Vlaue (Cr)'!$C:$FB,99)</f>
        <v>2435</v>
      </c>
      <c r="I127" s="75">
        <f>VLOOKUP($A127,'Data Vlaue (Cr)'!$C:$FB,100)</f>
        <v>2411</v>
      </c>
      <c r="J127" s="75">
        <f t="shared" si="8"/>
        <v>24</v>
      </c>
      <c r="K127" s="75">
        <f t="shared" si="9"/>
        <v>0.98562628336755653</v>
      </c>
      <c r="L127" s="75">
        <f>VLOOKUP($A127,'Data Vlaue (Cr)'!$C:$FB,67)</f>
        <v>360</v>
      </c>
      <c r="M127" s="75">
        <f>VLOOKUP($A127,'Data Vlaue (Cr)'!$C:$FB,68)</f>
        <v>503</v>
      </c>
      <c r="N127" s="75">
        <f t="shared" si="10"/>
        <v>-143</v>
      </c>
      <c r="O127" s="75">
        <f t="shared" si="11"/>
        <v>-39.722222222222221</v>
      </c>
      <c r="P127" s="75">
        <f>VLOOKUP($A127,'Data Vlaue (Cr)'!$C:$FB,119)</f>
        <v>0.79</v>
      </c>
      <c r="Q127" s="75">
        <f>VLOOKUP($A127,'Data Vlaue (Cr)'!$C:$FB,122)*100</f>
        <v>1.28</v>
      </c>
      <c r="R127" s="75">
        <f>VLOOKUP($A127,'Data Vlaue (Cr)'!$C:$FB,125)</f>
        <v>0.24</v>
      </c>
      <c r="S127" s="75">
        <f>VLOOKUP($A127,'Data Vlaue (Cr)'!$C:$FB,128)*100</f>
        <v>-22.58</v>
      </c>
    </row>
    <row r="128" spans="1:19" x14ac:dyDescent="0.25">
      <c r="A128" s="96" t="str">
        <f>'Data Vlaue (Cr)'!C119</f>
        <v>LICI</v>
      </c>
      <c r="B128" s="75">
        <f>VLOOKUP($A128,'Data Vlaue (Cr)'!$C:$FB,2)</f>
        <v>700</v>
      </c>
      <c r="C128" s="75">
        <f>VLOOKUP($A128,'Data Vlaue (Cr)'!$C:$FB,8)</f>
        <v>907.15</v>
      </c>
      <c r="D128" s="75">
        <f>VLOOKUP($A128,'Data Vlaue (Cr)'!$C:$FB,4)</f>
        <v>912.9</v>
      </c>
      <c r="E128" s="75">
        <f>VLOOKUP($A128,'Data Vlaue (Cr)'!$C:$FB,5)</f>
        <v>911.25</v>
      </c>
      <c r="F128" s="75">
        <f t="shared" si="6"/>
        <v>5.75</v>
      </c>
      <c r="G128" s="75">
        <f t="shared" si="7"/>
        <v>0.18074268813670472</v>
      </c>
      <c r="H128" s="75">
        <f>VLOOKUP($A128,'Data Vlaue (Cr)'!$C:$FB,99)</f>
        <v>1134</v>
      </c>
      <c r="I128" s="75">
        <f>VLOOKUP($A128,'Data Vlaue (Cr)'!$C:$FB,100)</f>
        <v>1074</v>
      </c>
      <c r="J128" s="75">
        <f t="shared" si="8"/>
        <v>60</v>
      </c>
      <c r="K128" s="75">
        <f t="shared" si="9"/>
        <v>5.2910052910052912</v>
      </c>
      <c r="L128" s="75">
        <f>VLOOKUP($A128,'Data Vlaue (Cr)'!$C:$FB,67)</f>
        <v>378</v>
      </c>
      <c r="M128" s="75">
        <f>VLOOKUP($A128,'Data Vlaue (Cr)'!$C:$FB,68)</f>
        <v>459</v>
      </c>
      <c r="N128" s="75">
        <f t="shared" si="10"/>
        <v>-81</v>
      </c>
      <c r="O128" s="75">
        <f t="shared" si="11"/>
        <v>-21.428571428571427</v>
      </c>
      <c r="P128" s="75">
        <f>VLOOKUP($A128,'Data Vlaue (Cr)'!$C:$FB,119)</f>
        <v>0.44</v>
      </c>
      <c r="Q128" s="75">
        <f>VLOOKUP($A128,'Data Vlaue (Cr)'!$C:$FB,122)*100</f>
        <v>0</v>
      </c>
      <c r="R128" s="75">
        <f>VLOOKUP($A128,'Data Vlaue (Cr)'!$C:$FB,125)</f>
        <v>0.28000000000000003</v>
      </c>
      <c r="S128" s="75">
        <f>VLOOKUP($A128,'Data Vlaue (Cr)'!$C:$FB,128)*100</f>
        <v>-3.45</v>
      </c>
    </row>
    <row r="129" spans="1:19" x14ac:dyDescent="0.25">
      <c r="A129" s="96" t="str">
        <f>'Data Vlaue (Cr)'!C120</f>
        <v>LODHA</v>
      </c>
      <c r="B129" s="75">
        <f>VLOOKUP($A129,'Data Vlaue (Cr)'!$C:$FB,2)</f>
        <v>450</v>
      </c>
      <c r="C129" s="75">
        <f>VLOOKUP($A129,'Data Vlaue (Cr)'!$C:$FB,8)</f>
        <v>1115.0999999999999</v>
      </c>
      <c r="D129" s="75">
        <f>VLOOKUP($A129,'Data Vlaue (Cr)'!$C:$FB,4)</f>
        <v>1122.5</v>
      </c>
      <c r="E129" s="75">
        <f>VLOOKUP($A129,'Data Vlaue (Cr)'!$C:$FB,5)</f>
        <v>1120.4000000000001</v>
      </c>
      <c r="F129" s="75">
        <f t="shared" si="6"/>
        <v>7.4000000000000909</v>
      </c>
      <c r="G129" s="75">
        <f t="shared" si="7"/>
        <v>0.18708240534520348</v>
      </c>
      <c r="H129" s="75">
        <f>VLOOKUP($A129,'Data Vlaue (Cr)'!$C:$FB,99)</f>
        <v>1670</v>
      </c>
      <c r="I129" s="75">
        <f>VLOOKUP($A129,'Data Vlaue (Cr)'!$C:$FB,100)</f>
        <v>1575</v>
      </c>
      <c r="J129" s="75">
        <f t="shared" si="8"/>
        <v>95</v>
      </c>
      <c r="K129" s="75">
        <f t="shared" si="9"/>
        <v>5.6886227544910177</v>
      </c>
      <c r="L129" s="75">
        <f>VLOOKUP($A129,'Data Vlaue (Cr)'!$C:$FB,67)</f>
        <v>726</v>
      </c>
      <c r="M129" s="75">
        <f>VLOOKUP($A129,'Data Vlaue (Cr)'!$C:$FB,68)</f>
        <v>764</v>
      </c>
      <c r="N129" s="75">
        <f t="shared" si="10"/>
        <v>-38</v>
      </c>
      <c r="O129" s="75">
        <f t="shared" si="11"/>
        <v>-5.2341597796143251</v>
      </c>
      <c r="P129" s="75">
        <f>VLOOKUP($A129,'Data Vlaue (Cr)'!$C:$FB,119)</f>
        <v>0.5</v>
      </c>
      <c r="Q129" s="75">
        <f>VLOOKUP($A129,'Data Vlaue (Cr)'!$C:$FB,122)*100</f>
        <v>2.04</v>
      </c>
      <c r="R129" s="75">
        <f>VLOOKUP($A129,'Data Vlaue (Cr)'!$C:$FB,125)</f>
        <v>0.27</v>
      </c>
      <c r="S129" s="75">
        <f>VLOOKUP($A129,'Data Vlaue (Cr)'!$C:$FB,128)*100</f>
        <v>-40</v>
      </c>
    </row>
    <row r="130" spans="1:19" x14ac:dyDescent="0.25">
      <c r="A130" s="96" t="str">
        <f>'Data Vlaue (Cr)'!C121</f>
        <v>LT</v>
      </c>
      <c r="B130" s="75">
        <f>VLOOKUP($A130,'Data Vlaue (Cr)'!$C:$FB,2)</f>
        <v>175</v>
      </c>
      <c r="C130" s="75">
        <f>VLOOKUP($A130,'Data Vlaue (Cr)'!$C:$FB,8)</f>
        <v>3737</v>
      </c>
      <c r="D130" s="75">
        <f>VLOOKUP($A130,'Data Vlaue (Cr)'!$C:$FB,4)</f>
        <v>3753.4</v>
      </c>
      <c r="E130" s="75">
        <f>VLOOKUP($A130,'Data Vlaue (Cr)'!$C:$FB,5)</f>
        <v>3751.1</v>
      </c>
      <c r="F130" s="75">
        <f t="shared" si="6"/>
        <v>16.400000000000091</v>
      </c>
      <c r="G130" s="75">
        <f t="shared" si="7"/>
        <v>6.1277774817503648E-2</v>
      </c>
      <c r="H130" s="75">
        <f>VLOOKUP($A130,'Data Vlaue (Cr)'!$C:$FB,99)</f>
        <v>9209</v>
      </c>
      <c r="I130" s="75">
        <f>VLOOKUP($A130,'Data Vlaue (Cr)'!$C:$FB,100)</f>
        <v>8887</v>
      </c>
      <c r="J130" s="75">
        <f t="shared" si="8"/>
        <v>322</v>
      </c>
      <c r="K130" s="75">
        <f t="shared" si="9"/>
        <v>3.4965794331632098</v>
      </c>
      <c r="L130" s="75">
        <f>VLOOKUP($A130,'Data Vlaue (Cr)'!$C:$FB,67)</f>
        <v>5721</v>
      </c>
      <c r="M130" s="75">
        <f>VLOOKUP($A130,'Data Vlaue (Cr)'!$C:$FB,68)</f>
        <v>5242</v>
      </c>
      <c r="N130" s="75">
        <f t="shared" si="10"/>
        <v>479</v>
      </c>
      <c r="O130" s="75">
        <f t="shared" si="11"/>
        <v>8.3726621220066431</v>
      </c>
      <c r="P130" s="75">
        <f>VLOOKUP($A130,'Data Vlaue (Cr)'!$C:$FB,119)</f>
        <v>0.5</v>
      </c>
      <c r="Q130" s="75">
        <f>VLOOKUP($A130,'Data Vlaue (Cr)'!$C:$FB,122)*100</f>
        <v>-9.09</v>
      </c>
      <c r="R130" s="75">
        <f>VLOOKUP($A130,'Data Vlaue (Cr)'!$C:$FB,125)</f>
        <v>0.28000000000000003</v>
      </c>
      <c r="S130" s="75">
        <f>VLOOKUP($A130,'Data Vlaue (Cr)'!$C:$FB,128)*100</f>
        <v>-22.220000000000002</v>
      </c>
    </row>
    <row r="131" spans="1:19" x14ac:dyDescent="0.25">
      <c r="A131" s="96" t="str">
        <f>'Data Vlaue (Cr)'!C122</f>
        <v>LTF</v>
      </c>
      <c r="B131" s="75">
        <f>VLOOKUP($A131,'Data Vlaue (Cr)'!$C:$FB,2)</f>
        <v>4462</v>
      </c>
      <c r="C131" s="75">
        <f>VLOOKUP($A131,'Data Vlaue (Cr)'!$C:$FB,8)</f>
        <v>259.87</v>
      </c>
      <c r="D131" s="75">
        <f>VLOOKUP($A131,'Data Vlaue (Cr)'!$C:$FB,4)</f>
        <v>261.11</v>
      </c>
      <c r="E131" s="75">
        <f>VLOOKUP($A131,'Data Vlaue (Cr)'!$C:$FB,5)</f>
        <v>263.36</v>
      </c>
      <c r="F131" s="75">
        <f t="shared" si="6"/>
        <v>1.2400000000000091</v>
      </c>
      <c r="G131" s="75">
        <f t="shared" si="7"/>
        <v>-0.86170579449274254</v>
      </c>
      <c r="H131" s="75">
        <f>VLOOKUP($A131,'Data Vlaue (Cr)'!$C:$FB,99)</f>
        <v>2447</v>
      </c>
      <c r="I131" s="75">
        <f>VLOOKUP($A131,'Data Vlaue (Cr)'!$C:$FB,100)</f>
        <v>2383</v>
      </c>
      <c r="J131" s="75">
        <f t="shared" si="8"/>
        <v>64</v>
      </c>
      <c r="K131" s="75">
        <f t="shared" si="9"/>
        <v>2.6154474867184305</v>
      </c>
      <c r="L131" s="75">
        <f>VLOOKUP($A131,'Data Vlaue (Cr)'!$C:$FB,67)</f>
        <v>2893</v>
      </c>
      <c r="M131" s="75">
        <f>VLOOKUP($A131,'Data Vlaue (Cr)'!$C:$FB,68)</f>
        <v>2378</v>
      </c>
      <c r="N131" s="75">
        <f t="shared" si="10"/>
        <v>515</v>
      </c>
      <c r="O131" s="75">
        <f t="shared" si="11"/>
        <v>17.801590044936052</v>
      </c>
      <c r="P131" s="75">
        <f>VLOOKUP($A131,'Data Vlaue (Cr)'!$C:$FB,119)</f>
        <v>0.95</v>
      </c>
      <c r="Q131" s="75">
        <f>VLOOKUP($A131,'Data Vlaue (Cr)'!$C:$FB,122)*100</f>
        <v>-12.04</v>
      </c>
      <c r="R131" s="75">
        <f>VLOOKUP($A131,'Data Vlaue (Cr)'!$C:$FB,125)</f>
        <v>0.55000000000000004</v>
      </c>
      <c r="S131" s="75">
        <f>VLOOKUP($A131,'Data Vlaue (Cr)'!$C:$FB,128)*100</f>
        <v>3.7699999999999996</v>
      </c>
    </row>
    <row r="132" spans="1:19" x14ac:dyDescent="0.25">
      <c r="A132" s="96" t="str">
        <f>'Data Vlaue (Cr)'!C123</f>
        <v>LTIM</v>
      </c>
      <c r="B132" s="75">
        <f>VLOOKUP($A132,'Data Vlaue (Cr)'!$C:$FB,2)</f>
        <v>150</v>
      </c>
      <c r="C132" s="75">
        <f>VLOOKUP($A132,'Data Vlaue (Cr)'!$C:$FB,8)</f>
        <v>5274</v>
      </c>
      <c r="D132" s="75">
        <f>VLOOKUP($A132,'Data Vlaue (Cr)'!$C:$FB,4)</f>
        <v>5264.5</v>
      </c>
      <c r="E132" s="75">
        <f>VLOOKUP($A132,'Data Vlaue (Cr)'!$C:$FB,5)</f>
        <v>5116.5</v>
      </c>
      <c r="F132" s="75">
        <f t="shared" si="6"/>
        <v>-9.5</v>
      </c>
      <c r="G132" s="75">
        <f t="shared" si="7"/>
        <v>2.811283122803685</v>
      </c>
      <c r="H132" s="75">
        <f>VLOOKUP($A132,'Data Vlaue (Cr)'!$C:$FB,99)</f>
        <v>1907</v>
      </c>
      <c r="I132" s="75">
        <f>VLOOKUP($A132,'Data Vlaue (Cr)'!$C:$FB,100)</f>
        <v>1865</v>
      </c>
      <c r="J132" s="75">
        <f t="shared" si="8"/>
        <v>42</v>
      </c>
      <c r="K132" s="75">
        <f t="shared" si="9"/>
        <v>2.202412165705296</v>
      </c>
      <c r="L132" s="75">
        <f>VLOOKUP($A132,'Data Vlaue (Cr)'!$C:$FB,67)</f>
        <v>1843</v>
      </c>
      <c r="M132" s="75">
        <f>VLOOKUP($A132,'Data Vlaue (Cr)'!$C:$FB,68)</f>
        <v>640</v>
      </c>
      <c r="N132" s="75">
        <f t="shared" si="10"/>
        <v>1203</v>
      </c>
      <c r="O132" s="75">
        <f t="shared" si="11"/>
        <v>65.274009766684742</v>
      </c>
      <c r="P132" s="75">
        <f>VLOOKUP($A132,'Data Vlaue (Cr)'!$C:$FB,119)</f>
        <v>0.65</v>
      </c>
      <c r="Q132" s="75">
        <f>VLOOKUP($A132,'Data Vlaue (Cr)'!$C:$FB,122)*100</f>
        <v>-10.96</v>
      </c>
      <c r="R132" s="75">
        <f>VLOOKUP($A132,'Data Vlaue (Cr)'!$C:$FB,125)</f>
        <v>0.23</v>
      </c>
      <c r="S132" s="75">
        <f>VLOOKUP($A132,'Data Vlaue (Cr)'!$C:$FB,128)*100</f>
        <v>-36.11</v>
      </c>
    </row>
    <row r="133" spans="1:19" x14ac:dyDescent="0.25">
      <c r="A133" s="96" t="str">
        <f>'Data Vlaue (Cr)'!C124</f>
        <v>LUPIN</v>
      </c>
      <c r="B133" s="75">
        <f>VLOOKUP($A133,'Data Vlaue (Cr)'!$C:$FB,2)</f>
        <v>425</v>
      </c>
      <c r="C133" s="75">
        <f>VLOOKUP($A133,'Data Vlaue (Cr)'!$C:$FB,8)</f>
        <v>1937.3</v>
      </c>
      <c r="D133" s="75">
        <f>VLOOKUP($A133,'Data Vlaue (Cr)'!$C:$FB,4)</f>
        <v>1949</v>
      </c>
      <c r="E133" s="75">
        <f>VLOOKUP($A133,'Data Vlaue (Cr)'!$C:$FB,5)</f>
        <v>1986.3</v>
      </c>
      <c r="F133" s="75">
        <f t="shared" si="6"/>
        <v>11.700000000000045</v>
      </c>
      <c r="G133" s="75">
        <f t="shared" si="7"/>
        <v>-1.9138019497178016</v>
      </c>
      <c r="H133" s="75">
        <f>VLOOKUP($A133,'Data Vlaue (Cr)'!$C:$FB,99)</f>
        <v>2944</v>
      </c>
      <c r="I133" s="75">
        <f>VLOOKUP($A133,'Data Vlaue (Cr)'!$C:$FB,100)</f>
        <v>2698</v>
      </c>
      <c r="J133" s="75">
        <f t="shared" si="8"/>
        <v>246</v>
      </c>
      <c r="K133" s="75">
        <f t="shared" si="9"/>
        <v>8.3559782608695645</v>
      </c>
      <c r="L133" s="75">
        <f>VLOOKUP($A133,'Data Vlaue (Cr)'!$C:$FB,67)</f>
        <v>1745</v>
      </c>
      <c r="M133" s="75">
        <f>VLOOKUP($A133,'Data Vlaue (Cr)'!$C:$FB,68)</f>
        <v>952</v>
      </c>
      <c r="N133" s="75">
        <f t="shared" si="10"/>
        <v>793</v>
      </c>
      <c r="O133" s="75">
        <f t="shared" si="11"/>
        <v>45.44412607449857</v>
      </c>
      <c r="P133" s="75">
        <f>VLOOKUP($A133,'Data Vlaue (Cr)'!$C:$FB,119)</f>
        <v>0.72</v>
      </c>
      <c r="Q133" s="75">
        <f>VLOOKUP($A133,'Data Vlaue (Cr)'!$C:$FB,122)*100</f>
        <v>-15.290000000000001</v>
      </c>
      <c r="R133" s="75">
        <f>VLOOKUP($A133,'Data Vlaue (Cr)'!$C:$FB,125)</f>
        <v>0.63</v>
      </c>
      <c r="S133" s="75">
        <f>VLOOKUP($A133,'Data Vlaue (Cr)'!$C:$FB,128)*100</f>
        <v>6.78</v>
      </c>
    </row>
    <row r="134" spans="1:19" x14ac:dyDescent="0.25">
      <c r="A134" s="96" t="str">
        <f>'Data Vlaue (Cr)'!C125</f>
        <v>M&amp;M</v>
      </c>
      <c r="B134" s="75">
        <f>VLOOKUP($A134,'Data Vlaue (Cr)'!$C:$FB,2)</f>
        <v>200</v>
      </c>
      <c r="C134" s="75">
        <f>VLOOKUP($A134,'Data Vlaue (Cr)'!$C:$FB,8)</f>
        <v>3472</v>
      </c>
      <c r="D134" s="75">
        <f>VLOOKUP($A134,'Data Vlaue (Cr)'!$C:$FB,4)</f>
        <v>3492.2</v>
      </c>
      <c r="E134" s="75">
        <f>VLOOKUP($A134,'Data Vlaue (Cr)'!$C:$FB,5)</f>
        <v>3474.3</v>
      </c>
      <c r="F134" s="75">
        <f t="shared" si="6"/>
        <v>20.199999999999818</v>
      </c>
      <c r="G134" s="75">
        <f t="shared" si="7"/>
        <v>0.51257087222952968</v>
      </c>
      <c r="H134" s="75">
        <f>VLOOKUP($A134,'Data Vlaue (Cr)'!$C:$FB,99)</f>
        <v>9504</v>
      </c>
      <c r="I134" s="75">
        <f>VLOOKUP($A134,'Data Vlaue (Cr)'!$C:$FB,100)</f>
        <v>9429</v>
      </c>
      <c r="J134" s="75">
        <f t="shared" si="8"/>
        <v>75</v>
      </c>
      <c r="K134" s="75">
        <f t="shared" si="9"/>
        <v>0.78914141414141414</v>
      </c>
      <c r="L134" s="75">
        <f>VLOOKUP($A134,'Data Vlaue (Cr)'!$C:$FB,67)</f>
        <v>2826</v>
      </c>
      <c r="M134" s="75">
        <f>VLOOKUP($A134,'Data Vlaue (Cr)'!$C:$FB,68)</f>
        <v>4617</v>
      </c>
      <c r="N134" s="75">
        <f t="shared" si="10"/>
        <v>-1791</v>
      </c>
      <c r="O134" s="75">
        <f t="shared" si="11"/>
        <v>-63.375796178343947</v>
      </c>
      <c r="P134" s="75">
        <f>VLOOKUP($A134,'Data Vlaue (Cr)'!$C:$FB,119)</f>
        <v>0.6</v>
      </c>
      <c r="Q134" s="75">
        <f>VLOOKUP($A134,'Data Vlaue (Cr)'!$C:$FB,122)*100</f>
        <v>-7.6899999999999995</v>
      </c>
      <c r="R134" s="75">
        <f>VLOOKUP($A134,'Data Vlaue (Cr)'!$C:$FB,125)</f>
        <v>0.42</v>
      </c>
      <c r="S134" s="75">
        <f>VLOOKUP($A134,'Data Vlaue (Cr)'!$C:$FB,128)*100</f>
        <v>-25</v>
      </c>
    </row>
    <row r="135" spans="1:19" x14ac:dyDescent="0.25">
      <c r="A135" s="96" t="str">
        <f>'Data Vlaue (Cr)'!C126</f>
        <v>MANAPPURAM</v>
      </c>
      <c r="B135" s="75">
        <f>VLOOKUP($A135,'Data Vlaue (Cr)'!$C:$FB,2)</f>
        <v>3000</v>
      </c>
      <c r="C135" s="75">
        <f>VLOOKUP($A135,'Data Vlaue (Cr)'!$C:$FB,8)</f>
        <v>290.75</v>
      </c>
      <c r="D135" s="75">
        <f>VLOOKUP($A135,'Data Vlaue (Cr)'!$C:$FB,4)</f>
        <v>292.5</v>
      </c>
      <c r="E135" s="75">
        <f>VLOOKUP($A135,'Data Vlaue (Cr)'!$C:$FB,5)</f>
        <v>287.45</v>
      </c>
      <c r="F135" s="75">
        <f t="shared" si="6"/>
        <v>1.75</v>
      </c>
      <c r="G135" s="75">
        <f t="shared" si="7"/>
        <v>1.7264957264957304</v>
      </c>
      <c r="H135" s="75">
        <f>VLOOKUP($A135,'Data Vlaue (Cr)'!$C:$FB,99)</f>
        <v>1196</v>
      </c>
      <c r="I135" s="75">
        <f>VLOOKUP($A135,'Data Vlaue (Cr)'!$C:$FB,100)</f>
        <v>1161</v>
      </c>
      <c r="J135" s="75">
        <f t="shared" si="8"/>
        <v>35</v>
      </c>
      <c r="K135" s="75">
        <f t="shared" si="9"/>
        <v>2.9264214046822743</v>
      </c>
      <c r="L135" s="75">
        <f>VLOOKUP($A135,'Data Vlaue (Cr)'!$C:$FB,67)</f>
        <v>891</v>
      </c>
      <c r="M135" s="75">
        <f>VLOOKUP($A135,'Data Vlaue (Cr)'!$C:$FB,68)</f>
        <v>377</v>
      </c>
      <c r="N135" s="75">
        <f t="shared" si="10"/>
        <v>514</v>
      </c>
      <c r="O135" s="75">
        <f t="shared" si="11"/>
        <v>57.687991021324358</v>
      </c>
      <c r="P135" s="75">
        <f>VLOOKUP($A135,'Data Vlaue (Cr)'!$C:$FB,119)</f>
        <v>0.5</v>
      </c>
      <c r="Q135" s="75">
        <f>VLOOKUP($A135,'Data Vlaue (Cr)'!$C:$FB,122)*100</f>
        <v>-10.71</v>
      </c>
      <c r="R135" s="75">
        <f>VLOOKUP($A135,'Data Vlaue (Cr)'!$C:$FB,125)</f>
        <v>0.3</v>
      </c>
      <c r="S135" s="75">
        <f>VLOOKUP($A135,'Data Vlaue (Cr)'!$C:$FB,128)*100</f>
        <v>-9.09</v>
      </c>
    </row>
    <row r="136" spans="1:19" x14ac:dyDescent="0.25">
      <c r="A136" s="96" t="str">
        <f>'Data Vlaue (Cr)'!C127</f>
        <v>MANKIND</v>
      </c>
      <c r="B136" s="75">
        <f>VLOOKUP($A136,'Data Vlaue (Cr)'!$C:$FB,2)</f>
        <v>225</v>
      </c>
      <c r="C136" s="75">
        <f>VLOOKUP($A136,'Data Vlaue (Cr)'!$C:$FB,8)</f>
        <v>2456.3000000000002</v>
      </c>
      <c r="D136" s="75">
        <f>VLOOKUP($A136,'Data Vlaue (Cr)'!$C:$FB,4)</f>
        <v>2468.9</v>
      </c>
      <c r="E136" s="75">
        <f>VLOOKUP($A136,'Data Vlaue (Cr)'!$C:$FB,5)</f>
        <v>2456</v>
      </c>
      <c r="F136" s="75">
        <f t="shared" si="6"/>
        <v>12.599999999999909</v>
      </c>
      <c r="G136" s="75">
        <f t="shared" si="7"/>
        <v>0.52249989874033331</v>
      </c>
      <c r="H136" s="75">
        <f>VLOOKUP($A136,'Data Vlaue (Cr)'!$C:$FB,99)</f>
        <v>614</v>
      </c>
      <c r="I136" s="75">
        <f>VLOOKUP($A136,'Data Vlaue (Cr)'!$C:$FB,100)</f>
        <v>580</v>
      </c>
      <c r="J136" s="75">
        <f t="shared" si="8"/>
        <v>34</v>
      </c>
      <c r="K136" s="75">
        <f t="shared" si="9"/>
        <v>5.5374592833876219</v>
      </c>
      <c r="L136" s="75">
        <f>VLOOKUP($A136,'Data Vlaue (Cr)'!$C:$FB,67)</f>
        <v>245</v>
      </c>
      <c r="M136" s="75">
        <f>VLOOKUP($A136,'Data Vlaue (Cr)'!$C:$FB,68)</f>
        <v>235</v>
      </c>
      <c r="N136" s="75">
        <f t="shared" si="10"/>
        <v>10</v>
      </c>
      <c r="O136" s="75">
        <f t="shared" si="11"/>
        <v>4.0816326530612246</v>
      </c>
      <c r="P136" s="75">
        <f>VLOOKUP($A136,'Data Vlaue (Cr)'!$C:$FB,119)</f>
        <v>0.59</v>
      </c>
      <c r="Q136" s="75">
        <f>VLOOKUP($A136,'Data Vlaue (Cr)'!$C:$FB,122)*100</f>
        <v>-9.2299999999999986</v>
      </c>
      <c r="R136" s="75">
        <f>VLOOKUP($A136,'Data Vlaue (Cr)'!$C:$FB,125)</f>
        <v>0.53</v>
      </c>
      <c r="S136" s="75">
        <f>VLOOKUP($A136,'Data Vlaue (Cr)'!$C:$FB,128)*100</f>
        <v>-8.6199999999999992</v>
      </c>
    </row>
    <row r="137" spans="1:19" x14ac:dyDescent="0.25">
      <c r="A137" s="96" t="str">
        <f>'Data Vlaue (Cr)'!C128</f>
        <v>MARICO</v>
      </c>
      <c r="B137" s="75">
        <f>VLOOKUP($A137,'Data Vlaue (Cr)'!$C:$FB,2)</f>
        <v>1200</v>
      </c>
      <c r="C137" s="75">
        <f>VLOOKUP($A137,'Data Vlaue (Cr)'!$C:$FB,8)</f>
        <v>715.55</v>
      </c>
      <c r="D137" s="75">
        <f>VLOOKUP($A137,'Data Vlaue (Cr)'!$C:$FB,4)</f>
        <v>719.3</v>
      </c>
      <c r="E137" s="75">
        <f>VLOOKUP($A137,'Data Vlaue (Cr)'!$C:$FB,5)</f>
        <v>713.65</v>
      </c>
      <c r="F137" s="75">
        <f t="shared" si="6"/>
        <v>3.75</v>
      </c>
      <c r="G137" s="75">
        <f t="shared" si="7"/>
        <v>0.78548588905880401</v>
      </c>
      <c r="H137" s="75">
        <f>VLOOKUP($A137,'Data Vlaue (Cr)'!$C:$FB,99)</f>
        <v>2422</v>
      </c>
      <c r="I137" s="75">
        <f>VLOOKUP($A137,'Data Vlaue (Cr)'!$C:$FB,100)</f>
        <v>2445</v>
      </c>
      <c r="J137" s="75">
        <f t="shared" si="8"/>
        <v>-23</v>
      </c>
      <c r="K137" s="75">
        <f t="shared" si="9"/>
        <v>-0.94962840627580514</v>
      </c>
      <c r="L137" s="75">
        <f>VLOOKUP($A137,'Data Vlaue (Cr)'!$C:$FB,67)</f>
        <v>904</v>
      </c>
      <c r="M137" s="75">
        <f>VLOOKUP($A137,'Data Vlaue (Cr)'!$C:$FB,68)</f>
        <v>601</v>
      </c>
      <c r="N137" s="75">
        <f t="shared" si="10"/>
        <v>303</v>
      </c>
      <c r="O137" s="75">
        <f t="shared" si="11"/>
        <v>33.517699115044245</v>
      </c>
      <c r="P137" s="75">
        <f>VLOOKUP($A137,'Data Vlaue (Cr)'!$C:$FB,119)</f>
        <v>0.81</v>
      </c>
      <c r="Q137" s="75">
        <f>VLOOKUP($A137,'Data Vlaue (Cr)'!$C:$FB,122)*100</f>
        <v>9.4600000000000009</v>
      </c>
      <c r="R137" s="75">
        <f>VLOOKUP($A137,'Data Vlaue (Cr)'!$C:$FB,125)</f>
        <v>0.53</v>
      </c>
      <c r="S137" s="75">
        <f>VLOOKUP($A137,'Data Vlaue (Cr)'!$C:$FB,128)*100</f>
        <v>32.5</v>
      </c>
    </row>
    <row r="138" spans="1:19" x14ac:dyDescent="0.25">
      <c r="A138" s="96" t="str">
        <f>'Data Vlaue (Cr)'!C129</f>
        <v>MARUTI</v>
      </c>
      <c r="B138" s="75">
        <f>VLOOKUP($A138,'Data Vlaue (Cr)'!$C:$FB,2)</f>
        <v>50</v>
      </c>
      <c r="C138" s="75">
        <f>VLOOKUP($A138,'Data Vlaue (Cr)'!$C:$FB,8)</f>
        <v>15998</v>
      </c>
      <c r="D138" s="75">
        <f>VLOOKUP($A138,'Data Vlaue (Cr)'!$C:$FB,4)</f>
        <v>16063</v>
      </c>
      <c r="E138" s="75">
        <f>VLOOKUP($A138,'Data Vlaue (Cr)'!$C:$FB,5)</f>
        <v>15904</v>
      </c>
      <c r="F138" s="75">
        <f t="shared" si="6"/>
        <v>65</v>
      </c>
      <c r="G138" s="75">
        <f t="shared" si="7"/>
        <v>0.98985245595467841</v>
      </c>
      <c r="H138" s="75">
        <f>VLOOKUP($A138,'Data Vlaue (Cr)'!$C:$FB,99)</f>
        <v>10520</v>
      </c>
      <c r="I138" s="75">
        <f>VLOOKUP($A138,'Data Vlaue (Cr)'!$C:$FB,100)</f>
        <v>10345</v>
      </c>
      <c r="J138" s="75">
        <f t="shared" si="8"/>
        <v>175</v>
      </c>
      <c r="K138" s="75">
        <f t="shared" si="9"/>
        <v>1.6634980988593155</v>
      </c>
      <c r="L138" s="75">
        <f>VLOOKUP($A138,'Data Vlaue (Cr)'!$C:$FB,67)</f>
        <v>11922</v>
      </c>
      <c r="M138" s="75">
        <f>VLOOKUP($A138,'Data Vlaue (Cr)'!$C:$FB,68)</f>
        <v>12552</v>
      </c>
      <c r="N138" s="75">
        <f t="shared" si="10"/>
        <v>-630</v>
      </c>
      <c r="O138" s="75">
        <f t="shared" si="11"/>
        <v>-5.2843482637141417</v>
      </c>
      <c r="P138" s="75">
        <f>VLOOKUP($A138,'Data Vlaue (Cr)'!$C:$FB,119)</f>
        <v>0.55000000000000004</v>
      </c>
      <c r="Q138" s="75">
        <f>VLOOKUP($A138,'Data Vlaue (Cr)'!$C:$FB,122)*100</f>
        <v>7.84</v>
      </c>
      <c r="R138" s="75">
        <f>VLOOKUP($A138,'Data Vlaue (Cr)'!$C:$FB,125)</f>
        <v>0.43</v>
      </c>
      <c r="S138" s="75">
        <f>VLOOKUP($A138,'Data Vlaue (Cr)'!$C:$FB,128)*100</f>
        <v>-18.87</v>
      </c>
    </row>
    <row r="139" spans="1:19" x14ac:dyDescent="0.25">
      <c r="A139" s="96" t="str">
        <f>'Data Vlaue (Cr)'!C130</f>
        <v>MAXHEALTH</v>
      </c>
      <c r="B139" s="75">
        <f>VLOOKUP($A139,'Data Vlaue (Cr)'!$C:$FB,2)</f>
        <v>525</v>
      </c>
      <c r="C139" s="75">
        <f>VLOOKUP($A139,'Data Vlaue (Cr)'!$C:$FB,8)</f>
        <v>1139.7</v>
      </c>
      <c r="D139" s="75">
        <f>VLOOKUP($A139,'Data Vlaue (Cr)'!$C:$FB,4)</f>
        <v>1143.2</v>
      </c>
      <c r="E139" s="75">
        <f>VLOOKUP($A139,'Data Vlaue (Cr)'!$C:$FB,5)</f>
        <v>1073.5</v>
      </c>
      <c r="F139" s="75">
        <f t="shared" si="6"/>
        <v>3.5</v>
      </c>
      <c r="G139" s="75">
        <f t="shared" si="7"/>
        <v>6.0969209237228874</v>
      </c>
      <c r="H139" s="75">
        <f>VLOOKUP($A139,'Data Vlaue (Cr)'!$C:$FB,99)</f>
        <v>2801</v>
      </c>
      <c r="I139" s="75">
        <f>VLOOKUP($A139,'Data Vlaue (Cr)'!$C:$FB,100)</f>
        <v>2995</v>
      </c>
      <c r="J139" s="75">
        <f t="shared" si="8"/>
        <v>-194</v>
      </c>
      <c r="K139" s="75">
        <f t="shared" si="9"/>
        <v>-6.9260978222063549</v>
      </c>
      <c r="L139" s="75">
        <f>VLOOKUP($A139,'Data Vlaue (Cr)'!$C:$FB,67)</f>
        <v>6384</v>
      </c>
      <c r="M139" s="75">
        <f>VLOOKUP($A139,'Data Vlaue (Cr)'!$C:$FB,68)</f>
        <v>3310</v>
      </c>
      <c r="N139" s="75">
        <f t="shared" si="10"/>
        <v>3074</v>
      </c>
      <c r="O139" s="75">
        <f t="shared" si="11"/>
        <v>48.151629072681708</v>
      </c>
      <c r="P139" s="75">
        <f>VLOOKUP($A139,'Data Vlaue (Cr)'!$C:$FB,119)</f>
        <v>0.82</v>
      </c>
      <c r="Q139" s="75">
        <f>VLOOKUP($A139,'Data Vlaue (Cr)'!$C:$FB,122)*100</f>
        <v>64</v>
      </c>
      <c r="R139" s="75">
        <f>VLOOKUP($A139,'Data Vlaue (Cr)'!$C:$FB,125)</f>
        <v>0.46</v>
      </c>
      <c r="S139" s="75">
        <f>VLOOKUP($A139,'Data Vlaue (Cr)'!$C:$FB,128)*100</f>
        <v>-45.24</v>
      </c>
    </row>
    <row r="140" spans="1:19" x14ac:dyDescent="0.25">
      <c r="A140" s="96" t="str">
        <f>'Data Vlaue (Cr)'!C131</f>
        <v>MAZDOCK</v>
      </c>
      <c r="B140" s="75">
        <f>VLOOKUP($A140,'Data Vlaue (Cr)'!$C:$FB,2)</f>
        <v>175</v>
      </c>
      <c r="C140" s="75">
        <f>VLOOKUP($A140,'Data Vlaue (Cr)'!$C:$FB,8)</f>
        <v>2888</v>
      </c>
      <c r="D140" s="75">
        <f>VLOOKUP($A140,'Data Vlaue (Cr)'!$C:$FB,4)</f>
        <v>2904.7</v>
      </c>
      <c r="E140" s="75">
        <f>VLOOKUP($A140,'Data Vlaue (Cr)'!$C:$FB,5)</f>
        <v>2900.5</v>
      </c>
      <c r="F140" s="75">
        <f t="shared" ref="F140:F176" si="12">D140-C140</f>
        <v>16.699999999999818</v>
      </c>
      <c r="G140" s="75">
        <f t="shared" ref="G140:G176" si="13">(D140-E140)/D140*100</f>
        <v>0.14459324542981439</v>
      </c>
      <c r="H140" s="75">
        <f>VLOOKUP($A140,'Data Vlaue (Cr)'!$C:$FB,99)</f>
        <v>1927</v>
      </c>
      <c r="I140" s="75">
        <f>VLOOKUP($A140,'Data Vlaue (Cr)'!$C:$FB,100)</f>
        <v>1872</v>
      </c>
      <c r="J140" s="75">
        <f t="shared" ref="J140:J176" si="14">H140-I140</f>
        <v>55</v>
      </c>
      <c r="K140" s="75">
        <f t="shared" ref="K140:K176" si="15">J140/H140*100</f>
        <v>2.8541774779449924</v>
      </c>
      <c r="L140" s="75">
        <f>VLOOKUP($A140,'Data Vlaue (Cr)'!$C:$FB,67)</f>
        <v>997</v>
      </c>
      <c r="M140" s="75">
        <f>VLOOKUP($A140,'Data Vlaue (Cr)'!$C:$FB,68)</f>
        <v>1143</v>
      </c>
      <c r="N140" s="75">
        <f t="shared" ref="N140:N176" si="16">L140-M140</f>
        <v>-146</v>
      </c>
      <c r="O140" s="75">
        <f t="shared" ref="O140:O176" si="17">N140/L140*100</f>
        <v>-14.643931795386159</v>
      </c>
      <c r="P140" s="75">
        <f>VLOOKUP($A140,'Data Vlaue (Cr)'!$C:$FB,119)</f>
        <v>0.61</v>
      </c>
      <c r="Q140" s="75">
        <f>VLOOKUP($A140,'Data Vlaue (Cr)'!$C:$FB,122)*100</f>
        <v>3.39</v>
      </c>
      <c r="R140" s="75">
        <f>VLOOKUP($A140,'Data Vlaue (Cr)'!$C:$FB,125)</f>
        <v>0.39</v>
      </c>
      <c r="S140" s="75">
        <f>VLOOKUP($A140,'Data Vlaue (Cr)'!$C:$FB,128)*100</f>
        <v>56.000000000000007</v>
      </c>
    </row>
    <row r="141" spans="1:19" x14ac:dyDescent="0.25">
      <c r="A141" s="96" t="str">
        <f>'Data Vlaue (Cr)'!C132</f>
        <v>MCX</v>
      </c>
      <c r="B141" s="75">
        <f>VLOOKUP($A141,'Data Vlaue (Cr)'!$C:$FB,2)</f>
        <v>125</v>
      </c>
      <c r="C141" s="75">
        <f>VLOOKUP($A141,'Data Vlaue (Cr)'!$C:$FB,8)</f>
        <v>8192</v>
      </c>
      <c r="D141" s="75">
        <f>VLOOKUP($A141,'Data Vlaue (Cr)'!$C:$FB,4)</f>
        <v>8245</v>
      </c>
      <c r="E141" s="75">
        <f>VLOOKUP($A141,'Data Vlaue (Cr)'!$C:$FB,5)</f>
        <v>8202.5</v>
      </c>
      <c r="F141" s="75">
        <f t="shared" si="12"/>
        <v>53</v>
      </c>
      <c r="G141" s="75">
        <f t="shared" si="13"/>
        <v>0.51546391752577314</v>
      </c>
      <c r="H141" s="75">
        <f>VLOOKUP($A141,'Data Vlaue (Cr)'!$C:$FB,99)</f>
        <v>3871</v>
      </c>
      <c r="I141" s="75">
        <f>VLOOKUP($A141,'Data Vlaue (Cr)'!$C:$FB,100)</f>
        <v>3710</v>
      </c>
      <c r="J141" s="75">
        <f t="shared" si="14"/>
        <v>161</v>
      </c>
      <c r="K141" s="75">
        <f t="shared" si="15"/>
        <v>4.1591320072332731</v>
      </c>
      <c r="L141" s="75">
        <f>VLOOKUP($A141,'Data Vlaue (Cr)'!$C:$FB,67)</f>
        <v>4234</v>
      </c>
      <c r="M141" s="75">
        <f>VLOOKUP($A141,'Data Vlaue (Cr)'!$C:$FB,68)</f>
        <v>6010</v>
      </c>
      <c r="N141" s="75">
        <f t="shared" si="16"/>
        <v>-1776</v>
      </c>
      <c r="O141" s="75">
        <f t="shared" si="17"/>
        <v>-41.946150212564945</v>
      </c>
      <c r="P141" s="75">
        <f>VLOOKUP($A141,'Data Vlaue (Cr)'!$C:$FB,119)</f>
        <v>0.67</v>
      </c>
      <c r="Q141" s="75">
        <f>VLOOKUP($A141,'Data Vlaue (Cr)'!$C:$FB,122)*100</f>
        <v>-2.9000000000000004</v>
      </c>
      <c r="R141" s="75">
        <f>VLOOKUP($A141,'Data Vlaue (Cr)'!$C:$FB,125)</f>
        <v>0.46</v>
      </c>
      <c r="S141" s="75">
        <f>VLOOKUP($A141,'Data Vlaue (Cr)'!$C:$FB,128)*100</f>
        <v>21.05</v>
      </c>
    </row>
    <row r="142" spans="1:19" x14ac:dyDescent="0.25">
      <c r="A142" s="96" t="str">
        <f>'Data Vlaue (Cr)'!C133</f>
        <v>MFSL</v>
      </c>
      <c r="B142" s="75">
        <f>VLOOKUP($A142,'Data Vlaue (Cr)'!$C:$FB,2)</f>
        <v>800</v>
      </c>
      <c r="C142" s="75">
        <f>VLOOKUP($A142,'Data Vlaue (Cr)'!$C:$FB,8)</f>
        <v>1605.4</v>
      </c>
      <c r="D142" s="75">
        <f>VLOOKUP($A142,'Data Vlaue (Cr)'!$C:$FB,4)</f>
        <v>1613.1</v>
      </c>
      <c r="E142" s="75">
        <f>VLOOKUP($A142,'Data Vlaue (Cr)'!$C:$FB,5)</f>
        <v>1615.1</v>
      </c>
      <c r="F142" s="75">
        <f t="shared" si="12"/>
        <v>7.6999999999998181</v>
      </c>
      <c r="G142" s="75">
        <f t="shared" si="13"/>
        <v>-0.12398487384539086</v>
      </c>
      <c r="H142" s="75">
        <f>VLOOKUP($A142,'Data Vlaue (Cr)'!$C:$FB,99)</f>
        <v>1178</v>
      </c>
      <c r="I142" s="75">
        <f>VLOOKUP($A142,'Data Vlaue (Cr)'!$C:$FB,100)</f>
        <v>1159</v>
      </c>
      <c r="J142" s="75">
        <f t="shared" si="14"/>
        <v>19</v>
      </c>
      <c r="K142" s="75">
        <f t="shared" si="15"/>
        <v>1.6129032258064515</v>
      </c>
      <c r="L142" s="75">
        <f>VLOOKUP($A142,'Data Vlaue (Cr)'!$C:$FB,67)</f>
        <v>456</v>
      </c>
      <c r="M142" s="75">
        <f>VLOOKUP($A142,'Data Vlaue (Cr)'!$C:$FB,68)</f>
        <v>446</v>
      </c>
      <c r="N142" s="75">
        <f t="shared" si="16"/>
        <v>10</v>
      </c>
      <c r="O142" s="75">
        <f t="shared" si="17"/>
        <v>2.1929824561403506</v>
      </c>
      <c r="P142" s="75">
        <f>VLOOKUP($A142,'Data Vlaue (Cr)'!$C:$FB,119)</f>
        <v>0.62</v>
      </c>
      <c r="Q142" s="75">
        <f>VLOOKUP($A142,'Data Vlaue (Cr)'!$C:$FB,122)*100</f>
        <v>-6.0600000000000005</v>
      </c>
      <c r="R142" s="75">
        <f>VLOOKUP($A142,'Data Vlaue (Cr)'!$C:$FB,125)</f>
        <v>0.28000000000000003</v>
      </c>
      <c r="S142" s="75">
        <f>VLOOKUP($A142,'Data Vlaue (Cr)'!$C:$FB,128)*100</f>
        <v>-24.32</v>
      </c>
    </row>
    <row r="143" spans="1:19" x14ac:dyDescent="0.25">
      <c r="A143" s="96" t="str">
        <f>'Data Vlaue (Cr)'!C134</f>
        <v>MIDCPNIFTY</v>
      </c>
      <c r="B143" s="75">
        <f>VLOOKUP($A143,'Data Vlaue (Cr)'!$C:$FB,2)</f>
        <v>140</v>
      </c>
      <c r="C143" s="75">
        <f>VLOOKUP($A143,'Data Vlaue (Cr)'!$C:$FB,8)</f>
        <v>12944.95</v>
      </c>
      <c r="D143" s="75">
        <f>VLOOKUP($A143,'Data Vlaue (Cr)'!$C:$FB,4)</f>
        <v>13014.4</v>
      </c>
      <c r="E143" s="75">
        <f>VLOOKUP($A143,'Data Vlaue (Cr)'!$C:$FB,5)</f>
        <v>12865.15</v>
      </c>
      <c r="F143" s="75">
        <f t="shared" si="12"/>
        <v>69.449999999998909</v>
      </c>
      <c r="G143" s="75">
        <f t="shared" si="13"/>
        <v>1.14680661421195</v>
      </c>
      <c r="H143" s="75">
        <f>VLOOKUP($A143,'Data Vlaue (Cr)'!$C:$FB,99)</f>
        <v>16810</v>
      </c>
      <c r="I143" s="75">
        <f>VLOOKUP($A143,'Data Vlaue (Cr)'!$C:$FB,100)</f>
        <v>15954</v>
      </c>
      <c r="J143" s="75">
        <f t="shared" si="14"/>
        <v>856</v>
      </c>
      <c r="K143" s="75"/>
      <c r="L143" s="75">
        <f>VLOOKUP($A143,'Data Vlaue (Cr)'!$C:$FB,67)</f>
        <v>36859</v>
      </c>
      <c r="M143" s="75">
        <f>VLOOKUP($A143,'Data Vlaue (Cr)'!$C:$FB,68)</f>
        <v>29782</v>
      </c>
      <c r="N143" s="75">
        <f t="shared" si="16"/>
        <v>7077</v>
      </c>
      <c r="O143" s="75">
        <f t="shared" si="17"/>
        <v>19.200195338994547</v>
      </c>
      <c r="P143" s="75">
        <f>VLOOKUP($A143,'Data Vlaue (Cr)'!$C:$FB,119)</f>
        <v>1.39</v>
      </c>
      <c r="Q143" s="75">
        <f>VLOOKUP($A143,'Data Vlaue (Cr)'!$C:$FB,122)*100</f>
        <v>2.21</v>
      </c>
      <c r="R143" s="75">
        <f>VLOOKUP($A143,'Data Vlaue (Cr)'!$C:$FB,125)</f>
        <v>1.26</v>
      </c>
      <c r="S143" s="75">
        <f>VLOOKUP($A143,'Data Vlaue (Cr)'!$C:$FB,128)*100</f>
        <v>26</v>
      </c>
    </row>
    <row r="144" spans="1:19" x14ac:dyDescent="0.25">
      <c r="A144" s="96" t="str">
        <f>'Data Vlaue (Cr)'!C135</f>
        <v>MOTHERSON</v>
      </c>
      <c r="B144" s="75">
        <f>VLOOKUP($A144,'Data Vlaue (Cr)'!$C:$FB,2)</f>
        <v>6150</v>
      </c>
      <c r="C144" s="75">
        <f>VLOOKUP($A144,'Data Vlaue (Cr)'!$C:$FB,8)</f>
        <v>106.22</v>
      </c>
      <c r="D144" s="75">
        <f>VLOOKUP($A144,'Data Vlaue (Cr)'!$C:$FB,4)</f>
        <v>106.85</v>
      </c>
      <c r="E144" s="75">
        <f>VLOOKUP($A144,'Data Vlaue (Cr)'!$C:$FB,5)</f>
        <v>107.05</v>
      </c>
      <c r="F144" s="75">
        <f t="shared" si="12"/>
        <v>0.62999999999999545</v>
      </c>
      <c r="G144" s="75">
        <f t="shared" si="13"/>
        <v>-0.1871782873186737</v>
      </c>
      <c r="H144" s="75">
        <f>VLOOKUP($A144,'Data Vlaue (Cr)'!$C:$FB,99)</f>
        <v>2500</v>
      </c>
      <c r="I144" s="75">
        <f>VLOOKUP($A144,'Data Vlaue (Cr)'!$C:$FB,100)</f>
        <v>2465</v>
      </c>
      <c r="J144" s="75">
        <f t="shared" si="14"/>
        <v>35</v>
      </c>
      <c r="K144" s="75">
        <f t="shared" si="15"/>
        <v>1.4000000000000001</v>
      </c>
      <c r="L144" s="75">
        <f>VLOOKUP($A144,'Data Vlaue (Cr)'!$C:$FB,67)</f>
        <v>485</v>
      </c>
      <c r="M144" s="75">
        <f>VLOOKUP($A144,'Data Vlaue (Cr)'!$C:$FB,68)</f>
        <v>630</v>
      </c>
      <c r="N144" s="75">
        <f t="shared" si="16"/>
        <v>-145</v>
      </c>
      <c r="O144" s="75">
        <f t="shared" si="17"/>
        <v>-29.896907216494846</v>
      </c>
      <c r="P144" s="75">
        <f>VLOOKUP($A144,'Data Vlaue (Cr)'!$C:$FB,119)</f>
        <v>0.53</v>
      </c>
      <c r="Q144" s="75">
        <f>VLOOKUP($A144,'Data Vlaue (Cr)'!$C:$FB,122)*100</f>
        <v>-1.8499999999999999</v>
      </c>
      <c r="R144" s="75">
        <f>VLOOKUP($A144,'Data Vlaue (Cr)'!$C:$FB,125)</f>
        <v>0.47</v>
      </c>
      <c r="S144" s="75">
        <f>VLOOKUP($A144,'Data Vlaue (Cr)'!$C:$FB,128)*100</f>
        <v>0</v>
      </c>
    </row>
    <row r="145" spans="1:19" x14ac:dyDescent="0.25">
      <c r="A145" s="96" t="str">
        <f>'Data Vlaue (Cr)'!C136</f>
        <v>MPHASIS</v>
      </c>
      <c r="B145" s="75">
        <f>VLOOKUP($A145,'Data Vlaue (Cr)'!$C:$FB,2)</f>
        <v>275</v>
      </c>
      <c r="C145" s="75">
        <f>VLOOKUP($A145,'Data Vlaue (Cr)'!$C:$FB,8)</f>
        <v>2792.3</v>
      </c>
      <c r="D145" s="75">
        <f>VLOOKUP($A145,'Data Vlaue (Cr)'!$C:$FB,4)</f>
        <v>2802.9</v>
      </c>
      <c r="E145" s="75">
        <f>VLOOKUP($A145,'Data Vlaue (Cr)'!$C:$FB,5)</f>
        <v>2742.8</v>
      </c>
      <c r="F145" s="75">
        <f t="shared" si="12"/>
        <v>10.599999999999909</v>
      </c>
      <c r="G145" s="75">
        <f t="shared" si="13"/>
        <v>2.1442077847943168</v>
      </c>
      <c r="H145" s="75">
        <f>VLOOKUP($A145,'Data Vlaue (Cr)'!$C:$FB,99)</f>
        <v>1504</v>
      </c>
      <c r="I145" s="75">
        <f>VLOOKUP($A145,'Data Vlaue (Cr)'!$C:$FB,100)</f>
        <v>1504</v>
      </c>
      <c r="J145" s="75">
        <f t="shared" si="14"/>
        <v>0</v>
      </c>
      <c r="K145" s="75">
        <f t="shared" si="15"/>
        <v>0</v>
      </c>
      <c r="L145" s="75">
        <f>VLOOKUP($A145,'Data Vlaue (Cr)'!$C:$FB,67)</f>
        <v>814</v>
      </c>
      <c r="M145" s="75">
        <f>VLOOKUP($A145,'Data Vlaue (Cr)'!$C:$FB,68)</f>
        <v>635</v>
      </c>
      <c r="N145" s="75">
        <f t="shared" si="16"/>
        <v>179</v>
      </c>
      <c r="O145" s="75">
        <f t="shared" si="17"/>
        <v>21.990171990171987</v>
      </c>
      <c r="P145" s="75">
        <f>VLOOKUP($A145,'Data Vlaue (Cr)'!$C:$FB,119)</f>
        <v>0.73</v>
      </c>
      <c r="Q145" s="75">
        <f>VLOOKUP($A145,'Data Vlaue (Cr)'!$C:$FB,122)*100</f>
        <v>-2.67</v>
      </c>
      <c r="R145" s="75">
        <f>VLOOKUP($A145,'Data Vlaue (Cr)'!$C:$FB,125)</f>
        <v>0.36</v>
      </c>
      <c r="S145" s="75">
        <f>VLOOKUP($A145,'Data Vlaue (Cr)'!$C:$FB,128)*100</f>
        <v>0</v>
      </c>
    </row>
    <row r="146" spans="1:19" x14ac:dyDescent="0.25">
      <c r="A146" s="96" t="str">
        <f>'Data Vlaue (Cr)'!C137</f>
        <v>MUTHOOTFIN</v>
      </c>
      <c r="B146" s="75">
        <f>VLOOKUP($A146,'Data Vlaue (Cr)'!$C:$FB,2)</f>
        <v>275</v>
      </c>
      <c r="C146" s="75">
        <f>VLOOKUP($A146,'Data Vlaue (Cr)'!$C:$FB,8)</f>
        <v>3227.7</v>
      </c>
      <c r="D146" s="75">
        <f>VLOOKUP($A146,'Data Vlaue (Cr)'!$C:$FB,4)</f>
        <v>3232</v>
      </c>
      <c r="E146" s="75">
        <f>VLOOKUP($A146,'Data Vlaue (Cr)'!$C:$FB,5)</f>
        <v>3175.6</v>
      </c>
      <c r="F146" s="75">
        <f t="shared" si="12"/>
        <v>4.3000000000001819</v>
      </c>
      <c r="G146" s="75">
        <f t="shared" si="13"/>
        <v>1.7450495049504979</v>
      </c>
      <c r="H146" s="75">
        <f>VLOOKUP($A146,'Data Vlaue (Cr)'!$C:$FB,99)</f>
        <v>1853</v>
      </c>
      <c r="I146" s="75">
        <f>VLOOKUP($A146,'Data Vlaue (Cr)'!$C:$FB,100)</f>
        <v>1606</v>
      </c>
      <c r="J146" s="75">
        <f t="shared" si="14"/>
        <v>247</v>
      </c>
      <c r="K146" s="75">
        <f t="shared" si="15"/>
        <v>13.329735563950351</v>
      </c>
      <c r="L146" s="75">
        <f>VLOOKUP($A146,'Data Vlaue (Cr)'!$C:$FB,67)</f>
        <v>2259</v>
      </c>
      <c r="M146" s="75">
        <f>VLOOKUP($A146,'Data Vlaue (Cr)'!$C:$FB,68)</f>
        <v>1303</v>
      </c>
      <c r="N146" s="75">
        <f t="shared" si="16"/>
        <v>956</v>
      </c>
      <c r="O146" s="75">
        <f t="shared" si="17"/>
        <v>42.319610447100487</v>
      </c>
      <c r="P146" s="75">
        <f>VLOOKUP($A146,'Data Vlaue (Cr)'!$C:$FB,119)</f>
        <v>0.71</v>
      </c>
      <c r="Q146" s="75">
        <f>VLOOKUP($A146,'Data Vlaue (Cr)'!$C:$FB,122)*100</f>
        <v>2.9000000000000004</v>
      </c>
      <c r="R146" s="75">
        <f>VLOOKUP($A146,'Data Vlaue (Cr)'!$C:$FB,125)</f>
        <v>0.43</v>
      </c>
      <c r="S146" s="75">
        <f>VLOOKUP($A146,'Data Vlaue (Cr)'!$C:$FB,128)*100</f>
        <v>-36.76</v>
      </c>
    </row>
    <row r="147" spans="1:19" x14ac:dyDescent="0.25">
      <c r="A147" s="96" t="str">
        <f>'Data Vlaue (Cr)'!C138</f>
        <v>NATIONALUM</v>
      </c>
      <c r="B147" s="75">
        <f>VLOOKUP($A147,'Data Vlaue (Cr)'!$C:$FB,2)</f>
        <v>3750</v>
      </c>
      <c r="C147" s="75">
        <f>VLOOKUP($A147,'Data Vlaue (Cr)'!$C:$FB,8)</f>
        <v>217.15</v>
      </c>
      <c r="D147" s="75">
        <f>VLOOKUP($A147,'Data Vlaue (Cr)'!$C:$FB,4)</f>
        <v>218.16</v>
      </c>
      <c r="E147" s="75">
        <f>VLOOKUP($A147,'Data Vlaue (Cr)'!$C:$FB,5)</f>
        <v>222.22</v>
      </c>
      <c r="F147" s="75">
        <f t="shared" si="12"/>
        <v>1.0099999999999909</v>
      </c>
      <c r="G147" s="75">
        <f t="shared" si="13"/>
        <v>-1.8610194352768621</v>
      </c>
      <c r="H147" s="75">
        <f>VLOOKUP($A147,'Data Vlaue (Cr)'!$C:$FB,99)</f>
        <v>2849</v>
      </c>
      <c r="I147" s="75">
        <f>VLOOKUP($A147,'Data Vlaue (Cr)'!$C:$FB,100)</f>
        <v>2674</v>
      </c>
      <c r="J147" s="75">
        <f t="shared" si="14"/>
        <v>175</v>
      </c>
      <c r="K147" s="75">
        <f t="shared" si="15"/>
        <v>6.1425061425061429</v>
      </c>
      <c r="L147" s="75">
        <f>VLOOKUP($A147,'Data Vlaue (Cr)'!$C:$FB,67)</f>
        <v>2126</v>
      </c>
      <c r="M147" s="75">
        <f>VLOOKUP($A147,'Data Vlaue (Cr)'!$C:$FB,68)</f>
        <v>4632</v>
      </c>
      <c r="N147" s="75">
        <f t="shared" si="16"/>
        <v>-2506</v>
      </c>
      <c r="O147" s="75">
        <f t="shared" si="17"/>
        <v>-117.87394167450611</v>
      </c>
      <c r="P147" s="75">
        <f>VLOOKUP($A147,'Data Vlaue (Cr)'!$C:$FB,119)</f>
        <v>0.65</v>
      </c>
      <c r="Q147" s="75">
        <f>VLOOKUP($A147,'Data Vlaue (Cr)'!$C:$FB,122)*100</f>
        <v>-13.33</v>
      </c>
      <c r="R147" s="75">
        <f>VLOOKUP($A147,'Data Vlaue (Cr)'!$C:$FB,125)</f>
        <v>0.45</v>
      </c>
      <c r="S147" s="75">
        <f>VLOOKUP($A147,'Data Vlaue (Cr)'!$C:$FB,128)*100</f>
        <v>2.27</v>
      </c>
    </row>
    <row r="148" spans="1:19" x14ac:dyDescent="0.25">
      <c r="A148" s="96" t="str">
        <f>'Data Vlaue (Cr)'!C139</f>
        <v>NAUKRI</v>
      </c>
      <c r="B148" s="75">
        <f>VLOOKUP($A148,'Data Vlaue (Cr)'!$C:$FB,2)</f>
        <v>375</v>
      </c>
      <c r="C148" s="75">
        <f>VLOOKUP($A148,'Data Vlaue (Cr)'!$C:$FB,8)</f>
        <v>1379.9</v>
      </c>
      <c r="D148" s="75">
        <f>VLOOKUP($A148,'Data Vlaue (Cr)'!$C:$FB,4)</f>
        <v>1384.9</v>
      </c>
      <c r="E148" s="75">
        <f>VLOOKUP($A148,'Data Vlaue (Cr)'!$C:$FB,5)</f>
        <v>1339.3</v>
      </c>
      <c r="F148" s="75">
        <f t="shared" si="12"/>
        <v>5</v>
      </c>
      <c r="G148" s="75">
        <f t="shared" si="13"/>
        <v>3.2926565094952802</v>
      </c>
      <c r="H148" s="75">
        <f>VLOOKUP($A148,'Data Vlaue (Cr)'!$C:$FB,99)</f>
        <v>1702</v>
      </c>
      <c r="I148" s="75">
        <f>VLOOKUP($A148,'Data Vlaue (Cr)'!$C:$FB,100)</f>
        <v>1694</v>
      </c>
      <c r="J148" s="75">
        <f t="shared" si="14"/>
        <v>8</v>
      </c>
      <c r="K148" s="75">
        <f t="shared" si="15"/>
        <v>0.4700352526439483</v>
      </c>
      <c r="L148" s="75">
        <f>VLOOKUP($A148,'Data Vlaue (Cr)'!$C:$FB,67)</f>
        <v>863</v>
      </c>
      <c r="M148" s="75">
        <f>VLOOKUP($A148,'Data Vlaue (Cr)'!$C:$FB,68)</f>
        <v>249</v>
      </c>
      <c r="N148" s="75">
        <f t="shared" si="16"/>
        <v>614</v>
      </c>
      <c r="O148" s="75">
        <f t="shared" si="17"/>
        <v>71.147161066048668</v>
      </c>
      <c r="P148" s="75">
        <f>VLOOKUP($A148,'Data Vlaue (Cr)'!$C:$FB,119)</f>
        <v>0.78</v>
      </c>
      <c r="Q148" s="75">
        <f>VLOOKUP($A148,'Data Vlaue (Cr)'!$C:$FB,122)*100</f>
        <v>11.43</v>
      </c>
      <c r="R148" s="75">
        <f>VLOOKUP($A148,'Data Vlaue (Cr)'!$C:$FB,125)</f>
        <v>0.41</v>
      </c>
      <c r="S148" s="75">
        <f>VLOOKUP($A148,'Data Vlaue (Cr)'!$C:$FB,128)*100</f>
        <v>-24.07</v>
      </c>
    </row>
    <row r="149" spans="1:19" x14ac:dyDescent="0.25">
      <c r="A149" s="96" t="str">
        <f>'Data Vlaue (Cr)'!C140</f>
        <v>NBCC</v>
      </c>
      <c r="B149" s="75">
        <f>VLOOKUP($A149,'Data Vlaue (Cr)'!$C:$FB,2)</f>
        <v>6500</v>
      </c>
      <c r="C149" s="75">
        <f>VLOOKUP($A149,'Data Vlaue (Cr)'!$C:$FB,8)</f>
        <v>111.34</v>
      </c>
      <c r="D149" s="75">
        <f>VLOOKUP($A149,'Data Vlaue (Cr)'!$C:$FB,4)</f>
        <v>111.97</v>
      </c>
      <c r="E149" s="75">
        <f>VLOOKUP($A149,'Data Vlaue (Cr)'!$C:$FB,5)</f>
        <v>113.62</v>
      </c>
      <c r="F149" s="75">
        <f t="shared" si="12"/>
        <v>0.62999999999999545</v>
      </c>
      <c r="G149" s="75">
        <f t="shared" si="13"/>
        <v>-1.4736090024113653</v>
      </c>
      <c r="H149" s="75">
        <f>VLOOKUP($A149,'Data Vlaue (Cr)'!$C:$FB,99)</f>
        <v>1045</v>
      </c>
      <c r="I149" s="75">
        <f>VLOOKUP($A149,'Data Vlaue (Cr)'!$C:$FB,100)</f>
        <v>974</v>
      </c>
      <c r="J149" s="75">
        <f t="shared" si="14"/>
        <v>71</v>
      </c>
      <c r="K149" s="75">
        <f t="shared" si="15"/>
        <v>6.7942583732057411</v>
      </c>
      <c r="L149" s="75">
        <f>VLOOKUP($A149,'Data Vlaue (Cr)'!$C:$FB,67)</f>
        <v>405</v>
      </c>
      <c r="M149" s="75">
        <f>VLOOKUP($A149,'Data Vlaue (Cr)'!$C:$FB,68)</f>
        <v>652</v>
      </c>
      <c r="N149" s="75">
        <f t="shared" si="16"/>
        <v>-247</v>
      </c>
      <c r="O149" s="75">
        <f t="shared" si="17"/>
        <v>-60.987654320987652</v>
      </c>
      <c r="P149" s="75">
        <f>VLOOKUP($A149,'Data Vlaue (Cr)'!$C:$FB,119)</f>
        <v>0.49</v>
      </c>
      <c r="Q149" s="75">
        <f>VLOOKUP($A149,'Data Vlaue (Cr)'!$C:$FB,122)*100</f>
        <v>-16.950000000000003</v>
      </c>
      <c r="R149" s="75">
        <f>VLOOKUP($A149,'Data Vlaue (Cr)'!$C:$FB,125)</f>
        <v>0.33</v>
      </c>
      <c r="S149" s="75">
        <f>VLOOKUP($A149,'Data Vlaue (Cr)'!$C:$FB,128)*100</f>
        <v>6.45</v>
      </c>
    </row>
    <row r="150" spans="1:19" x14ac:dyDescent="0.25">
      <c r="A150" s="96" t="str">
        <f>'Data Vlaue (Cr)'!C141</f>
        <v>NCC</v>
      </c>
      <c r="B150" s="75">
        <f>VLOOKUP($A150,'Data Vlaue (Cr)'!$C:$FB,2)</f>
        <v>2700</v>
      </c>
      <c r="C150" s="75">
        <f>VLOOKUP($A150,'Data Vlaue (Cr)'!$C:$FB,8)</f>
        <v>210.42</v>
      </c>
      <c r="D150" s="75">
        <f>VLOOKUP($A150,'Data Vlaue (Cr)'!$C:$FB,4)</f>
        <v>211.46</v>
      </c>
      <c r="E150" s="75">
        <f>VLOOKUP($A150,'Data Vlaue (Cr)'!$C:$FB,5)</f>
        <v>211.73</v>
      </c>
      <c r="F150" s="75">
        <f t="shared" si="12"/>
        <v>1.0400000000000205</v>
      </c>
      <c r="G150" s="75">
        <f t="shared" si="13"/>
        <v>-0.12768372268986183</v>
      </c>
      <c r="H150" s="75">
        <f>VLOOKUP($A150,'Data Vlaue (Cr)'!$C:$FB,99)</f>
        <v>534</v>
      </c>
      <c r="I150" s="75">
        <f>VLOOKUP($A150,'Data Vlaue (Cr)'!$C:$FB,100)</f>
        <v>527</v>
      </c>
      <c r="J150" s="75">
        <f t="shared" si="14"/>
        <v>7</v>
      </c>
      <c r="K150" s="75">
        <f t="shared" si="15"/>
        <v>1.3108614232209739</v>
      </c>
      <c r="L150" s="75">
        <f>VLOOKUP($A150,'Data Vlaue (Cr)'!$C:$FB,67)</f>
        <v>89</v>
      </c>
      <c r="M150" s="75">
        <f>VLOOKUP($A150,'Data Vlaue (Cr)'!$C:$FB,68)</f>
        <v>88</v>
      </c>
      <c r="N150" s="75">
        <f t="shared" si="16"/>
        <v>1</v>
      </c>
      <c r="O150" s="75">
        <f t="shared" si="17"/>
        <v>1.1235955056179776</v>
      </c>
      <c r="P150" s="75">
        <f>VLOOKUP($A150,'Data Vlaue (Cr)'!$C:$FB,119)</f>
        <v>0.68</v>
      </c>
      <c r="Q150" s="75">
        <f>VLOOKUP($A150,'Data Vlaue (Cr)'!$C:$FB,122)*100</f>
        <v>-4.2299999999999995</v>
      </c>
      <c r="R150" s="75">
        <f>VLOOKUP($A150,'Data Vlaue (Cr)'!$C:$FB,125)</f>
        <v>0.42</v>
      </c>
      <c r="S150" s="75">
        <f>VLOOKUP($A150,'Data Vlaue (Cr)'!$C:$FB,128)*100</f>
        <v>-17.649999999999999</v>
      </c>
    </row>
    <row r="151" spans="1:19" x14ac:dyDescent="0.25">
      <c r="A151" s="96" t="str">
        <f>'Data Vlaue (Cr)'!C142</f>
        <v>NESTLEIND</v>
      </c>
      <c r="B151" s="75">
        <f>VLOOKUP($A151,'Data Vlaue (Cr)'!$C:$FB,2)</f>
        <v>500</v>
      </c>
      <c r="C151" s="75">
        <f>VLOOKUP($A151,'Data Vlaue (Cr)'!$C:$FB,8)</f>
        <v>1181.7</v>
      </c>
      <c r="D151" s="75">
        <f>VLOOKUP($A151,'Data Vlaue (Cr)'!$C:$FB,4)</f>
        <v>1185.4000000000001</v>
      </c>
      <c r="E151" s="75">
        <f>VLOOKUP($A151,'Data Vlaue (Cr)'!$C:$FB,5)</f>
        <v>1174.2</v>
      </c>
      <c r="F151" s="75">
        <f t="shared" si="12"/>
        <v>3.7000000000000455</v>
      </c>
      <c r="G151" s="75">
        <f t="shared" si="13"/>
        <v>0.94482874978910458</v>
      </c>
      <c r="H151" s="75">
        <f>VLOOKUP($A151,'Data Vlaue (Cr)'!$C:$FB,99)</f>
        <v>2590</v>
      </c>
      <c r="I151" s="75">
        <f>VLOOKUP($A151,'Data Vlaue (Cr)'!$C:$FB,100)</f>
        <v>2525</v>
      </c>
      <c r="J151" s="75">
        <f t="shared" si="14"/>
        <v>65</v>
      </c>
      <c r="K151" s="75">
        <f t="shared" si="15"/>
        <v>2.5096525096525095</v>
      </c>
      <c r="L151" s="75">
        <f>VLOOKUP($A151,'Data Vlaue (Cr)'!$C:$FB,67)</f>
        <v>660</v>
      </c>
      <c r="M151" s="75">
        <f>VLOOKUP($A151,'Data Vlaue (Cr)'!$C:$FB,68)</f>
        <v>459</v>
      </c>
      <c r="N151" s="75">
        <f t="shared" si="16"/>
        <v>201</v>
      </c>
      <c r="O151" s="75">
        <f t="shared" si="17"/>
        <v>30.454545454545457</v>
      </c>
      <c r="P151" s="75">
        <f>VLOOKUP($A151,'Data Vlaue (Cr)'!$C:$FB,119)</f>
        <v>0.55000000000000004</v>
      </c>
      <c r="Q151" s="75">
        <f>VLOOKUP($A151,'Data Vlaue (Cr)'!$C:$FB,122)*100</f>
        <v>-12.7</v>
      </c>
      <c r="R151" s="75">
        <f>VLOOKUP($A151,'Data Vlaue (Cr)'!$C:$FB,125)</f>
        <v>0.46</v>
      </c>
      <c r="S151" s="75">
        <f>VLOOKUP($A151,'Data Vlaue (Cr)'!$C:$FB,128)*100</f>
        <v>27.779999999999998</v>
      </c>
    </row>
    <row r="152" spans="1:19" x14ac:dyDescent="0.25">
      <c r="A152" s="96" t="str">
        <f>'Data Vlaue (Cr)'!C143</f>
        <v>NHPC</v>
      </c>
      <c r="B152" s="75">
        <f>VLOOKUP($A152,'Data Vlaue (Cr)'!$C:$FB,2)</f>
        <v>6400</v>
      </c>
      <c r="C152" s="75">
        <f>VLOOKUP($A152,'Data Vlaue (Cr)'!$C:$FB,8)</f>
        <v>86.61</v>
      </c>
      <c r="D152" s="75">
        <f>VLOOKUP($A152,'Data Vlaue (Cr)'!$C:$FB,4)</f>
        <v>87.02</v>
      </c>
      <c r="E152" s="75">
        <f>VLOOKUP($A152,'Data Vlaue (Cr)'!$C:$FB,5)</f>
        <v>87.48</v>
      </c>
      <c r="F152" s="75">
        <f t="shared" si="12"/>
        <v>0.40999999999999659</v>
      </c>
      <c r="G152" s="75">
        <f t="shared" si="13"/>
        <v>-0.52861411169846928</v>
      </c>
      <c r="H152" s="75">
        <f>VLOOKUP($A152,'Data Vlaue (Cr)'!$C:$FB,99)</f>
        <v>598</v>
      </c>
      <c r="I152" s="75">
        <f>VLOOKUP($A152,'Data Vlaue (Cr)'!$C:$FB,100)</f>
        <v>572</v>
      </c>
      <c r="J152" s="75">
        <f t="shared" si="14"/>
        <v>26</v>
      </c>
      <c r="K152" s="75">
        <f t="shared" si="15"/>
        <v>4.3478260869565215</v>
      </c>
      <c r="L152" s="75">
        <f>VLOOKUP($A152,'Data Vlaue (Cr)'!$C:$FB,67)</f>
        <v>118</v>
      </c>
      <c r="M152" s="75">
        <f>VLOOKUP($A152,'Data Vlaue (Cr)'!$C:$FB,68)</f>
        <v>162</v>
      </c>
      <c r="N152" s="75">
        <f t="shared" si="16"/>
        <v>-44</v>
      </c>
      <c r="O152" s="75">
        <f t="shared" si="17"/>
        <v>-37.288135593220339</v>
      </c>
      <c r="P152" s="75">
        <f>VLOOKUP($A152,'Data Vlaue (Cr)'!$C:$FB,119)</f>
        <v>0.47</v>
      </c>
      <c r="Q152" s="75">
        <f>VLOOKUP($A152,'Data Vlaue (Cr)'!$C:$FB,122)*100</f>
        <v>-7.84</v>
      </c>
      <c r="R152" s="75">
        <f>VLOOKUP($A152,'Data Vlaue (Cr)'!$C:$FB,125)</f>
        <v>0.26</v>
      </c>
      <c r="S152" s="75">
        <f>VLOOKUP($A152,'Data Vlaue (Cr)'!$C:$FB,128)*100</f>
        <v>-45.83</v>
      </c>
    </row>
    <row r="153" spans="1:19" x14ac:dyDescent="0.25">
      <c r="A153" s="96" t="str">
        <f>'Data Vlaue (Cr)'!C144</f>
        <v>NIFTY</v>
      </c>
      <c r="B153" s="75">
        <f>VLOOKUP($A153,'Data Vlaue (Cr)'!$C:$FB,2)</f>
        <v>75</v>
      </c>
      <c r="C153" s="75">
        <f>VLOOKUP($A153,'Data Vlaue (Cr)'!$C:$FB,8)</f>
        <v>25077.65</v>
      </c>
      <c r="D153" s="75">
        <f>VLOOKUP($A153,'Data Vlaue (Cr)'!$C:$FB,4)</f>
        <v>25185.4</v>
      </c>
      <c r="E153" s="75">
        <f>VLOOKUP($A153,'Data Vlaue (Cr)'!$C:$FB,5)</f>
        <v>25006.6</v>
      </c>
      <c r="F153" s="75">
        <f t="shared" si="12"/>
        <v>107.75</v>
      </c>
      <c r="G153" s="75">
        <f t="shared" si="13"/>
        <v>0.70993512114162527</v>
      </c>
      <c r="H153" s="75">
        <f>VLOOKUP($A153,'Data Vlaue (Cr)'!$C:$FB,99)</f>
        <v>1549886</v>
      </c>
      <c r="I153" s="75">
        <f>VLOOKUP($A153,'Data Vlaue (Cr)'!$C:$FB,100)</f>
        <v>1443274</v>
      </c>
      <c r="J153" s="75">
        <f t="shared" si="14"/>
        <v>106612</v>
      </c>
      <c r="K153" s="75">
        <f t="shared" si="15"/>
        <v>6.8786994656381175</v>
      </c>
      <c r="L153" s="75">
        <f>VLOOKUP($A153,'Data Vlaue (Cr)'!$C:$FB,67)</f>
        <v>27619183</v>
      </c>
      <c r="M153" s="75">
        <f>VLOOKUP($A153,'Data Vlaue (Cr)'!$C:$FB,68)</f>
        <v>18796359</v>
      </c>
      <c r="N153" s="75">
        <f t="shared" si="16"/>
        <v>8822824</v>
      </c>
      <c r="O153" s="75">
        <f t="shared" si="17"/>
        <v>31.944551002830167</v>
      </c>
      <c r="P153" s="75">
        <f>VLOOKUP($A153,'Data Vlaue (Cr)'!$C:$FB,119)</f>
        <v>1.33</v>
      </c>
      <c r="Q153" s="75">
        <f>VLOOKUP($A153,'Data Vlaue (Cr)'!$C:$FB,122)*100</f>
        <v>13.68</v>
      </c>
      <c r="R153" s="75">
        <f>VLOOKUP($A153,'Data Vlaue (Cr)'!$C:$FB,125)</f>
        <v>0.88</v>
      </c>
      <c r="S153" s="75">
        <f>VLOOKUP($A153,'Data Vlaue (Cr)'!$C:$FB,128)*100</f>
        <v>-4.3499999999999996</v>
      </c>
    </row>
    <row r="154" spans="1:19" x14ac:dyDescent="0.25">
      <c r="A154" s="96" t="str">
        <f>'Data Vlaue (Cr)'!C145</f>
        <v>NIFTYNXT50</v>
      </c>
      <c r="B154" s="75">
        <f>VLOOKUP($A154,'Data Vlaue (Cr)'!$C:$FB,2)</f>
        <v>25</v>
      </c>
      <c r="C154" s="75">
        <f>VLOOKUP($A154,'Data Vlaue (Cr)'!$C:$FB,8)</f>
        <v>68590.25</v>
      </c>
      <c r="D154" s="75">
        <f>VLOOKUP($A154,'Data Vlaue (Cr)'!$C:$FB,4)</f>
        <v>68947.8</v>
      </c>
      <c r="E154" s="75">
        <f>VLOOKUP($A154,'Data Vlaue (Cr)'!$C:$FB,5)</f>
        <v>68725.2</v>
      </c>
      <c r="F154" s="75">
        <f t="shared" si="12"/>
        <v>357.55000000000291</v>
      </c>
      <c r="G154" s="75">
        <f t="shared" si="13"/>
        <v>0.32285294092053091</v>
      </c>
      <c r="H154" s="75">
        <f>VLOOKUP($A154,'Data Vlaue (Cr)'!$C:$FB,99)</f>
        <v>203</v>
      </c>
      <c r="I154" s="75">
        <f>VLOOKUP($A154,'Data Vlaue (Cr)'!$C:$FB,100)</f>
        <v>183</v>
      </c>
      <c r="J154" s="75">
        <f t="shared" si="14"/>
        <v>20</v>
      </c>
      <c r="K154" s="75">
        <f t="shared" si="15"/>
        <v>9.8522167487684733</v>
      </c>
      <c r="L154" s="75">
        <f>VLOOKUP($A154,'Data Vlaue (Cr)'!$C:$FB,67)</f>
        <v>82</v>
      </c>
      <c r="M154" s="75">
        <f>VLOOKUP($A154,'Data Vlaue (Cr)'!$C:$FB,68)</f>
        <v>56</v>
      </c>
      <c r="N154" s="75">
        <f t="shared" si="16"/>
        <v>26</v>
      </c>
      <c r="O154" s="75">
        <f t="shared" si="17"/>
        <v>31.707317073170731</v>
      </c>
      <c r="P154" s="75">
        <f>VLOOKUP($A154,'Data Vlaue (Cr)'!$C:$FB,119)</f>
        <v>0.33</v>
      </c>
      <c r="Q154" s="75">
        <f>VLOOKUP($A154,'Data Vlaue (Cr)'!$C:$FB,122)*100</f>
        <v>17.86</v>
      </c>
      <c r="R154" s="75">
        <f>VLOOKUP($A154,'Data Vlaue (Cr)'!$C:$FB,125)</f>
        <v>0.79</v>
      </c>
      <c r="S154" s="75">
        <f>VLOOKUP($A154,'Data Vlaue (Cr)'!$C:$FB,128)*100</f>
        <v>102.56</v>
      </c>
    </row>
    <row r="155" spans="1:19" x14ac:dyDescent="0.25">
      <c r="A155" s="96" t="str">
        <f>'Data Vlaue (Cr)'!C146</f>
        <v>NMDC</v>
      </c>
      <c r="B155" s="75">
        <f>VLOOKUP($A155,'Data Vlaue (Cr)'!$C:$FB,2)</f>
        <v>13500</v>
      </c>
      <c r="C155" s="75">
        <f>VLOOKUP($A155,'Data Vlaue (Cr)'!$C:$FB,8)</f>
        <v>76.06</v>
      </c>
      <c r="D155" s="75">
        <f>VLOOKUP($A155,'Data Vlaue (Cr)'!$C:$FB,4)</f>
        <v>76.540000000000006</v>
      </c>
      <c r="E155" s="75">
        <f>VLOOKUP($A155,'Data Vlaue (Cr)'!$C:$FB,5)</f>
        <v>77.61</v>
      </c>
      <c r="F155" s="75">
        <f t="shared" si="12"/>
        <v>0.48000000000000398</v>
      </c>
      <c r="G155" s="75">
        <f t="shared" si="13"/>
        <v>-1.3979618500130562</v>
      </c>
      <c r="H155" s="75">
        <f>VLOOKUP($A155,'Data Vlaue (Cr)'!$C:$FB,99)</f>
        <v>3367</v>
      </c>
      <c r="I155" s="75">
        <f>VLOOKUP($A155,'Data Vlaue (Cr)'!$C:$FB,100)</f>
        <v>3228</v>
      </c>
      <c r="J155" s="75">
        <f t="shared" si="14"/>
        <v>139</v>
      </c>
      <c r="K155" s="75">
        <f t="shared" si="15"/>
        <v>4.1283041283041282</v>
      </c>
      <c r="L155" s="75">
        <f>VLOOKUP($A155,'Data Vlaue (Cr)'!$C:$FB,67)</f>
        <v>1156</v>
      </c>
      <c r="M155" s="75">
        <f>VLOOKUP($A155,'Data Vlaue (Cr)'!$C:$FB,68)</f>
        <v>1769</v>
      </c>
      <c r="N155" s="75">
        <f t="shared" si="16"/>
        <v>-613</v>
      </c>
      <c r="O155" s="75">
        <f t="shared" si="17"/>
        <v>-53.027681660899653</v>
      </c>
      <c r="P155" s="75">
        <f>VLOOKUP($A155,'Data Vlaue (Cr)'!$C:$FB,119)</f>
        <v>0.69</v>
      </c>
      <c r="Q155" s="75">
        <f>VLOOKUP($A155,'Data Vlaue (Cr)'!$C:$FB,122)*100</f>
        <v>-8</v>
      </c>
      <c r="R155" s="75">
        <f>VLOOKUP($A155,'Data Vlaue (Cr)'!$C:$FB,125)</f>
        <v>0.43</v>
      </c>
      <c r="S155" s="75">
        <f>VLOOKUP($A155,'Data Vlaue (Cr)'!$C:$FB,128)*100</f>
        <v>4.88</v>
      </c>
    </row>
    <row r="156" spans="1:19" x14ac:dyDescent="0.25">
      <c r="A156" s="96" t="str">
        <f>'Data Vlaue (Cr)'!C147</f>
        <v>NTPC</v>
      </c>
      <c r="B156" s="75">
        <f>VLOOKUP($A156,'Data Vlaue (Cr)'!$C:$FB,2)</f>
        <v>1500</v>
      </c>
      <c r="C156" s="75">
        <f>VLOOKUP($A156,'Data Vlaue (Cr)'!$C:$FB,8)</f>
        <v>339.1</v>
      </c>
      <c r="D156" s="75">
        <f>VLOOKUP($A156,'Data Vlaue (Cr)'!$C:$FB,4)</f>
        <v>341.1</v>
      </c>
      <c r="E156" s="75">
        <f>VLOOKUP($A156,'Data Vlaue (Cr)'!$C:$FB,5)</f>
        <v>344.15</v>
      </c>
      <c r="F156" s="75">
        <f t="shared" si="12"/>
        <v>2</v>
      </c>
      <c r="G156" s="75">
        <f t="shared" si="13"/>
        <v>-0.89416593374375664</v>
      </c>
      <c r="H156" s="75">
        <f>VLOOKUP($A156,'Data Vlaue (Cr)'!$C:$FB,99)</f>
        <v>4696</v>
      </c>
      <c r="I156" s="75">
        <f>VLOOKUP($A156,'Data Vlaue (Cr)'!$C:$FB,100)</f>
        <v>4522</v>
      </c>
      <c r="J156" s="75">
        <f t="shared" si="14"/>
        <v>174</v>
      </c>
      <c r="K156" s="75">
        <f t="shared" si="15"/>
        <v>3.7052810902896081</v>
      </c>
      <c r="L156" s="75">
        <f>VLOOKUP($A156,'Data Vlaue (Cr)'!$C:$FB,67)</f>
        <v>1662</v>
      </c>
      <c r="M156" s="75">
        <f>VLOOKUP($A156,'Data Vlaue (Cr)'!$C:$FB,68)</f>
        <v>1470</v>
      </c>
      <c r="N156" s="75">
        <f t="shared" si="16"/>
        <v>192</v>
      </c>
      <c r="O156" s="75">
        <f t="shared" si="17"/>
        <v>11.552346570397113</v>
      </c>
      <c r="P156" s="75">
        <f>VLOOKUP($A156,'Data Vlaue (Cr)'!$C:$FB,119)</f>
        <v>0.67</v>
      </c>
      <c r="Q156" s="75">
        <f>VLOOKUP($A156,'Data Vlaue (Cr)'!$C:$FB,122)*100</f>
        <v>-6.94</v>
      </c>
      <c r="R156" s="75">
        <f>VLOOKUP($A156,'Data Vlaue (Cr)'!$C:$FB,125)</f>
        <v>0.43</v>
      </c>
      <c r="S156" s="75">
        <f>VLOOKUP($A156,'Data Vlaue (Cr)'!$C:$FB,128)*100</f>
        <v>-15.690000000000001</v>
      </c>
    </row>
    <row r="157" spans="1:19" x14ac:dyDescent="0.25">
      <c r="A157" s="96" t="str">
        <f>'Data Vlaue (Cr)'!C148</f>
        <v>NUVAMA</v>
      </c>
      <c r="B157" s="75">
        <f>VLOOKUP($A157,'Data Vlaue (Cr)'!$C:$FB,2)</f>
        <v>75</v>
      </c>
      <c r="C157" s="75">
        <f>VLOOKUP($A157,'Data Vlaue (Cr)'!$C:$FB,8)</f>
        <v>6928</v>
      </c>
      <c r="D157" s="75">
        <f>VLOOKUP($A157,'Data Vlaue (Cr)'!$C:$FB,4)</f>
        <v>6932</v>
      </c>
      <c r="E157" s="75">
        <f>VLOOKUP($A157,'Data Vlaue (Cr)'!$C:$FB,5)</f>
        <v>6761.5</v>
      </c>
      <c r="F157" s="75">
        <f t="shared" si="12"/>
        <v>4</v>
      </c>
      <c r="G157" s="75">
        <f t="shared" si="13"/>
        <v>2.4596076168493943</v>
      </c>
      <c r="H157" s="75">
        <f>VLOOKUP($A157,'Data Vlaue (Cr)'!$C:$FB,99)</f>
        <v>511</v>
      </c>
      <c r="I157" s="75">
        <f>VLOOKUP($A157,'Data Vlaue (Cr)'!$C:$FB,100)</f>
        <v>572</v>
      </c>
      <c r="J157" s="75">
        <f t="shared" si="14"/>
        <v>-61</v>
      </c>
      <c r="K157" s="75">
        <f t="shared" si="15"/>
        <v>-11.937377690802348</v>
      </c>
      <c r="L157" s="75">
        <f>VLOOKUP($A157,'Data Vlaue (Cr)'!$C:$FB,67)</f>
        <v>1255</v>
      </c>
      <c r="M157" s="75">
        <f>VLOOKUP($A157,'Data Vlaue (Cr)'!$C:$FB,68)</f>
        <v>2163</v>
      </c>
      <c r="N157" s="75">
        <f t="shared" si="16"/>
        <v>-908</v>
      </c>
      <c r="O157" s="75">
        <f t="shared" si="17"/>
        <v>-72.350597609561746</v>
      </c>
      <c r="P157" s="75">
        <f>VLOOKUP($A157,'Data Vlaue (Cr)'!$C:$FB,119)</f>
        <v>0.65</v>
      </c>
      <c r="Q157" s="75">
        <f>VLOOKUP($A157,'Data Vlaue (Cr)'!$C:$FB,122)*100</f>
        <v>32.65</v>
      </c>
      <c r="R157" s="75">
        <f>VLOOKUP($A157,'Data Vlaue (Cr)'!$C:$FB,125)</f>
        <v>0.39</v>
      </c>
      <c r="S157" s="75">
        <f>VLOOKUP($A157,'Data Vlaue (Cr)'!$C:$FB,128)*100</f>
        <v>25.81</v>
      </c>
    </row>
    <row r="158" spans="1:19" x14ac:dyDescent="0.25">
      <c r="A158" s="96" t="str">
        <f>'Data Vlaue (Cr)'!C149</f>
        <v>NYKAA</v>
      </c>
      <c r="B158" s="75">
        <f>VLOOKUP($A158,'Data Vlaue (Cr)'!$C:$FB,2)</f>
        <v>3125</v>
      </c>
      <c r="C158" s="75">
        <f>VLOOKUP($A158,'Data Vlaue (Cr)'!$C:$FB,8)</f>
        <v>255.34</v>
      </c>
      <c r="D158" s="75">
        <f>VLOOKUP($A158,'Data Vlaue (Cr)'!$C:$FB,4)</f>
        <v>254.44</v>
      </c>
      <c r="E158" s="75">
        <f>VLOOKUP($A158,'Data Vlaue (Cr)'!$C:$FB,5)</f>
        <v>239.63</v>
      </c>
      <c r="F158" s="75">
        <f t="shared" si="12"/>
        <v>-0.90000000000000568</v>
      </c>
      <c r="G158" s="75">
        <f t="shared" si="13"/>
        <v>5.8206256877849398</v>
      </c>
      <c r="H158" s="75">
        <f>VLOOKUP($A158,'Data Vlaue (Cr)'!$C:$FB,99)</f>
        <v>2089</v>
      </c>
      <c r="I158" s="75">
        <f>VLOOKUP($A158,'Data Vlaue (Cr)'!$C:$FB,100)</f>
        <v>1769</v>
      </c>
      <c r="J158" s="75">
        <f t="shared" si="14"/>
        <v>320</v>
      </c>
      <c r="K158" s="75">
        <f t="shared" si="15"/>
        <v>15.318334131163237</v>
      </c>
      <c r="L158" s="75">
        <f>VLOOKUP($A158,'Data Vlaue (Cr)'!$C:$FB,67)</f>
        <v>3253</v>
      </c>
      <c r="M158" s="75">
        <f>VLOOKUP($A158,'Data Vlaue (Cr)'!$C:$FB,68)</f>
        <v>495</v>
      </c>
      <c r="N158" s="75">
        <f t="shared" si="16"/>
        <v>2758</v>
      </c>
      <c r="O158" s="75">
        <f t="shared" si="17"/>
        <v>84.783276975099909</v>
      </c>
      <c r="P158" s="75">
        <f>VLOOKUP($A158,'Data Vlaue (Cr)'!$C:$FB,119)</f>
        <v>0.63</v>
      </c>
      <c r="Q158" s="75">
        <f>VLOOKUP($A158,'Data Vlaue (Cr)'!$C:$FB,122)*100</f>
        <v>23.53</v>
      </c>
      <c r="R158" s="75">
        <f>VLOOKUP($A158,'Data Vlaue (Cr)'!$C:$FB,125)</f>
        <v>0.37</v>
      </c>
      <c r="S158" s="75">
        <f>VLOOKUP($A158,'Data Vlaue (Cr)'!$C:$FB,128)*100</f>
        <v>23.330000000000002</v>
      </c>
    </row>
    <row r="159" spans="1:19" x14ac:dyDescent="0.25">
      <c r="A159" s="96" t="str">
        <f>'Data Vlaue (Cr)'!C150</f>
        <v>OBEROIRLTY</v>
      </c>
      <c r="B159" s="75">
        <f>VLOOKUP($A159,'Data Vlaue (Cr)'!$C:$FB,2)</f>
        <v>350</v>
      </c>
      <c r="C159" s="75">
        <f>VLOOKUP($A159,'Data Vlaue (Cr)'!$C:$FB,8)</f>
        <v>1622.3</v>
      </c>
      <c r="D159" s="75">
        <f>VLOOKUP($A159,'Data Vlaue (Cr)'!$C:$FB,4)</f>
        <v>1632.2</v>
      </c>
      <c r="E159" s="75">
        <f>VLOOKUP($A159,'Data Vlaue (Cr)'!$C:$FB,5)</f>
        <v>1615.5</v>
      </c>
      <c r="F159" s="75">
        <f t="shared" si="12"/>
        <v>9.9000000000000909</v>
      </c>
      <c r="G159" s="75">
        <f t="shared" si="13"/>
        <v>1.0231589266021348</v>
      </c>
      <c r="H159" s="75">
        <f>VLOOKUP($A159,'Data Vlaue (Cr)'!$C:$FB,99)</f>
        <v>1030</v>
      </c>
      <c r="I159" s="75">
        <f>VLOOKUP($A159,'Data Vlaue (Cr)'!$C:$FB,100)</f>
        <v>1006</v>
      </c>
      <c r="J159" s="75">
        <f t="shared" si="14"/>
        <v>24</v>
      </c>
      <c r="K159" s="75">
        <f t="shared" si="15"/>
        <v>2.3300970873786406</v>
      </c>
      <c r="L159" s="75">
        <f>VLOOKUP($A159,'Data Vlaue (Cr)'!$C:$FB,67)</f>
        <v>407</v>
      </c>
      <c r="M159" s="75">
        <f>VLOOKUP($A159,'Data Vlaue (Cr)'!$C:$FB,68)</f>
        <v>227</v>
      </c>
      <c r="N159" s="75">
        <f t="shared" si="16"/>
        <v>180</v>
      </c>
      <c r="O159" s="75">
        <f t="shared" si="17"/>
        <v>44.226044226044223</v>
      </c>
      <c r="P159" s="75">
        <f>VLOOKUP($A159,'Data Vlaue (Cr)'!$C:$FB,119)</f>
        <v>0.76</v>
      </c>
      <c r="Q159" s="75">
        <f>VLOOKUP($A159,'Data Vlaue (Cr)'!$C:$FB,122)*100</f>
        <v>-3.8</v>
      </c>
      <c r="R159" s="75">
        <f>VLOOKUP($A159,'Data Vlaue (Cr)'!$C:$FB,125)</f>
        <v>0.25</v>
      </c>
      <c r="S159" s="75">
        <f>VLOOKUP($A159,'Data Vlaue (Cr)'!$C:$FB,128)*100</f>
        <v>-10.71</v>
      </c>
    </row>
    <row r="160" spans="1:19" x14ac:dyDescent="0.25">
      <c r="A160" s="96" t="str">
        <f>'Data Vlaue (Cr)'!C151</f>
        <v>OFSS</v>
      </c>
      <c r="B160" s="75">
        <f>VLOOKUP($A160,'Data Vlaue (Cr)'!$C:$FB,2)</f>
        <v>75</v>
      </c>
      <c r="C160" s="75">
        <f>VLOOKUP($A160,'Data Vlaue (Cr)'!$C:$FB,8)</f>
        <v>9093.5</v>
      </c>
      <c r="D160" s="75">
        <f>VLOOKUP($A160,'Data Vlaue (Cr)'!$C:$FB,4)</f>
        <v>9149</v>
      </c>
      <c r="E160" s="75">
        <f>VLOOKUP($A160,'Data Vlaue (Cr)'!$C:$FB,5)</f>
        <v>8977.5</v>
      </c>
      <c r="F160" s="75">
        <f t="shared" si="12"/>
        <v>55.5</v>
      </c>
      <c r="G160" s="75">
        <f t="shared" si="13"/>
        <v>1.8745218056618211</v>
      </c>
      <c r="H160" s="75">
        <f>VLOOKUP($A160,'Data Vlaue (Cr)'!$C:$FB,99)</f>
        <v>1489</v>
      </c>
      <c r="I160" s="75">
        <f>VLOOKUP($A160,'Data Vlaue (Cr)'!$C:$FB,100)</f>
        <v>1459</v>
      </c>
      <c r="J160" s="75">
        <f t="shared" si="14"/>
        <v>30</v>
      </c>
      <c r="K160" s="75">
        <f t="shared" si="15"/>
        <v>2.0147750167897915</v>
      </c>
      <c r="L160" s="75">
        <f>VLOOKUP($A160,'Data Vlaue (Cr)'!$C:$FB,67)</f>
        <v>1312</v>
      </c>
      <c r="M160" s="75">
        <f>VLOOKUP($A160,'Data Vlaue (Cr)'!$C:$FB,68)</f>
        <v>1861</v>
      </c>
      <c r="N160" s="75">
        <f t="shared" si="16"/>
        <v>-549</v>
      </c>
      <c r="O160" s="75">
        <f t="shared" si="17"/>
        <v>-41.844512195121951</v>
      </c>
      <c r="P160" s="75">
        <f>VLOOKUP($A160,'Data Vlaue (Cr)'!$C:$FB,119)</f>
        <v>0.62</v>
      </c>
      <c r="Q160" s="75">
        <f>VLOOKUP($A160,'Data Vlaue (Cr)'!$C:$FB,122)*100</f>
        <v>1.6400000000000001</v>
      </c>
      <c r="R160" s="75">
        <f>VLOOKUP($A160,'Data Vlaue (Cr)'!$C:$FB,125)</f>
        <v>0.35</v>
      </c>
      <c r="S160" s="75">
        <f>VLOOKUP($A160,'Data Vlaue (Cr)'!$C:$FB,128)*100</f>
        <v>2.94</v>
      </c>
    </row>
    <row r="161" spans="1:19" x14ac:dyDescent="0.25">
      <c r="A161" s="96" t="str">
        <f>'Data Vlaue (Cr)'!C152</f>
        <v>OIL</v>
      </c>
      <c r="B161" s="75">
        <f>VLOOKUP($A161,'Data Vlaue (Cr)'!$C:$FB,2)</f>
        <v>1400</v>
      </c>
      <c r="C161" s="75">
        <f>VLOOKUP($A161,'Data Vlaue (Cr)'!$C:$FB,8)</f>
        <v>419.2</v>
      </c>
      <c r="D161" s="75">
        <f>VLOOKUP($A161,'Data Vlaue (Cr)'!$C:$FB,4)</f>
        <v>421.15</v>
      </c>
      <c r="E161" s="75">
        <f>VLOOKUP($A161,'Data Vlaue (Cr)'!$C:$FB,5)</f>
        <v>417.45</v>
      </c>
      <c r="F161" s="75">
        <f t="shared" si="12"/>
        <v>1.9499999999999886</v>
      </c>
      <c r="G161" s="75">
        <f t="shared" si="13"/>
        <v>0.87854683604416217</v>
      </c>
      <c r="H161" s="75">
        <f>VLOOKUP($A161,'Data Vlaue (Cr)'!$C:$FB,99)</f>
        <v>693</v>
      </c>
      <c r="I161" s="75">
        <f>VLOOKUP($A161,'Data Vlaue (Cr)'!$C:$FB,100)</f>
        <v>672</v>
      </c>
      <c r="J161" s="75">
        <f t="shared" si="14"/>
        <v>21</v>
      </c>
      <c r="K161" s="75">
        <f t="shared" si="15"/>
        <v>3.0303030303030303</v>
      </c>
      <c r="L161" s="75">
        <f>VLOOKUP($A161,'Data Vlaue (Cr)'!$C:$FB,67)</f>
        <v>378</v>
      </c>
      <c r="M161" s="75">
        <f>VLOOKUP($A161,'Data Vlaue (Cr)'!$C:$FB,68)</f>
        <v>324</v>
      </c>
      <c r="N161" s="75">
        <f t="shared" si="16"/>
        <v>54</v>
      </c>
      <c r="O161" s="75">
        <f t="shared" si="17"/>
        <v>14.285714285714285</v>
      </c>
      <c r="P161" s="75">
        <f>VLOOKUP($A161,'Data Vlaue (Cr)'!$C:$FB,119)</f>
        <v>0.5</v>
      </c>
      <c r="Q161" s="75">
        <f>VLOOKUP($A161,'Data Vlaue (Cr)'!$C:$FB,122)*100</f>
        <v>8.6999999999999993</v>
      </c>
      <c r="R161" s="75">
        <f>VLOOKUP($A161,'Data Vlaue (Cr)'!$C:$FB,125)</f>
        <v>0.34</v>
      </c>
      <c r="S161" s="75">
        <f>VLOOKUP($A161,'Data Vlaue (Cr)'!$C:$FB,128)*100</f>
        <v>-17.07</v>
      </c>
    </row>
    <row r="162" spans="1:19" x14ac:dyDescent="0.25">
      <c r="A162" s="96" t="str">
        <f>'Data Vlaue (Cr)'!C153</f>
        <v>ONGC</v>
      </c>
      <c r="B162" s="75">
        <f>VLOOKUP($A162,'Data Vlaue (Cr)'!$C:$FB,2)</f>
        <v>2250</v>
      </c>
      <c r="C162" s="75">
        <f>VLOOKUP($A162,'Data Vlaue (Cr)'!$C:$FB,8)</f>
        <v>245.86</v>
      </c>
      <c r="D162" s="75">
        <f>VLOOKUP($A162,'Data Vlaue (Cr)'!$C:$FB,4)</f>
        <v>247.3</v>
      </c>
      <c r="E162" s="75">
        <f>VLOOKUP($A162,'Data Vlaue (Cr)'!$C:$FB,5)</f>
        <v>245.23</v>
      </c>
      <c r="F162" s="75">
        <f t="shared" si="12"/>
        <v>1.4399999999999977</v>
      </c>
      <c r="G162" s="75">
        <f t="shared" si="13"/>
        <v>0.83704003234938185</v>
      </c>
      <c r="H162" s="75">
        <f>VLOOKUP($A162,'Data Vlaue (Cr)'!$C:$FB,99)</f>
        <v>3779</v>
      </c>
      <c r="I162" s="75">
        <f>VLOOKUP($A162,'Data Vlaue (Cr)'!$C:$FB,100)</f>
        <v>3683</v>
      </c>
      <c r="J162" s="75">
        <f t="shared" si="14"/>
        <v>96</v>
      </c>
      <c r="K162" s="75">
        <f t="shared" si="15"/>
        <v>2.5403545911616829</v>
      </c>
      <c r="L162" s="75">
        <f>VLOOKUP($A162,'Data Vlaue (Cr)'!$C:$FB,67)</f>
        <v>2554</v>
      </c>
      <c r="M162" s="75">
        <f>VLOOKUP($A162,'Data Vlaue (Cr)'!$C:$FB,68)</f>
        <v>1812</v>
      </c>
      <c r="N162" s="75">
        <f t="shared" si="16"/>
        <v>742</v>
      </c>
      <c r="O162" s="75">
        <f t="shared" si="17"/>
        <v>29.052466718872356</v>
      </c>
      <c r="P162" s="75">
        <f>VLOOKUP($A162,'Data Vlaue (Cr)'!$C:$FB,119)</f>
        <v>0.53</v>
      </c>
      <c r="Q162" s="75">
        <f>VLOOKUP($A162,'Data Vlaue (Cr)'!$C:$FB,122)*100</f>
        <v>-13.11</v>
      </c>
      <c r="R162" s="75">
        <f>VLOOKUP($A162,'Data Vlaue (Cr)'!$C:$FB,125)</f>
        <v>0.42</v>
      </c>
      <c r="S162" s="75">
        <f>VLOOKUP($A162,'Data Vlaue (Cr)'!$C:$FB,128)*100</f>
        <v>2.44</v>
      </c>
    </row>
    <row r="163" spans="1:19" x14ac:dyDescent="0.25">
      <c r="A163" s="96" t="str">
        <f>'Data Vlaue (Cr)'!C154</f>
        <v>PAGEIND</v>
      </c>
      <c r="B163" s="75">
        <f>VLOOKUP($A163,'Data Vlaue (Cr)'!$C:$FB,2)</f>
        <v>15</v>
      </c>
      <c r="C163" s="75">
        <f>VLOOKUP($A163,'Data Vlaue (Cr)'!$C:$FB,8)</f>
        <v>42195</v>
      </c>
      <c r="D163" s="75">
        <f>VLOOKUP($A163,'Data Vlaue (Cr)'!$C:$FB,4)</f>
        <v>41810</v>
      </c>
      <c r="E163" s="75">
        <f>VLOOKUP($A163,'Data Vlaue (Cr)'!$C:$FB,5)</f>
        <v>41900</v>
      </c>
      <c r="F163" s="75">
        <f t="shared" si="12"/>
        <v>-385</v>
      </c>
      <c r="G163" s="75">
        <f t="shared" si="13"/>
        <v>-0.21525950729490553</v>
      </c>
      <c r="H163" s="75">
        <f>VLOOKUP($A163,'Data Vlaue (Cr)'!$C:$FB,99)</f>
        <v>1325</v>
      </c>
      <c r="I163" s="75">
        <f>VLOOKUP($A163,'Data Vlaue (Cr)'!$C:$FB,100)</f>
        <v>1255</v>
      </c>
      <c r="J163" s="75">
        <f t="shared" si="14"/>
        <v>70</v>
      </c>
      <c r="K163" s="75">
        <f t="shared" si="15"/>
        <v>5.2830188679245289</v>
      </c>
      <c r="L163" s="75">
        <f>VLOOKUP($A163,'Data Vlaue (Cr)'!$C:$FB,67)</f>
        <v>554</v>
      </c>
      <c r="M163" s="75">
        <f>VLOOKUP($A163,'Data Vlaue (Cr)'!$C:$FB,68)</f>
        <v>1134</v>
      </c>
      <c r="N163" s="75">
        <f t="shared" si="16"/>
        <v>-580</v>
      </c>
      <c r="O163" s="75">
        <f t="shared" si="17"/>
        <v>-104.69314079422382</v>
      </c>
      <c r="P163" s="75">
        <f>VLOOKUP($A163,'Data Vlaue (Cr)'!$C:$FB,119)</f>
        <v>0.45</v>
      </c>
      <c r="Q163" s="75">
        <f>VLOOKUP($A163,'Data Vlaue (Cr)'!$C:$FB,122)*100</f>
        <v>-2.17</v>
      </c>
      <c r="R163" s="75">
        <f>VLOOKUP($A163,'Data Vlaue (Cr)'!$C:$FB,125)</f>
        <v>0.15</v>
      </c>
      <c r="S163" s="75">
        <f>VLOOKUP($A163,'Data Vlaue (Cr)'!$C:$FB,128)*100</f>
        <v>-42.309999999999995</v>
      </c>
    </row>
    <row r="164" spans="1:19" x14ac:dyDescent="0.25">
      <c r="A164" s="96" t="str">
        <f>'Data Vlaue (Cr)'!C155</f>
        <v>PATANJALI</v>
      </c>
      <c r="B164" s="75">
        <f>VLOOKUP($A164,'Data Vlaue (Cr)'!$C:$FB,2)</f>
        <v>900</v>
      </c>
      <c r="C164" s="75">
        <f>VLOOKUP($A164,'Data Vlaue (Cr)'!$C:$FB,8)</f>
        <v>597.54999999999995</v>
      </c>
      <c r="D164" s="75">
        <f>VLOOKUP($A164,'Data Vlaue (Cr)'!$C:$FB,4)</f>
        <v>601.29999999999995</v>
      </c>
      <c r="E164" s="75">
        <f>VLOOKUP($A164,'Data Vlaue (Cr)'!$C:$FB,5)</f>
        <v>590.1</v>
      </c>
      <c r="F164" s="75">
        <f t="shared" si="12"/>
        <v>3.75</v>
      </c>
      <c r="G164" s="75">
        <f t="shared" si="13"/>
        <v>1.8626309662398026</v>
      </c>
      <c r="H164" s="75">
        <f>VLOOKUP($A164,'Data Vlaue (Cr)'!$C:$FB,99)</f>
        <v>2321</v>
      </c>
      <c r="I164" s="75">
        <f>VLOOKUP($A164,'Data Vlaue (Cr)'!$C:$FB,100)</f>
        <v>2247</v>
      </c>
      <c r="J164" s="75">
        <f t="shared" si="14"/>
        <v>74</v>
      </c>
      <c r="K164" s="75">
        <f t="shared" si="15"/>
        <v>3.1882809133993968</v>
      </c>
      <c r="L164" s="75">
        <f>VLOOKUP($A164,'Data Vlaue (Cr)'!$C:$FB,67)</f>
        <v>760</v>
      </c>
      <c r="M164" s="75">
        <f>VLOOKUP($A164,'Data Vlaue (Cr)'!$C:$FB,68)</f>
        <v>583</v>
      </c>
      <c r="N164" s="75">
        <f t="shared" si="16"/>
        <v>177</v>
      </c>
      <c r="O164" s="75">
        <f t="shared" si="17"/>
        <v>23.289473684210527</v>
      </c>
      <c r="P164" s="75">
        <f>VLOOKUP($A164,'Data Vlaue (Cr)'!$C:$FB,119)</f>
        <v>0.53</v>
      </c>
      <c r="Q164" s="75">
        <f>VLOOKUP($A164,'Data Vlaue (Cr)'!$C:$FB,122)*100</f>
        <v>-19.7</v>
      </c>
      <c r="R164" s="75">
        <f>VLOOKUP($A164,'Data Vlaue (Cr)'!$C:$FB,125)</f>
        <v>0.36</v>
      </c>
      <c r="S164" s="75">
        <f>VLOOKUP($A164,'Data Vlaue (Cr)'!$C:$FB,128)*100</f>
        <v>-41.94</v>
      </c>
    </row>
    <row r="165" spans="1:19" x14ac:dyDescent="0.25">
      <c r="A165" s="96" t="str">
        <f>'Data Vlaue (Cr)'!C156</f>
        <v>PAYTM</v>
      </c>
      <c r="B165" s="75">
        <f>VLOOKUP($A165,'Data Vlaue (Cr)'!$C:$FB,2)</f>
        <v>725</v>
      </c>
      <c r="C165" s="75">
        <f>VLOOKUP($A165,'Data Vlaue (Cr)'!$C:$FB,8)</f>
        <v>1224.2</v>
      </c>
      <c r="D165" s="75">
        <f>VLOOKUP($A165,'Data Vlaue (Cr)'!$C:$FB,4)</f>
        <v>1229.0999999999999</v>
      </c>
      <c r="E165" s="75">
        <f>VLOOKUP($A165,'Data Vlaue (Cr)'!$C:$FB,5)</f>
        <v>1172.3</v>
      </c>
      <c r="F165" s="75">
        <f t="shared" si="12"/>
        <v>4.8999999999998636</v>
      </c>
      <c r="G165" s="75">
        <f t="shared" si="13"/>
        <v>4.6212675941745962</v>
      </c>
      <c r="H165" s="75">
        <f>VLOOKUP($A165,'Data Vlaue (Cr)'!$C:$FB,99)</f>
        <v>4628</v>
      </c>
      <c r="I165" s="75">
        <f>VLOOKUP($A165,'Data Vlaue (Cr)'!$C:$FB,100)</f>
        <v>4619</v>
      </c>
      <c r="J165" s="75">
        <f t="shared" si="14"/>
        <v>9</v>
      </c>
      <c r="K165" s="75">
        <f t="shared" si="15"/>
        <v>0.19446845289541917</v>
      </c>
      <c r="L165" s="75">
        <f>VLOOKUP($A165,'Data Vlaue (Cr)'!$C:$FB,67)</f>
        <v>5755</v>
      </c>
      <c r="M165" s="75">
        <f>VLOOKUP($A165,'Data Vlaue (Cr)'!$C:$FB,68)</f>
        <v>2363</v>
      </c>
      <c r="N165" s="75">
        <f t="shared" si="16"/>
        <v>3392</v>
      </c>
      <c r="O165" s="75">
        <f t="shared" si="17"/>
        <v>58.940052128583844</v>
      </c>
      <c r="P165" s="75">
        <f>VLOOKUP($A165,'Data Vlaue (Cr)'!$C:$FB,119)</f>
        <v>0.92</v>
      </c>
      <c r="Q165" s="75">
        <f>VLOOKUP($A165,'Data Vlaue (Cr)'!$C:$FB,122)*100</f>
        <v>3.37</v>
      </c>
      <c r="R165" s="75">
        <f>VLOOKUP($A165,'Data Vlaue (Cr)'!$C:$FB,125)</f>
        <v>0.51</v>
      </c>
      <c r="S165" s="75">
        <f>VLOOKUP($A165,'Data Vlaue (Cr)'!$C:$FB,128)*100</f>
        <v>21.43</v>
      </c>
    </row>
    <row r="166" spans="1:19" x14ac:dyDescent="0.25">
      <c r="A166" s="96" t="str">
        <f>'Data Vlaue (Cr)'!C157</f>
        <v>PERSISTENT</v>
      </c>
      <c r="B166" s="75">
        <f>VLOOKUP($A166,'Data Vlaue (Cr)'!$C:$FB,2)</f>
        <v>100</v>
      </c>
      <c r="C166" s="75">
        <f>VLOOKUP($A166,'Data Vlaue (Cr)'!$C:$FB,8)</f>
        <v>5189.3</v>
      </c>
      <c r="D166" s="75">
        <f>VLOOKUP($A166,'Data Vlaue (Cr)'!$C:$FB,4)</f>
        <v>5208.2</v>
      </c>
      <c r="E166" s="75">
        <f>VLOOKUP($A166,'Data Vlaue (Cr)'!$C:$FB,5)</f>
        <v>5087</v>
      </c>
      <c r="F166" s="75">
        <f t="shared" si="12"/>
        <v>18.899999999999636</v>
      </c>
      <c r="G166" s="75">
        <f t="shared" si="13"/>
        <v>2.3270995737490847</v>
      </c>
      <c r="H166" s="75">
        <f>VLOOKUP($A166,'Data Vlaue (Cr)'!$C:$FB,99)</f>
        <v>2196</v>
      </c>
      <c r="I166" s="75">
        <f>VLOOKUP($A166,'Data Vlaue (Cr)'!$C:$FB,100)</f>
        <v>2189</v>
      </c>
      <c r="J166" s="75">
        <f t="shared" si="14"/>
        <v>7</v>
      </c>
      <c r="K166" s="75">
        <f t="shared" si="15"/>
        <v>0.31876138433515483</v>
      </c>
      <c r="L166" s="75">
        <f>VLOOKUP($A166,'Data Vlaue (Cr)'!$C:$FB,67)</f>
        <v>2131</v>
      </c>
      <c r="M166" s="75">
        <f>VLOOKUP($A166,'Data Vlaue (Cr)'!$C:$FB,68)</f>
        <v>1408</v>
      </c>
      <c r="N166" s="75">
        <f t="shared" si="16"/>
        <v>723</v>
      </c>
      <c r="O166" s="75">
        <f t="shared" si="17"/>
        <v>33.9277334584702</v>
      </c>
      <c r="P166" s="75">
        <f>VLOOKUP($A166,'Data Vlaue (Cr)'!$C:$FB,119)</f>
        <v>0.68</v>
      </c>
      <c r="Q166" s="75">
        <f>VLOOKUP($A166,'Data Vlaue (Cr)'!$C:$FB,122)*100</f>
        <v>0</v>
      </c>
      <c r="R166" s="75">
        <f>VLOOKUP($A166,'Data Vlaue (Cr)'!$C:$FB,125)</f>
        <v>0.44</v>
      </c>
      <c r="S166" s="75">
        <f>VLOOKUP($A166,'Data Vlaue (Cr)'!$C:$FB,128)*100</f>
        <v>12.82</v>
      </c>
    </row>
    <row r="167" spans="1:19" x14ac:dyDescent="0.25">
      <c r="A167" s="96" t="str">
        <f>'Data Vlaue (Cr)'!C158</f>
        <v>PETRONET</v>
      </c>
      <c r="B167" s="75">
        <f>VLOOKUP($A167,'Data Vlaue (Cr)'!$C:$FB,2)</f>
        <v>1800</v>
      </c>
      <c r="C167" s="75">
        <f>VLOOKUP($A167,'Data Vlaue (Cr)'!$C:$FB,8)</f>
        <v>280.3</v>
      </c>
      <c r="D167" s="75">
        <f>VLOOKUP($A167,'Data Vlaue (Cr)'!$C:$FB,4)</f>
        <v>281.95</v>
      </c>
      <c r="E167" s="75">
        <f>VLOOKUP($A167,'Data Vlaue (Cr)'!$C:$FB,5)</f>
        <v>280.60000000000002</v>
      </c>
      <c r="F167" s="75">
        <f t="shared" si="12"/>
        <v>1.6499999999999773</v>
      </c>
      <c r="G167" s="75">
        <f t="shared" si="13"/>
        <v>0.47880829934384322</v>
      </c>
      <c r="H167" s="75">
        <f>VLOOKUP($A167,'Data Vlaue (Cr)'!$C:$FB,99)</f>
        <v>1920</v>
      </c>
      <c r="I167" s="75">
        <f>VLOOKUP($A167,'Data Vlaue (Cr)'!$C:$FB,100)</f>
        <v>1829</v>
      </c>
      <c r="J167" s="75">
        <f t="shared" si="14"/>
        <v>91</v>
      </c>
      <c r="K167" s="75">
        <f t="shared" si="15"/>
        <v>4.739583333333333</v>
      </c>
      <c r="L167" s="75">
        <f>VLOOKUP($A167,'Data Vlaue (Cr)'!$C:$FB,67)</f>
        <v>429</v>
      </c>
      <c r="M167" s="75">
        <f>VLOOKUP($A167,'Data Vlaue (Cr)'!$C:$FB,68)</f>
        <v>333</v>
      </c>
      <c r="N167" s="75">
        <f t="shared" si="16"/>
        <v>96</v>
      </c>
      <c r="O167" s="75">
        <f t="shared" si="17"/>
        <v>22.377622377622377</v>
      </c>
      <c r="P167" s="75">
        <f>VLOOKUP($A167,'Data Vlaue (Cr)'!$C:$FB,119)</f>
        <v>1.04</v>
      </c>
      <c r="Q167" s="75">
        <f>VLOOKUP($A167,'Data Vlaue (Cr)'!$C:$FB,122)*100</f>
        <v>-11.110000000000001</v>
      </c>
      <c r="R167" s="75">
        <f>VLOOKUP($A167,'Data Vlaue (Cr)'!$C:$FB,125)</f>
        <v>0.24</v>
      </c>
      <c r="S167" s="75">
        <f>VLOOKUP($A167,'Data Vlaue (Cr)'!$C:$FB,128)*100</f>
        <v>-60</v>
      </c>
    </row>
    <row r="168" spans="1:19" x14ac:dyDescent="0.25">
      <c r="A168" s="96" t="str">
        <f>'Data Vlaue (Cr)'!C159</f>
        <v>PFC</v>
      </c>
      <c r="B168" s="75">
        <f>VLOOKUP($A168,'Data Vlaue (Cr)'!$C:$FB,2)</f>
        <v>1300</v>
      </c>
      <c r="C168" s="75">
        <f>VLOOKUP($A168,'Data Vlaue (Cr)'!$C:$FB,8)</f>
        <v>405.9</v>
      </c>
      <c r="D168" s="75">
        <f>VLOOKUP($A168,'Data Vlaue (Cr)'!$C:$FB,4)</f>
        <v>407.55</v>
      </c>
      <c r="E168" s="75">
        <f>VLOOKUP($A168,'Data Vlaue (Cr)'!$C:$FB,5)</f>
        <v>414.7</v>
      </c>
      <c r="F168" s="75">
        <f t="shared" si="12"/>
        <v>1.6500000000000341</v>
      </c>
      <c r="G168" s="75">
        <f t="shared" si="13"/>
        <v>-1.7543859649122751</v>
      </c>
      <c r="H168" s="75">
        <f>VLOOKUP($A168,'Data Vlaue (Cr)'!$C:$FB,99)</f>
        <v>3567</v>
      </c>
      <c r="I168" s="75">
        <f>VLOOKUP($A168,'Data Vlaue (Cr)'!$C:$FB,100)</f>
        <v>3281</v>
      </c>
      <c r="J168" s="75">
        <f t="shared" si="14"/>
        <v>286</v>
      </c>
      <c r="K168" s="75">
        <f t="shared" si="15"/>
        <v>8.0179422483880014</v>
      </c>
      <c r="L168" s="75">
        <f>VLOOKUP($A168,'Data Vlaue (Cr)'!$C:$FB,67)</f>
        <v>1606</v>
      </c>
      <c r="M168" s="75">
        <f>VLOOKUP($A168,'Data Vlaue (Cr)'!$C:$FB,68)</f>
        <v>1576</v>
      </c>
      <c r="N168" s="75">
        <f t="shared" si="16"/>
        <v>30</v>
      </c>
      <c r="O168" s="75">
        <f t="shared" si="17"/>
        <v>1.8679950186799501</v>
      </c>
      <c r="P168" s="75">
        <f>VLOOKUP($A168,'Data Vlaue (Cr)'!$C:$FB,119)</f>
        <v>0.79</v>
      </c>
      <c r="Q168" s="75">
        <f>VLOOKUP($A168,'Data Vlaue (Cr)'!$C:$FB,122)*100</f>
        <v>-5.9499999999999993</v>
      </c>
      <c r="R168" s="75">
        <f>VLOOKUP($A168,'Data Vlaue (Cr)'!$C:$FB,125)</f>
        <v>0.48</v>
      </c>
      <c r="S168" s="75">
        <f>VLOOKUP($A168,'Data Vlaue (Cr)'!$C:$FB,128)*100</f>
        <v>-5.88</v>
      </c>
    </row>
    <row r="169" spans="1:19" x14ac:dyDescent="0.25">
      <c r="A169" s="96" t="str">
        <f>'Data Vlaue (Cr)'!C160</f>
        <v>PGEL</v>
      </c>
      <c r="B169" s="75">
        <f>VLOOKUP($A169,'Data Vlaue (Cr)'!$C:$FB,2)</f>
        <v>700</v>
      </c>
      <c r="C169" s="75">
        <f>VLOOKUP($A169,'Data Vlaue (Cr)'!$C:$FB,8)</f>
        <v>517.20000000000005</v>
      </c>
      <c r="D169" s="75">
        <f>VLOOKUP($A169,'Data Vlaue (Cr)'!$C:$FB,4)</f>
        <v>520.95000000000005</v>
      </c>
      <c r="E169" s="75">
        <f>VLOOKUP($A169,'Data Vlaue (Cr)'!$C:$FB,5)</f>
        <v>516.35</v>
      </c>
      <c r="F169" s="75">
        <f t="shared" si="12"/>
        <v>3.75</v>
      </c>
      <c r="G169" s="75">
        <f t="shared" si="13"/>
        <v>0.88300220750552305</v>
      </c>
      <c r="H169" s="75">
        <f>VLOOKUP($A169,'Data Vlaue (Cr)'!$C:$FB,99)</f>
        <v>765</v>
      </c>
      <c r="I169" s="75">
        <f>VLOOKUP($A169,'Data Vlaue (Cr)'!$C:$FB,100)</f>
        <v>738</v>
      </c>
      <c r="J169" s="75">
        <f t="shared" si="14"/>
        <v>27</v>
      </c>
      <c r="K169" s="75">
        <f t="shared" si="15"/>
        <v>3.5294117647058822</v>
      </c>
      <c r="L169" s="75">
        <f>VLOOKUP($A169,'Data Vlaue (Cr)'!$C:$FB,67)</f>
        <v>444</v>
      </c>
      <c r="M169" s="75">
        <f>VLOOKUP($A169,'Data Vlaue (Cr)'!$C:$FB,68)</f>
        <v>355</v>
      </c>
      <c r="N169" s="75">
        <f t="shared" si="16"/>
        <v>89</v>
      </c>
      <c r="O169" s="75">
        <f t="shared" si="17"/>
        <v>20.045045045045047</v>
      </c>
      <c r="P169" s="75">
        <f>VLOOKUP($A169,'Data Vlaue (Cr)'!$C:$FB,119)</f>
        <v>0.5</v>
      </c>
      <c r="Q169" s="75">
        <f>VLOOKUP($A169,'Data Vlaue (Cr)'!$C:$FB,122)*100</f>
        <v>0</v>
      </c>
      <c r="R169" s="75">
        <f>VLOOKUP($A169,'Data Vlaue (Cr)'!$C:$FB,125)</f>
        <v>0.4</v>
      </c>
      <c r="S169" s="75">
        <f>VLOOKUP($A169,'Data Vlaue (Cr)'!$C:$FB,128)*100</f>
        <v>37.93</v>
      </c>
    </row>
    <row r="170" spans="1:19" x14ac:dyDescent="0.25">
      <c r="A170" s="96" t="str">
        <f>'Data Vlaue (Cr)'!C161</f>
        <v>PHOENIXLTD</v>
      </c>
      <c r="B170" s="75">
        <f>VLOOKUP($A170,'Data Vlaue (Cr)'!$C:$FB,2)</f>
        <v>350</v>
      </c>
      <c r="C170" s="75">
        <f>VLOOKUP($A170,'Data Vlaue (Cr)'!$C:$FB,8)</f>
        <v>1594.4</v>
      </c>
      <c r="D170" s="75">
        <f>VLOOKUP($A170,'Data Vlaue (Cr)'!$C:$FB,4)</f>
        <v>1600.3</v>
      </c>
      <c r="E170" s="75">
        <f>VLOOKUP($A170,'Data Vlaue (Cr)'!$C:$FB,5)</f>
        <v>1568.1</v>
      </c>
      <c r="F170" s="75">
        <f t="shared" si="12"/>
        <v>5.8999999999998636</v>
      </c>
      <c r="G170" s="75">
        <f t="shared" si="13"/>
        <v>2.0121227269886925</v>
      </c>
      <c r="H170" s="75">
        <f>VLOOKUP($A170,'Data Vlaue (Cr)'!$C:$FB,99)</f>
        <v>828</v>
      </c>
      <c r="I170" s="75">
        <f>VLOOKUP($A170,'Data Vlaue (Cr)'!$C:$FB,100)</f>
        <v>795</v>
      </c>
      <c r="J170" s="75">
        <f t="shared" si="14"/>
        <v>33</v>
      </c>
      <c r="K170" s="75">
        <f t="shared" si="15"/>
        <v>3.9855072463768111</v>
      </c>
      <c r="L170" s="75">
        <f>VLOOKUP($A170,'Data Vlaue (Cr)'!$C:$FB,67)</f>
        <v>255</v>
      </c>
      <c r="M170" s="75">
        <f>VLOOKUP($A170,'Data Vlaue (Cr)'!$C:$FB,68)</f>
        <v>124</v>
      </c>
      <c r="N170" s="75">
        <f t="shared" si="16"/>
        <v>131</v>
      </c>
      <c r="O170" s="75">
        <f t="shared" si="17"/>
        <v>51.372549019607838</v>
      </c>
      <c r="P170" s="75">
        <f>VLOOKUP($A170,'Data Vlaue (Cr)'!$C:$FB,119)</f>
        <v>0.55000000000000004</v>
      </c>
      <c r="Q170" s="75">
        <f>VLOOKUP($A170,'Data Vlaue (Cr)'!$C:$FB,122)*100</f>
        <v>1.8499999999999999</v>
      </c>
      <c r="R170" s="75">
        <f>VLOOKUP($A170,'Data Vlaue (Cr)'!$C:$FB,125)</f>
        <v>0.24</v>
      </c>
      <c r="S170" s="75">
        <f>VLOOKUP($A170,'Data Vlaue (Cr)'!$C:$FB,128)*100</f>
        <v>-54.72</v>
      </c>
    </row>
    <row r="171" spans="1:19" x14ac:dyDescent="0.25">
      <c r="A171" s="96" t="str">
        <f>'Data Vlaue (Cr)'!C162</f>
        <v>PIDILITIND</v>
      </c>
      <c r="B171" s="75">
        <f>VLOOKUP($A171,'Data Vlaue (Cr)'!$C:$FB,2)</f>
        <v>500</v>
      </c>
      <c r="C171" s="75">
        <f>VLOOKUP($A171,'Data Vlaue (Cr)'!$C:$FB,8)</f>
        <v>1489</v>
      </c>
      <c r="D171" s="75">
        <f>VLOOKUP($A171,'Data Vlaue (Cr)'!$C:$FB,4)</f>
        <v>1496.2</v>
      </c>
      <c r="E171" s="75">
        <f>VLOOKUP($A171,'Data Vlaue (Cr)'!$C:$FB,5)</f>
        <v>1495</v>
      </c>
      <c r="F171" s="75">
        <f t="shared" si="12"/>
        <v>7.2000000000000455</v>
      </c>
      <c r="G171" s="75">
        <f t="shared" si="13"/>
        <v>8.0203181392864961E-2</v>
      </c>
      <c r="H171" s="75">
        <f>VLOOKUP($A171,'Data Vlaue (Cr)'!$C:$FB,99)</f>
        <v>1575</v>
      </c>
      <c r="I171" s="75">
        <f>VLOOKUP($A171,'Data Vlaue (Cr)'!$C:$FB,100)</f>
        <v>1574</v>
      </c>
      <c r="J171" s="75">
        <f t="shared" si="14"/>
        <v>1</v>
      </c>
      <c r="K171" s="75">
        <f t="shared" si="15"/>
        <v>6.3492063492063489E-2</v>
      </c>
      <c r="L171" s="75">
        <f>VLOOKUP($A171,'Data Vlaue (Cr)'!$C:$FB,67)</f>
        <v>172</v>
      </c>
      <c r="M171" s="75">
        <f>VLOOKUP($A171,'Data Vlaue (Cr)'!$C:$FB,68)</f>
        <v>359</v>
      </c>
      <c r="N171" s="75">
        <f t="shared" si="16"/>
        <v>-187</v>
      </c>
      <c r="O171" s="75">
        <f t="shared" si="17"/>
        <v>-108.72093023255813</v>
      </c>
      <c r="P171" s="75">
        <f>VLOOKUP($A171,'Data Vlaue (Cr)'!$C:$FB,119)</f>
        <v>0.74</v>
      </c>
      <c r="Q171" s="75">
        <f>VLOOKUP($A171,'Data Vlaue (Cr)'!$C:$FB,122)*100</f>
        <v>0</v>
      </c>
      <c r="R171" s="75">
        <f>VLOOKUP($A171,'Data Vlaue (Cr)'!$C:$FB,125)</f>
        <v>0.53</v>
      </c>
      <c r="S171" s="75">
        <f>VLOOKUP($A171,'Data Vlaue (Cr)'!$C:$FB,128)*100</f>
        <v>51.43</v>
      </c>
    </row>
    <row r="172" spans="1:19" x14ac:dyDescent="0.25">
      <c r="A172" s="96" t="str">
        <f>'Data Vlaue (Cr)'!C163</f>
        <v>PIIND</v>
      </c>
      <c r="B172" s="75">
        <f>VLOOKUP($A172,'Data Vlaue (Cr)'!$C:$FB,2)</f>
        <v>175</v>
      </c>
      <c r="C172" s="75">
        <f>VLOOKUP($A172,'Data Vlaue (Cr)'!$C:$FB,8)</f>
        <v>3630.4</v>
      </c>
      <c r="D172" s="75">
        <f>VLOOKUP($A172,'Data Vlaue (Cr)'!$C:$FB,4)</f>
        <v>3614.2</v>
      </c>
      <c r="E172" s="75">
        <f>VLOOKUP($A172,'Data Vlaue (Cr)'!$C:$FB,5)</f>
        <v>3603</v>
      </c>
      <c r="F172" s="75">
        <f t="shared" si="12"/>
        <v>-16.200000000000273</v>
      </c>
      <c r="G172" s="75">
        <f t="shared" si="13"/>
        <v>0.30988877206573567</v>
      </c>
      <c r="H172" s="75">
        <f>VLOOKUP($A172,'Data Vlaue (Cr)'!$C:$FB,99)</f>
        <v>820</v>
      </c>
      <c r="I172" s="75">
        <f>VLOOKUP($A172,'Data Vlaue (Cr)'!$C:$FB,100)</f>
        <v>777</v>
      </c>
      <c r="J172" s="75">
        <f t="shared" si="14"/>
        <v>43</v>
      </c>
      <c r="K172" s="75">
        <f t="shared" si="15"/>
        <v>5.2439024390243905</v>
      </c>
      <c r="L172" s="75">
        <f>VLOOKUP($A172,'Data Vlaue (Cr)'!$C:$FB,67)</f>
        <v>408</v>
      </c>
      <c r="M172" s="75">
        <f>VLOOKUP($A172,'Data Vlaue (Cr)'!$C:$FB,68)</f>
        <v>247</v>
      </c>
      <c r="N172" s="75">
        <f t="shared" si="16"/>
        <v>161</v>
      </c>
      <c r="O172" s="75">
        <f t="shared" si="17"/>
        <v>39.46078431372549</v>
      </c>
      <c r="P172" s="75">
        <f>VLOOKUP($A172,'Data Vlaue (Cr)'!$C:$FB,119)</f>
        <v>0.91</v>
      </c>
      <c r="Q172" s="75">
        <f>VLOOKUP($A172,'Data Vlaue (Cr)'!$C:$FB,122)*100</f>
        <v>4.5999999999999996</v>
      </c>
      <c r="R172" s="75">
        <f>VLOOKUP($A172,'Data Vlaue (Cr)'!$C:$FB,125)</f>
        <v>0.5</v>
      </c>
      <c r="S172" s="75">
        <f>VLOOKUP($A172,'Data Vlaue (Cr)'!$C:$FB,128)*100</f>
        <v>-12.280000000000001</v>
      </c>
    </row>
    <row r="173" spans="1:19" x14ac:dyDescent="0.25">
      <c r="A173" s="96" t="str">
        <f>'Data Vlaue (Cr)'!C164</f>
        <v>PNB</v>
      </c>
      <c r="B173" s="75">
        <f>VLOOKUP($A173,'Data Vlaue (Cr)'!$C:$FB,2)</f>
        <v>8000</v>
      </c>
      <c r="C173" s="75">
        <f>VLOOKUP($A173,'Data Vlaue (Cr)'!$C:$FB,8)</f>
        <v>114.54</v>
      </c>
      <c r="D173" s="75">
        <f>VLOOKUP($A173,'Data Vlaue (Cr)'!$C:$FB,4)</f>
        <v>115.23</v>
      </c>
      <c r="E173" s="75">
        <f>VLOOKUP($A173,'Data Vlaue (Cr)'!$C:$FB,5)</f>
        <v>115.15</v>
      </c>
      <c r="F173" s="75">
        <f t="shared" si="12"/>
        <v>0.68999999999999773</v>
      </c>
      <c r="G173" s="75">
        <f t="shared" si="13"/>
        <v>6.9426364661978907E-2</v>
      </c>
      <c r="H173" s="75">
        <f>VLOOKUP($A173,'Data Vlaue (Cr)'!$C:$FB,99)</f>
        <v>5092</v>
      </c>
      <c r="I173" s="75">
        <f>VLOOKUP($A173,'Data Vlaue (Cr)'!$C:$FB,100)</f>
        <v>4909</v>
      </c>
      <c r="J173" s="75">
        <f t="shared" si="14"/>
        <v>183</v>
      </c>
      <c r="K173" s="75">
        <f t="shared" si="15"/>
        <v>3.5938727415553808</v>
      </c>
      <c r="L173" s="75">
        <f>VLOOKUP($A173,'Data Vlaue (Cr)'!$C:$FB,67)</f>
        <v>3100</v>
      </c>
      <c r="M173" s="75">
        <f>VLOOKUP($A173,'Data Vlaue (Cr)'!$C:$FB,68)</f>
        <v>3935</v>
      </c>
      <c r="N173" s="75">
        <f t="shared" si="16"/>
        <v>-835</v>
      </c>
      <c r="O173" s="75">
        <f t="shared" si="17"/>
        <v>-26.93548387096774</v>
      </c>
      <c r="P173" s="75">
        <f>VLOOKUP($A173,'Data Vlaue (Cr)'!$C:$FB,119)</f>
        <v>0.71</v>
      </c>
      <c r="Q173" s="75">
        <f>VLOOKUP($A173,'Data Vlaue (Cr)'!$C:$FB,122)*100</f>
        <v>-4.05</v>
      </c>
      <c r="R173" s="75">
        <f>VLOOKUP($A173,'Data Vlaue (Cr)'!$C:$FB,125)</f>
        <v>0.42</v>
      </c>
      <c r="S173" s="75">
        <f>VLOOKUP($A173,'Data Vlaue (Cr)'!$C:$FB,128)*100</f>
        <v>-6.67</v>
      </c>
    </row>
    <row r="174" spans="1:19" x14ac:dyDescent="0.25">
      <c r="A174" s="96" t="str">
        <f>'Data Vlaue (Cr)'!C165</f>
        <v>PNBHOUSING</v>
      </c>
      <c r="B174" s="75">
        <f>VLOOKUP($A174,'Data Vlaue (Cr)'!$C:$FB,2)</f>
        <v>650</v>
      </c>
      <c r="C174" s="75">
        <f>VLOOKUP($A174,'Data Vlaue (Cr)'!$C:$FB,8)</f>
        <v>895.05</v>
      </c>
      <c r="D174" s="75">
        <f>VLOOKUP($A174,'Data Vlaue (Cr)'!$C:$FB,4)</f>
        <v>900.7</v>
      </c>
      <c r="E174" s="75">
        <f>VLOOKUP($A174,'Data Vlaue (Cr)'!$C:$FB,5)</f>
        <v>893.9</v>
      </c>
      <c r="F174" s="75">
        <f t="shared" si="12"/>
        <v>5.6500000000000909</v>
      </c>
      <c r="G174" s="75">
        <f t="shared" si="13"/>
        <v>0.7549683579438291</v>
      </c>
      <c r="H174" s="75">
        <f>VLOOKUP($A174,'Data Vlaue (Cr)'!$C:$FB,99)</f>
        <v>1849</v>
      </c>
      <c r="I174" s="75">
        <f>VLOOKUP($A174,'Data Vlaue (Cr)'!$C:$FB,100)</f>
        <v>1823</v>
      </c>
      <c r="J174" s="75">
        <f t="shared" si="14"/>
        <v>26</v>
      </c>
      <c r="K174" s="75">
        <f t="shared" si="15"/>
        <v>1.4061654948620876</v>
      </c>
      <c r="L174" s="75">
        <f>VLOOKUP($A174,'Data Vlaue (Cr)'!$C:$FB,67)</f>
        <v>582</v>
      </c>
      <c r="M174" s="75">
        <f>VLOOKUP($A174,'Data Vlaue (Cr)'!$C:$FB,68)</f>
        <v>296</v>
      </c>
      <c r="N174" s="75">
        <f t="shared" si="16"/>
        <v>286</v>
      </c>
      <c r="O174" s="75">
        <f t="shared" si="17"/>
        <v>49.140893470790374</v>
      </c>
      <c r="P174" s="75">
        <f>VLOOKUP($A174,'Data Vlaue (Cr)'!$C:$FB,119)</f>
        <v>0.64</v>
      </c>
      <c r="Q174" s="75">
        <f>VLOOKUP($A174,'Data Vlaue (Cr)'!$C:$FB,122)*100</f>
        <v>-1.54</v>
      </c>
      <c r="R174" s="75">
        <f>VLOOKUP($A174,'Data Vlaue (Cr)'!$C:$FB,125)</f>
        <v>0.42</v>
      </c>
      <c r="S174" s="75">
        <f>VLOOKUP($A174,'Data Vlaue (Cr)'!$C:$FB,128)*100</f>
        <v>-37.31</v>
      </c>
    </row>
    <row r="175" spans="1:19" x14ac:dyDescent="0.25">
      <c r="A175" s="96" t="str">
        <f>'Data Vlaue (Cr)'!C166</f>
        <v>POLICYBZR</v>
      </c>
      <c r="B175" s="75">
        <f>VLOOKUP($A175,'Data Vlaue (Cr)'!$C:$FB,2)</f>
        <v>350</v>
      </c>
      <c r="C175" s="75">
        <f>VLOOKUP($A175,'Data Vlaue (Cr)'!$C:$FB,8)</f>
        <v>1725.4</v>
      </c>
      <c r="D175" s="75">
        <f>VLOOKUP($A175,'Data Vlaue (Cr)'!$C:$FB,4)</f>
        <v>1733.1</v>
      </c>
      <c r="E175" s="75">
        <f>VLOOKUP($A175,'Data Vlaue (Cr)'!$C:$FB,5)</f>
        <v>1707.8</v>
      </c>
      <c r="F175" s="75">
        <f t="shared" si="12"/>
        <v>7.6999999999998181</v>
      </c>
      <c r="G175" s="75">
        <f t="shared" si="13"/>
        <v>1.4598118977554646</v>
      </c>
      <c r="H175" s="75">
        <f>VLOOKUP($A175,'Data Vlaue (Cr)'!$C:$FB,99)</f>
        <v>1603</v>
      </c>
      <c r="I175" s="75">
        <f>VLOOKUP($A175,'Data Vlaue (Cr)'!$C:$FB,100)</f>
        <v>1602</v>
      </c>
      <c r="J175" s="75">
        <f t="shared" si="14"/>
        <v>1</v>
      </c>
      <c r="K175" s="75">
        <f t="shared" si="15"/>
        <v>6.2383031815346227E-2</v>
      </c>
      <c r="L175" s="75">
        <f>VLOOKUP($A175,'Data Vlaue (Cr)'!$C:$FB,67)</f>
        <v>583</v>
      </c>
      <c r="M175" s="75">
        <f>VLOOKUP($A175,'Data Vlaue (Cr)'!$C:$FB,68)</f>
        <v>1047</v>
      </c>
      <c r="N175" s="75">
        <f t="shared" si="16"/>
        <v>-464</v>
      </c>
      <c r="O175" s="75">
        <f t="shared" si="17"/>
        <v>-79.588336192109779</v>
      </c>
      <c r="P175" s="75">
        <f>VLOOKUP($A175,'Data Vlaue (Cr)'!$C:$FB,119)</f>
        <v>0.93</v>
      </c>
      <c r="Q175" s="75">
        <f>VLOOKUP($A175,'Data Vlaue (Cr)'!$C:$FB,122)*100</f>
        <v>-16.220000000000002</v>
      </c>
      <c r="R175" s="75">
        <f>VLOOKUP($A175,'Data Vlaue (Cr)'!$C:$FB,125)</f>
        <v>0.71</v>
      </c>
      <c r="S175" s="75">
        <f>VLOOKUP($A175,'Data Vlaue (Cr)'!$C:$FB,128)*100</f>
        <v>-50.349999999999994</v>
      </c>
    </row>
    <row r="176" spans="1:19" x14ac:dyDescent="0.25">
      <c r="A176" s="96" t="str">
        <f>'Data Vlaue (Cr)'!C167</f>
        <v>POLYCAB</v>
      </c>
      <c r="B176" s="75">
        <f>VLOOKUP($A176,'Data Vlaue (Cr)'!$C:$FB,2)</f>
        <v>125</v>
      </c>
      <c r="C176" s="75">
        <f>VLOOKUP($A176,'Data Vlaue (Cr)'!$C:$FB,8)</f>
        <v>7615.5</v>
      </c>
      <c r="D176" s="75">
        <f>VLOOKUP($A176,'Data Vlaue (Cr)'!$C:$FB,4)</f>
        <v>7642</v>
      </c>
      <c r="E176" s="75">
        <f>VLOOKUP($A176,'Data Vlaue (Cr)'!$C:$FB,5)</f>
        <v>7423.5</v>
      </c>
      <c r="F176" s="75">
        <f t="shared" si="12"/>
        <v>26.5</v>
      </c>
      <c r="G176" s="75">
        <f t="shared" si="13"/>
        <v>2.8591991625228999</v>
      </c>
      <c r="H176" s="75">
        <f>VLOOKUP($A176,'Data Vlaue (Cr)'!$C:$FB,99)</f>
        <v>2011</v>
      </c>
      <c r="I176" s="75">
        <f>VLOOKUP($A176,'Data Vlaue (Cr)'!$C:$FB,100)</f>
        <v>1849</v>
      </c>
      <c r="J176" s="75">
        <f t="shared" si="14"/>
        <v>162</v>
      </c>
      <c r="K176" s="75">
        <f t="shared" si="15"/>
        <v>8.0556936847339635</v>
      </c>
      <c r="L176" s="75">
        <f>VLOOKUP($A176,'Data Vlaue (Cr)'!$C:$FB,67)</f>
        <v>2081</v>
      </c>
      <c r="M176" s="75">
        <f>VLOOKUP($A176,'Data Vlaue (Cr)'!$C:$FB,68)</f>
        <v>664</v>
      </c>
      <c r="N176" s="75">
        <f t="shared" si="16"/>
        <v>1417</v>
      </c>
      <c r="O176" s="75">
        <f t="shared" si="17"/>
        <v>68.092263334935126</v>
      </c>
      <c r="P176" s="75">
        <f>VLOOKUP($A176,'Data Vlaue (Cr)'!$C:$FB,119)</f>
        <v>0.63</v>
      </c>
      <c r="Q176" s="75">
        <f>VLOOKUP($A176,'Data Vlaue (Cr)'!$C:$FB,122)*100</f>
        <v>5</v>
      </c>
      <c r="R176" s="75">
        <f>VLOOKUP($A176,'Data Vlaue (Cr)'!$C:$FB,125)</f>
        <v>0.37</v>
      </c>
      <c r="S176" s="75">
        <f>VLOOKUP($A176,'Data Vlaue (Cr)'!$C:$FB,128)*100</f>
        <v>-21.279999999999998</v>
      </c>
    </row>
    <row r="177" spans="1:19" x14ac:dyDescent="0.25">
      <c r="A177" s="96" t="str">
        <f>'Data Vlaue (Cr)'!C168</f>
        <v>POWERGRID</v>
      </c>
      <c r="B177" s="75">
        <f>VLOOKUP($A177,'Data Vlaue (Cr)'!$C:$FB,2)</f>
        <v>1900</v>
      </c>
      <c r="C177" s="75">
        <f>VLOOKUP($A177,'Data Vlaue (Cr)'!$C:$FB,8)</f>
        <v>286.89999999999998</v>
      </c>
      <c r="D177" s="75">
        <f>VLOOKUP($A177,'Data Vlaue (Cr)'!$C:$FB,4)</f>
        <v>287.85000000000002</v>
      </c>
      <c r="E177" s="75">
        <f>VLOOKUP($A177,'Data Vlaue (Cr)'!$C:$FB,5)</f>
        <v>290.3</v>
      </c>
      <c r="F177" s="75">
        <f t="shared" ref="F177:F185" si="18">D177-C177</f>
        <v>0.95000000000004547</v>
      </c>
      <c r="G177" s="75">
        <f t="shared" ref="G177:G185" si="19">(D177-E177)/D177*100</f>
        <v>-0.85113774535347864</v>
      </c>
      <c r="H177" s="75">
        <f>VLOOKUP($A177,'Data Vlaue (Cr)'!$C:$FB,99)</f>
        <v>3236</v>
      </c>
      <c r="I177" s="75">
        <f>VLOOKUP($A177,'Data Vlaue (Cr)'!$C:$FB,100)</f>
        <v>3192</v>
      </c>
      <c r="J177" s="75">
        <f t="shared" ref="J177:J185" si="20">H177-I177</f>
        <v>44</v>
      </c>
      <c r="K177" s="75">
        <f t="shared" ref="K177:K185" si="21">J177/H177*100</f>
        <v>1.3597033374536465</v>
      </c>
      <c r="L177" s="75">
        <f>VLOOKUP($A177,'Data Vlaue (Cr)'!$C:$FB,67)</f>
        <v>1192</v>
      </c>
      <c r="M177" s="75">
        <f>VLOOKUP($A177,'Data Vlaue (Cr)'!$C:$FB,68)</f>
        <v>1862</v>
      </c>
      <c r="N177" s="75">
        <f t="shared" ref="N177:N185" si="22">L177-M177</f>
        <v>-670</v>
      </c>
      <c r="O177" s="75">
        <f t="shared" ref="O177:O185" si="23">N177/L177*100</f>
        <v>-56.208053691275175</v>
      </c>
      <c r="P177" s="75">
        <f>VLOOKUP($A177,'Data Vlaue (Cr)'!$C:$FB,119)</f>
        <v>0.68</v>
      </c>
      <c r="Q177" s="75">
        <f>VLOOKUP($A177,'Data Vlaue (Cr)'!$C:$FB,122)*100</f>
        <v>-5.56</v>
      </c>
      <c r="R177" s="75">
        <f>VLOOKUP($A177,'Data Vlaue (Cr)'!$C:$FB,125)</f>
        <v>0.47</v>
      </c>
      <c r="S177" s="75">
        <f>VLOOKUP($A177,'Data Vlaue (Cr)'!$C:$FB,128)*100</f>
        <v>20.51</v>
      </c>
    </row>
    <row r="178" spans="1:19" x14ac:dyDescent="0.25">
      <c r="A178" s="96" t="str">
        <f>'Data Vlaue (Cr)'!C169</f>
        <v>POWERINDIA</v>
      </c>
      <c r="B178" s="75">
        <f>VLOOKUP($A178,'Data Vlaue (Cr)'!$C:$FB,2)</f>
        <v>50</v>
      </c>
      <c r="C178" s="75">
        <f>VLOOKUP($A178,'Data Vlaue (Cr)'!$C:$FB,8)</f>
        <v>18203</v>
      </c>
      <c r="D178" s="75">
        <f>VLOOKUP($A178,'Data Vlaue (Cr)'!$C:$FB,4)</f>
        <v>18305</v>
      </c>
      <c r="E178" s="75">
        <f>VLOOKUP($A178,'Data Vlaue (Cr)'!$C:$FB,5)</f>
        <v>18290</v>
      </c>
      <c r="F178" s="75">
        <f t="shared" si="18"/>
        <v>102</v>
      </c>
      <c r="G178" s="75">
        <f t="shared" si="19"/>
        <v>8.194482381862879E-2</v>
      </c>
      <c r="H178" s="75">
        <f>VLOOKUP($A178,'Data Vlaue (Cr)'!$C:$FB,99)</f>
        <v>73</v>
      </c>
      <c r="I178" s="75">
        <f>VLOOKUP($A178,'Data Vlaue (Cr)'!$C:$FB,100)</f>
        <v>51</v>
      </c>
      <c r="J178" s="75">
        <f t="shared" si="20"/>
        <v>22</v>
      </c>
      <c r="K178" s="75">
        <f t="shared" si="21"/>
        <v>30.136986301369863</v>
      </c>
      <c r="L178" s="75">
        <f>VLOOKUP($A178,'Data Vlaue (Cr)'!$C:$FB,67)</f>
        <v>63</v>
      </c>
      <c r="M178" s="75">
        <f>VLOOKUP($A178,'Data Vlaue (Cr)'!$C:$FB,68)</f>
        <v>98</v>
      </c>
      <c r="N178" s="75">
        <f t="shared" si="22"/>
        <v>-35</v>
      </c>
      <c r="O178" s="75">
        <f t="shared" si="23"/>
        <v>-55.555555555555557</v>
      </c>
      <c r="P178" s="75">
        <f>VLOOKUP($A178,'Data Vlaue (Cr)'!$C:$FB,119)</f>
        <v>0.17</v>
      </c>
      <c r="Q178" s="75">
        <f>VLOOKUP($A178,'Data Vlaue (Cr)'!$C:$FB,122)*100</f>
        <v>41.67</v>
      </c>
      <c r="R178" s="75">
        <f>VLOOKUP($A178,'Data Vlaue (Cr)'!$C:$FB,125)</f>
        <v>0.3</v>
      </c>
      <c r="S178" s="75">
        <f>VLOOKUP($A178,'Data Vlaue (Cr)'!$C:$FB,128)*100</f>
        <v>100</v>
      </c>
    </row>
    <row r="179" spans="1:19" x14ac:dyDescent="0.25">
      <c r="A179" s="96" t="str">
        <f>'Data Vlaue (Cr)'!C170</f>
        <v>PPLPHARMA</v>
      </c>
      <c r="B179" s="75">
        <f>VLOOKUP($A179,'Data Vlaue (Cr)'!$C:$FB,2)</f>
        <v>2500</v>
      </c>
      <c r="C179" s="75">
        <f>VLOOKUP($A179,'Data Vlaue (Cr)'!$C:$FB,8)</f>
        <v>195.61</v>
      </c>
      <c r="D179" s="75">
        <f>VLOOKUP($A179,'Data Vlaue (Cr)'!$C:$FB,4)</f>
        <v>196.6</v>
      </c>
      <c r="E179" s="75">
        <f>VLOOKUP($A179,'Data Vlaue (Cr)'!$C:$FB,5)</f>
        <v>199.55</v>
      </c>
      <c r="F179" s="75">
        <f t="shared" si="18"/>
        <v>0.98999999999998067</v>
      </c>
      <c r="G179" s="75">
        <f t="shared" si="19"/>
        <v>-1.5005086469989914</v>
      </c>
      <c r="H179" s="75">
        <f>VLOOKUP($A179,'Data Vlaue (Cr)'!$C:$FB,99)</f>
        <v>606</v>
      </c>
      <c r="I179" s="75">
        <f>VLOOKUP($A179,'Data Vlaue (Cr)'!$C:$FB,100)</f>
        <v>576</v>
      </c>
      <c r="J179" s="75">
        <f t="shared" si="20"/>
        <v>30</v>
      </c>
      <c r="K179" s="75">
        <f t="shared" si="21"/>
        <v>4.9504950495049505</v>
      </c>
      <c r="L179" s="75">
        <f>VLOOKUP($A179,'Data Vlaue (Cr)'!$C:$FB,67)</f>
        <v>215</v>
      </c>
      <c r="M179" s="75">
        <f>VLOOKUP($A179,'Data Vlaue (Cr)'!$C:$FB,68)</f>
        <v>190</v>
      </c>
      <c r="N179" s="75">
        <f t="shared" si="22"/>
        <v>25</v>
      </c>
      <c r="O179" s="75">
        <f t="shared" si="23"/>
        <v>11.627906976744185</v>
      </c>
      <c r="P179" s="75">
        <f>VLOOKUP($A179,'Data Vlaue (Cr)'!$C:$FB,119)</f>
        <v>0.42</v>
      </c>
      <c r="Q179" s="75">
        <f>VLOOKUP($A179,'Data Vlaue (Cr)'!$C:$FB,122)*100</f>
        <v>0</v>
      </c>
      <c r="R179" s="75">
        <f>VLOOKUP($A179,'Data Vlaue (Cr)'!$C:$FB,125)</f>
        <v>0.61</v>
      </c>
      <c r="S179" s="75">
        <f>VLOOKUP($A179,'Data Vlaue (Cr)'!$C:$FB,128)*100</f>
        <v>29.79</v>
      </c>
    </row>
    <row r="180" spans="1:19" x14ac:dyDescent="0.25">
      <c r="A180" s="96" t="str">
        <f>'Data Vlaue (Cr)'!C171</f>
        <v>PRESTIGE</v>
      </c>
      <c r="B180" s="75">
        <f>VLOOKUP($A180,'Data Vlaue (Cr)'!$C:$FB,2)</f>
        <v>450</v>
      </c>
      <c r="C180" s="75">
        <f>VLOOKUP($A180,'Data Vlaue (Cr)'!$C:$FB,8)</f>
        <v>1541.3</v>
      </c>
      <c r="D180" s="75">
        <f>VLOOKUP($A180,'Data Vlaue (Cr)'!$C:$FB,4)</f>
        <v>1548.3</v>
      </c>
      <c r="E180" s="75">
        <f>VLOOKUP($A180,'Data Vlaue (Cr)'!$C:$FB,5)</f>
        <v>1540.2</v>
      </c>
      <c r="F180" s="75">
        <f t="shared" si="18"/>
        <v>7</v>
      </c>
      <c r="G180" s="75">
        <f t="shared" si="19"/>
        <v>0.52315442743653739</v>
      </c>
      <c r="H180" s="75">
        <f>VLOOKUP($A180,'Data Vlaue (Cr)'!$C:$FB,99)</f>
        <v>988</v>
      </c>
      <c r="I180" s="75">
        <f>VLOOKUP($A180,'Data Vlaue (Cr)'!$C:$FB,100)</f>
        <v>944</v>
      </c>
      <c r="J180" s="75">
        <f t="shared" si="20"/>
        <v>44</v>
      </c>
      <c r="K180" s="75">
        <f t="shared" si="21"/>
        <v>4.4534412955465585</v>
      </c>
      <c r="L180" s="75">
        <f>VLOOKUP($A180,'Data Vlaue (Cr)'!$C:$FB,67)</f>
        <v>339</v>
      </c>
      <c r="M180" s="75">
        <f>VLOOKUP($A180,'Data Vlaue (Cr)'!$C:$FB,68)</f>
        <v>369</v>
      </c>
      <c r="N180" s="75">
        <f t="shared" si="22"/>
        <v>-30</v>
      </c>
      <c r="O180" s="75">
        <f t="shared" si="23"/>
        <v>-8.8495575221238933</v>
      </c>
      <c r="P180" s="75">
        <f>VLOOKUP($A180,'Data Vlaue (Cr)'!$C:$FB,119)</f>
        <v>0.86</v>
      </c>
      <c r="Q180" s="75">
        <f>VLOOKUP($A180,'Data Vlaue (Cr)'!$C:$FB,122)*100</f>
        <v>-10.42</v>
      </c>
      <c r="R180" s="75">
        <f>VLOOKUP($A180,'Data Vlaue (Cr)'!$C:$FB,125)</f>
        <v>0.49</v>
      </c>
      <c r="S180" s="75">
        <f>VLOOKUP($A180,'Data Vlaue (Cr)'!$C:$FB,128)*100</f>
        <v>-20.97</v>
      </c>
    </row>
    <row r="181" spans="1:19" x14ac:dyDescent="0.25">
      <c r="A181" s="96" t="str">
        <f>'Data Vlaue (Cr)'!C172</f>
        <v>RBLBANK</v>
      </c>
      <c r="B181" s="75">
        <f>VLOOKUP($A181,'Data Vlaue (Cr)'!$C:$FB,2)</f>
        <v>3175</v>
      </c>
      <c r="C181" s="75">
        <f>VLOOKUP($A181,'Data Vlaue (Cr)'!$C:$FB,8)</f>
        <v>275.60000000000002</v>
      </c>
      <c r="D181" s="75">
        <f>VLOOKUP($A181,'Data Vlaue (Cr)'!$C:$FB,4)</f>
        <v>277.8</v>
      </c>
      <c r="E181" s="75">
        <f>VLOOKUP($A181,'Data Vlaue (Cr)'!$C:$FB,5)</f>
        <v>277.25</v>
      </c>
      <c r="F181" s="75">
        <f t="shared" si="18"/>
        <v>2.1999999999999886</v>
      </c>
      <c r="G181" s="75">
        <f t="shared" si="19"/>
        <v>0.19798416126710272</v>
      </c>
      <c r="H181" s="75">
        <f>VLOOKUP($A181,'Data Vlaue (Cr)'!$C:$FB,99)</f>
        <v>3511</v>
      </c>
      <c r="I181" s="75">
        <f>VLOOKUP($A181,'Data Vlaue (Cr)'!$C:$FB,100)</f>
        <v>3572</v>
      </c>
      <c r="J181" s="75">
        <f t="shared" si="20"/>
        <v>-61</v>
      </c>
      <c r="K181" s="75">
        <f t="shared" si="21"/>
        <v>-1.7373967530618057</v>
      </c>
      <c r="L181" s="75">
        <f>VLOOKUP($A181,'Data Vlaue (Cr)'!$C:$FB,67)</f>
        <v>63</v>
      </c>
      <c r="M181" s="75">
        <f>VLOOKUP($A181,'Data Vlaue (Cr)'!$C:$FB,68)</f>
        <v>137</v>
      </c>
      <c r="N181" s="75">
        <f t="shared" si="22"/>
        <v>-74</v>
      </c>
      <c r="O181" s="75">
        <f t="shared" si="23"/>
        <v>-117.46031746031747</v>
      </c>
      <c r="P181" s="75">
        <f>VLOOKUP($A181,'Data Vlaue (Cr)'!$C:$FB,119)</f>
        <v>0.42</v>
      </c>
      <c r="Q181" s="75">
        <f>VLOOKUP($A181,'Data Vlaue (Cr)'!$C:$FB,122)*100</f>
        <v>0</v>
      </c>
      <c r="R181" s="75">
        <f>VLOOKUP($A181,'Data Vlaue (Cr)'!$C:$FB,125)</f>
        <v>0.35</v>
      </c>
      <c r="S181" s="75">
        <f>VLOOKUP($A181,'Data Vlaue (Cr)'!$C:$FB,128)*100</f>
        <v>45.83</v>
      </c>
    </row>
    <row r="182" spans="1:19" x14ac:dyDescent="0.25">
      <c r="A182" s="96" t="str">
        <f>'Data Vlaue (Cr)'!C173</f>
        <v>RECLTD</v>
      </c>
      <c r="B182" s="75">
        <f>VLOOKUP($A182,'Data Vlaue (Cr)'!$C:$FB,2)</f>
        <v>1275</v>
      </c>
      <c r="C182" s="75">
        <f>VLOOKUP($A182,'Data Vlaue (Cr)'!$C:$FB,8)</f>
        <v>378.05</v>
      </c>
      <c r="D182" s="75">
        <f>VLOOKUP($A182,'Data Vlaue (Cr)'!$C:$FB,4)</f>
        <v>379.6</v>
      </c>
      <c r="E182" s="75">
        <f>VLOOKUP($A182,'Data Vlaue (Cr)'!$C:$FB,5)</f>
        <v>381.8</v>
      </c>
      <c r="F182" s="75">
        <f t="shared" si="18"/>
        <v>1.5500000000000114</v>
      </c>
      <c r="G182" s="75">
        <f t="shared" si="19"/>
        <v>-0.5795574288724944</v>
      </c>
      <c r="H182" s="75">
        <f>VLOOKUP($A182,'Data Vlaue (Cr)'!$C:$FB,99)</f>
        <v>4659</v>
      </c>
      <c r="I182" s="75">
        <f>VLOOKUP($A182,'Data Vlaue (Cr)'!$C:$FB,100)</f>
        <v>4532</v>
      </c>
      <c r="J182" s="75">
        <f t="shared" si="20"/>
        <v>127</v>
      </c>
      <c r="K182" s="75">
        <f t="shared" si="21"/>
        <v>2.7259068469628676</v>
      </c>
      <c r="L182" s="75">
        <f>VLOOKUP($A182,'Data Vlaue (Cr)'!$C:$FB,67)</f>
        <v>929</v>
      </c>
      <c r="M182" s="75">
        <f>VLOOKUP($A182,'Data Vlaue (Cr)'!$C:$FB,68)</f>
        <v>1101</v>
      </c>
      <c r="N182" s="75">
        <f t="shared" si="22"/>
        <v>-172</v>
      </c>
      <c r="O182" s="75">
        <f t="shared" si="23"/>
        <v>-18.514531754574811</v>
      </c>
      <c r="P182" s="75">
        <f>VLOOKUP($A182,'Data Vlaue (Cr)'!$C:$FB,119)</f>
        <v>0.97</v>
      </c>
      <c r="Q182" s="75">
        <f>VLOOKUP($A182,'Data Vlaue (Cr)'!$C:$FB,122)*100</f>
        <v>-1.02</v>
      </c>
      <c r="R182" s="75">
        <f>VLOOKUP($A182,'Data Vlaue (Cr)'!$C:$FB,125)</f>
        <v>0.62</v>
      </c>
      <c r="S182" s="75">
        <f>VLOOKUP($A182,'Data Vlaue (Cr)'!$C:$FB,128)*100</f>
        <v>16.98</v>
      </c>
    </row>
    <row r="183" spans="1:19" x14ac:dyDescent="0.25">
      <c r="A183" s="96" t="str">
        <f>'Data Vlaue (Cr)'!C174</f>
        <v>RELIANCE</v>
      </c>
      <c r="B183" s="75">
        <f>VLOOKUP($A183,'Data Vlaue (Cr)'!$C:$FB,2)</f>
        <v>500</v>
      </c>
      <c r="C183" s="75">
        <f>VLOOKUP($A183,'Data Vlaue (Cr)'!$C:$FB,8)</f>
        <v>1375</v>
      </c>
      <c r="D183" s="75">
        <f>VLOOKUP($A183,'Data Vlaue (Cr)'!$C:$FB,4)</f>
        <v>1383.2</v>
      </c>
      <c r="E183" s="75">
        <f>VLOOKUP($A183,'Data Vlaue (Cr)'!$C:$FB,5)</f>
        <v>1371.3</v>
      </c>
      <c r="F183" s="75">
        <f t="shared" si="18"/>
        <v>8.2000000000000455</v>
      </c>
      <c r="G183" s="75">
        <f t="shared" si="19"/>
        <v>0.86032388663968262</v>
      </c>
      <c r="H183" s="75">
        <f>VLOOKUP($A183,'Data Vlaue (Cr)'!$C:$FB,99)</f>
        <v>29358</v>
      </c>
      <c r="I183" s="75">
        <f>VLOOKUP($A183,'Data Vlaue (Cr)'!$C:$FB,100)</f>
        <v>28906</v>
      </c>
      <c r="J183" s="75">
        <f t="shared" si="20"/>
        <v>452</v>
      </c>
      <c r="K183" s="75">
        <f t="shared" si="21"/>
        <v>1.5396144151508959</v>
      </c>
      <c r="L183" s="75">
        <f>VLOOKUP($A183,'Data Vlaue (Cr)'!$C:$FB,67)</f>
        <v>13039</v>
      </c>
      <c r="M183" s="75">
        <f>VLOOKUP($A183,'Data Vlaue (Cr)'!$C:$FB,68)</f>
        <v>10536</v>
      </c>
      <c r="N183" s="75">
        <f t="shared" si="22"/>
        <v>2503</v>
      </c>
      <c r="O183" s="75">
        <f t="shared" si="23"/>
        <v>19.196257381701052</v>
      </c>
      <c r="P183" s="75">
        <f>VLOOKUP($A183,'Data Vlaue (Cr)'!$C:$FB,119)</f>
        <v>0.8</v>
      </c>
      <c r="Q183" s="75">
        <f>VLOOKUP($A183,'Data Vlaue (Cr)'!$C:$FB,122)*100</f>
        <v>2.56</v>
      </c>
      <c r="R183" s="75">
        <f>VLOOKUP($A183,'Data Vlaue (Cr)'!$C:$FB,125)</f>
        <v>0.5</v>
      </c>
      <c r="S183" s="75">
        <f>VLOOKUP($A183,'Data Vlaue (Cr)'!$C:$FB,128)*100</f>
        <v>-13.79</v>
      </c>
    </row>
    <row r="184" spans="1:19" x14ac:dyDescent="0.25">
      <c r="A184" s="96" t="str">
        <f>'Data Vlaue (Cr)'!C175</f>
        <v>RVNL</v>
      </c>
      <c r="B184" s="75">
        <f>VLOOKUP($A184,'Data Vlaue (Cr)'!$C:$FB,2)</f>
        <v>1375</v>
      </c>
      <c r="C184" s="75">
        <f>VLOOKUP($A184,'Data Vlaue (Cr)'!$C:$FB,8)</f>
        <v>346.6</v>
      </c>
      <c r="D184" s="75">
        <f>VLOOKUP($A184,'Data Vlaue (Cr)'!$C:$FB,4)</f>
        <v>341.2</v>
      </c>
      <c r="E184" s="75">
        <f>VLOOKUP($A184,'Data Vlaue (Cr)'!$C:$FB,5)</f>
        <v>341.45</v>
      </c>
      <c r="F184" s="75">
        <f t="shared" si="18"/>
        <v>-5.4000000000000341</v>
      </c>
      <c r="G184" s="75">
        <f t="shared" si="19"/>
        <v>-7.3270808909730367E-2</v>
      </c>
      <c r="H184" s="75">
        <f>VLOOKUP($A184,'Data Vlaue (Cr)'!$C:$FB,99)</f>
        <v>1749</v>
      </c>
      <c r="I184" s="75">
        <f>VLOOKUP($A184,'Data Vlaue (Cr)'!$C:$FB,100)</f>
        <v>1694</v>
      </c>
      <c r="J184" s="75">
        <f t="shared" si="20"/>
        <v>55</v>
      </c>
      <c r="K184" s="75">
        <f t="shared" si="21"/>
        <v>3.1446540880503147</v>
      </c>
      <c r="L184" s="75">
        <f>VLOOKUP($A184,'Data Vlaue (Cr)'!$C:$FB,67)</f>
        <v>488</v>
      </c>
      <c r="M184" s="75">
        <f>VLOOKUP($A184,'Data Vlaue (Cr)'!$C:$FB,68)</f>
        <v>604</v>
      </c>
      <c r="N184" s="75">
        <f t="shared" si="22"/>
        <v>-116</v>
      </c>
      <c r="O184" s="75">
        <f t="shared" si="23"/>
        <v>-23.770491803278688</v>
      </c>
      <c r="P184" s="75">
        <f>VLOOKUP($A184,'Data Vlaue (Cr)'!$C:$FB,119)</f>
        <v>0.43</v>
      </c>
      <c r="Q184" s="75">
        <f>VLOOKUP($A184,'Data Vlaue (Cr)'!$C:$FB,122)*100</f>
        <v>-4.4400000000000004</v>
      </c>
      <c r="R184" s="75">
        <f>VLOOKUP($A184,'Data Vlaue (Cr)'!$C:$FB,125)</f>
        <v>0.2</v>
      </c>
      <c r="S184" s="75">
        <f>VLOOKUP($A184,'Data Vlaue (Cr)'!$C:$FB,128)*100</f>
        <v>-16.669999999999998</v>
      </c>
    </row>
    <row r="185" spans="1:19" x14ac:dyDescent="0.25">
      <c r="A185" s="96" t="str">
        <f>'Data Vlaue (Cr)'!C176</f>
        <v>SAIL</v>
      </c>
      <c r="B185" s="75">
        <f>VLOOKUP($A185,'Data Vlaue (Cr)'!$C:$FB,2)</f>
        <v>4700</v>
      </c>
      <c r="C185" s="75">
        <f>VLOOKUP($A185,'Data Vlaue (Cr)'!$C:$FB,8)</f>
        <v>132.62</v>
      </c>
      <c r="D185" s="75">
        <f>VLOOKUP($A185,'Data Vlaue (Cr)'!$C:$FB,4)</f>
        <v>133.27000000000001</v>
      </c>
      <c r="E185" s="75">
        <f>VLOOKUP($A185,'Data Vlaue (Cr)'!$C:$FB,5)</f>
        <v>135.86000000000001</v>
      </c>
      <c r="F185" s="75">
        <f t="shared" si="18"/>
        <v>0.65000000000000568</v>
      </c>
      <c r="G185" s="75">
        <f t="shared" si="19"/>
        <v>-1.9434231259848451</v>
      </c>
      <c r="H185" s="75">
        <f>VLOOKUP($A185,'Data Vlaue (Cr)'!$C:$FB,99)</f>
        <v>3070</v>
      </c>
      <c r="I185" s="75">
        <f>VLOOKUP($A185,'Data Vlaue (Cr)'!$C:$FB,100)</f>
        <v>2822</v>
      </c>
      <c r="J185" s="75">
        <f t="shared" si="20"/>
        <v>248</v>
      </c>
      <c r="K185" s="75">
        <f t="shared" si="21"/>
        <v>8.0781758957654723</v>
      </c>
      <c r="L185" s="75">
        <f>VLOOKUP($A185,'Data Vlaue (Cr)'!$C:$FB,67)</f>
        <v>2448</v>
      </c>
      <c r="M185" s="75">
        <f>VLOOKUP($A185,'Data Vlaue (Cr)'!$C:$FB,68)</f>
        <v>1862</v>
      </c>
      <c r="N185" s="75">
        <f t="shared" si="22"/>
        <v>586</v>
      </c>
      <c r="O185" s="75">
        <f t="shared" si="23"/>
        <v>23.937908496732028</v>
      </c>
      <c r="P185" s="75">
        <f>VLOOKUP($A185,'Data Vlaue (Cr)'!$C:$FB,119)</f>
        <v>0.5</v>
      </c>
      <c r="Q185" s="75">
        <f>VLOOKUP($A185,'Data Vlaue (Cr)'!$C:$FB,122)*100</f>
        <v>0</v>
      </c>
      <c r="R185" s="75">
        <f>VLOOKUP($A185,'Data Vlaue (Cr)'!$C:$FB,125)</f>
        <v>0.5</v>
      </c>
      <c r="S185" s="75">
        <f>VLOOKUP($A185,'Data Vlaue (Cr)'!$C:$FB,128)*100</f>
        <v>31.580000000000002</v>
      </c>
    </row>
    <row r="186" spans="1:19" x14ac:dyDescent="0.25">
      <c r="A186" s="96" t="str">
        <f>'Data Vlaue (Cr)'!C177</f>
        <v>SAMMAANCAP</v>
      </c>
      <c r="B186" s="75">
        <f>VLOOKUP($A186,'Data Vlaue (Cr)'!$C:$FB,2)</f>
        <v>4300</v>
      </c>
      <c r="C186" s="75">
        <f>VLOOKUP($A186,'Data Vlaue (Cr)'!$C:$FB,8)</f>
        <v>159.94</v>
      </c>
      <c r="D186" s="75">
        <f>VLOOKUP($A186,'Data Vlaue (Cr)'!$C:$FB,4)</f>
        <v>161.32</v>
      </c>
      <c r="E186" s="75">
        <f>VLOOKUP($A186,'Data Vlaue (Cr)'!$C:$FB,5)</f>
        <v>166.04</v>
      </c>
      <c r="F186" s="75">
        <f t="shared" ref="F186:F193" si="24">D186-C186</f>
        <v>1.3799999999999955</v>
      </c>
      <c r="G186" s="75">
        <f t="shared" ref="G186:G193" si="25">(D186-E186)/D186*100</f>
        <v>-2.925861641457971</v>
      </c>
      <c r="H186" s="75">
        <f>VLOOKUP($A186,'Data Vlaue (Cr)'!$C:$FB,99)</f>
        <v>2487</v>
      </c>
      <c r="I186" s="75">
        <f>VLOOKUP($A186,'Data Vlaue (Cr)'!$C:$FB,100)</f>
        <v>1939</v>
      </c>
      <c r="J186" s="75">
        <f t="shared" ref="J186:J193" si="26">H186-I186</f>
        <v>548</v>
      </c>
      <c r="K186" s="75">
        <f t="shared" ref="K186:K193" si="27">J186/H186*100</f>
        <v>22.0345798150382</v>
      </c>
      <c r="L186" s="75">
        <f>VLOOKUP($A186,'Data Vlaue (Cr)'!$C:$FB,67)</f>
        <v>3419</v>
      </c>
      <c r="M186" s="75">
        <f>VLOOKUP($A186,'Data Vlaue (Cr)'!$C:$FB,68)</f>
        <v>181</v>
      </c>
      <c r="N186" s="75">
        <f t="shared" ref="N186:N193" si="28">L186-M186</f>
        <v>3238</v>
      </c>
      <c r="O186" s="75">
        <f t="shared" ref="O186:O193" si="29">N186/L186*100</f>
        <v>94.706054401871896</v>
      </c>
      <c r="P186" s="75">
        <f>VLOOKUP($A186,'Data Vlaue (Cr)'!$C:$FB,119)</f>
        <v>1.04</v>
      </c>
      <c r="Q186" s="75">
        <f>VLOOKUP($A186,'Data Vlaue (Cr)'!$C:$FB,122)*100</f>
        <v>10.639999999999999</v>
      </c>
      <c r="R186" s="75">
        <f>VLOOKUP($A186,'Data Vlaue (Cr)'!$C:$FB,125)</f>
        <v>0.7</v>
      </c>
      <c r="S186" s="75">
        <f>VLOOKUP($A186,'Data Vlaue (Cr)'!$C:$FB,128)*100</f>
        <v>180</v>
      </c>
    </row>
    <row r="187" spans="1:19" x14ac:dyDescent="0.25">
      <c r="A187" s="96" t="str">
        <f>'Data Vlaue (Cr)'!C178</f>
        <v>SBICARD</v>
      </c>
      <c r="B187" s="75">
        <f>VLOOKUP($A187,'Data Vlaue (Cr)'!$C:$FB,2)</f>
        <v>800</v>
      </c>
      <c r="C187" s="75">
        <f>VLOOKUP($A187,'Data Vlaue (Cr)'!$C:$FB,8)</f>
        <v>902.6</v>
      </c>
      <c r="D187" s="75">
        <f>VLOOKUP($A187,'Data Vlaue (Cr)'!$C:$FB,4)</f>
        <v>889.95</v>
      </c>
      <c r="E187" s="75">
        <f>VLOOKUP($A187,'Data Vlaue (Cr)'!$C:$FB,5)</f>
        <v>866.3</v>
      </c>
      <c r="F187" s="75">
        <f t="shared" si="24"/>
        <v>-12.649999999999977</v>
      </c>
      <c r="G187" s="75">
        <f t="shared" si="25"/>
        <v>2.6574526658801156</v>
      </c>
      <c r="H187" s="75">
        <f>VLOOKUP($A187,'Data Vlaue (Cr)'!$C:$FB,99)</f>
        <v>2404</v>
      </c>
      <c r="I187" s="75">
        <f>VLOOKUP($A187,'Data Vlaue (Cr)'!$C:$FB,100)</f>
        <v>2253</v>
      </c>
      <c r="J187" s="75">
        <f t="shared" si="26"/>
        <v>151</v>
      </c>
      <c r="K187" s="75">
        <f t="shared" si="27"/>
        <v>6.2811980033277868</v>
      </c>
      <c r="L187" s="75">
        <f>VLOOKUP($A187,'Data Vlaue (Cr)'!$C:$FB,67)</f>
        <v>2611</v>
      </c>
      <c r="M187" s="75">
        <f>VLOOKUP($A187,'Data Vlaue (Cr)'!$C:$FB,68)</f>
        <v>1197</v>
      </c>
      <c r="N187" s="75">
        <f t="shared" si="28"/>
        <v>1414</v>
      </c>
      <c r="O187" s="75">
        <f t="shared" si="29"/>
        <v>54.155495978552281</v>
      </c>
      <c r="P187" s="75">
        <f>VLOOKUP($A187,'Data Vlaue (Cr)'!$C:$FB,119)</f>
        <v>0.6</v>
      </c>
      <c r="Q187" s="75">
        <f>VLOOKUP($A187,'Data Vlaue (Cr)'!$C:$FB,122)*100</f>
        <v>17.649999999999999</v>
      </c>
      <c r="R187" s="75">
        <f>VLOOKUP($A187,'Data Vlaue (Cr)'!$C:$FB,125)</f>
        <v>0.37</v>
      </c>
      <c r="S187" s="75">
        <f>VLOOKUP($A187,'Data Vlaue (Cr)'!$C:$FB,128)*100</f>
        <v>23.330000000000002</v>
      </c>
    </row>
    <row r="188" spans="1:19" x14ac:dyDescent="0.25">
      <c r="A188" s="96" t="str">
        <f>'Data Vlaue (Cr)'!C179</f>
        <v>SBILIFE</v>
      </c>
      <c r="B188" s="75">
        <f>VLOOKUP($A188,'Data Vlaue (Cr)'!$C:$FB,2)</f>
        <v>375</v>
      </c>
      <c r="C188" s="75">
        <f>VLOOKUP($A188,'Data Vlaue (Cr)'!$C:$FB,8)</f>
        <v>1770.9</v>
      </c>
      <c r="D188" s="75">
        <f>VLOOKUP($A188,'Data Vlaue (Cr)'!$C:$FB,4)</f>
        <v>1774.3</v>
      </c>
      <c r="E188" s="75">
        <f>VLOOKUP($A188,'Data Vlaue (Cr)'!$C:$FB,5)</f>
        <v>1791.3</v>
      </c>
      <c r="F188" s="75">
        <f t="shared" si="24"/>
        <v>3.3999999999998636</v>
      </c>
      <c r="G188" s="75">
        <f t="shared" si="25"/>
        <v>-0.95812433072197489</v>
      </c>
      <c r="H188" s="75">
        <f>VLOOKUP($A188,'Data Vlaue (Cr)'!$C:$FB,99)</f>
        <v>1645</v>
      </c>
      <c r="I188" s="75">
        <f>VLOOKUP($A188,'Data Vlaue (Cr)'!$C:$FB,100)</f>
        <v>1624</v>
      </c>
      <c r="J188" s="75">
        <f t="shared" si="26"/>
        <v>21</v>
      </c>
      <c r="K188" s="75">
        <f t="shared" si="27"/>
        <v>1.2765957446808509</v>
      </c>
      <c r="L188" s="75">
        <f>VLOOKUP($A188,'Data Vlaue (Cr)'!$C:$FB,67)</f>
        <v>783</v>
      </c>
      <c r="M188" s="75">
        <f>VLOOKUP($A188,'Data Vlaue (Cr)'!$C:$FB,68)</f>
        <v>872</v>
      </c>
      <c r="N188" s="75">
        <f t="shared" si="28"/>
        <v>-89</v>
      </c>
      <c r="O188" s="75">
        <f t="shared" si="29"/>
        <v>-11.36653895274585</v>
      </c>
      <c r="P188" s="75">
        <f>VLOOKUP($A188,'Data Vlaue (Cr)'!$C:$FB,119)</f>
        <v>0.4</v>
      </c>
      <c r="Q188" s="75">
        <f>VLOOKUP($A188,'Data Vlaue (Cr)'!$C:$FB,122)*100</f>
        <v>-2.44</v>
      </c>
      <c r="R188" s="75">
        <f>VLOOKUP($A188,'Data Vlaue (Cr)'!$C:$FB,125)</f>
        <v>0.46</v>
      </c>
      <c r="S188" s="75">
        <f>VLOOKUP($A188,'Data Vlaue (Cr)'!$C:$FB,128)*100</f>
        <v>53.33</v>
      </c>
    </row>
    <row r="189" spans="1:19" x14ac:dyDescent="0.25">
      <c r="A189" s="96" t="str">
        <f>'Data Vlaue (Cr)'!C180</f>
        <v>SBIN</v>
      </c>
      <c r="B189" s="75">
        <f>VLOOKUP($A189,'Data Vlaue (Cr)'!$C:$FB,2)</f>
        <v>750</v>
      </c>
      <c r="C189" s="75">
        <f>VLOOKUP($A189,'Data Vlaue (Cr)'!$C:$FB,8)</f>
        <v>874.05</v>
      </c>
      <c r="D189" s="75">
        <f>VLOOKUP($A189,'Data Vlaue (Cr)'!$C:$FB,4)</f>
        <v>877.75</v>
      </c>
      <c r="E189" s="75">
        <f>VLOOKUP($A189,'Data Vlaue (Cr)'!$C:$FB,5)</f>
        <v>872.85</v>
      </c>
      <c r="F189" s="75">
        <f t="shared" si="24"/>
        <v>3.7000000000000455</v>
      </c>
      <c r="G189" s="75">
        <f t="shared" si="25"/>
        <v>0.55824551409854484</v>
      </c>
      <c r="H189" s="75">
        <f>VLOOKUP($A189,'Data Vlaue (Cr)'!$C:$FB,99)</f>
        <v>14024</v>
      </c>
      <c r="I189" s="75">
        <f>VLOOKUP($A189,'Data Vlaue (Cr)'!$C:$FB,100)</f>
        <v>13731</v>
      </c>
      <c r="J189" s="75">
        <f t="shared" si="26"/>
        <v>293</v>
      </c>
      <c r="K189" s="75">
        <f t="shared" si="27"/>
        <v>2.0892755276668571</v>
      </c>
      <c r="L189" s="75">
        <f>VLOOKUP($A189,'Data Vlaue (Cr)'!$C:$FB,67)</f>
        <v>10109</v>
      </c>
      <c r="M189" s="75">
        <f>VLOOKUP($A189,'Data Vlaue (Cr)'!$C:$FB,68)</f>
        <v>10134</v>
      </c>
      <c r="N189" s="75">
        <f t="shared" si="28"/>
        <v>-25</v>
      </c>
      <c r="O189" s="75">
        <f t="shared" si="29"/>
        <v>-0.24730438223365317</v>
      </c>
      <c r="P189" s="75">
        <f>VLOOKUP($A189,'Data Vlaue (Cr)'!$C:$FB,119)</f>
        <v>0.63</v>
      </c>
      <c r="Q189" s="75">
        <f>VLOOKUP($A189,'Data Vlaue (Cr)'!$C:$FB,122)*100</f>
        <v>3.2800000000000002</v>
      </c>
      <c r="R189" s="75">
        <f>VLOOKUP($A189,'Data Vlaue (Cr)'!$C:$FB,125)</f>
        <v>0.56999999999999995</v>
      </c>
      <c r="S189" s="75">
        <f>VLOOKUP($A189,'Data Vlaue (Cr)'!$C:$FB,128)*100</f>
        <v>-9.5200000000000014</v>
      </c>
    </row>
    <row r="190" spans="1:19" x14ac:dyDescent="0.25">
      <c r="A190" s="96" t="str">
        <f>'Data Vlaue (Cr)'!C181</f>
        <v>SHREECEM</v>
      </c>
      <c r="B190" s="75">
        <f>VLOOKUP($A190,'Data Vlaue (Cr)'!$C:$FB,2)</f>
        <v>25</v>
      </c>
      <c r="C190" s="75">
        <f>VLOOKUP($A190,'Data Vlaue (Cr)'!$C:$FB,8)</f>
        <v>29295</v>
      </c>
      <c r="D190" s="75">
        <f>VLOOKUP($A190,'Data Vlaue (Cr)'!$C:$FB,4)</f>
        <v>29460</v>
      </c>
      <c r="E190" s="75">
        <f>VLOOKUP($A190,'Data Vlaue (Cr)'!$C:$FB,5)</f>
        <v>29270</v>
      </c>
      <c r="F190" s="75">
        <f t="shared" si="24"/>
        <v>165</v>
      </c>
      <c r="G190" s="75">
        <f t="shared" si="25"/>
        <v>0.64494229463679564</v>
      </c>
      <c r="H190" s="75">
        <f>VLOOKUP($A190,'Data Vlaue (Cr)'!$C:$FB,99)</f>
        <v>800</v>
      </c>
      <c r="I190" s="75">
        <f>VLOOKUP($A190,'Data Vlaue (Cr)'!$C:$FB,100)</f>
        <v>783</v>
      </c>
      <c r="J190" s="75">
        <f t="shared" si="26"/>
        <v>17</v>
      </c>
      <c r="K190" s="75">
        <f t="shared" si="27"/>
        <v>2.125</v>
      </c>
      <c r="L190" s="75">
        <f>VLOOKUP($A190,'Data Vlaue (Cr)'!$C:$FB,67)</f>
        <v>263</v>
      </c>
      <c r="M190" s="75">
        <f>VLOOKUP($A190,'Data Vlaue (Cr)'!$C:$FB,68)</f>
        <v>117</v>
      </c>
      <c r="N190" s="75">
        <f t="shared" si="28"/>
        <v>146</v>
      </c>
      <c r="O190" s="75">
        <f t="shared" si="29"/>
        <v>55.51330798479087</v>
      </c>
      <c r="P190" s="75">
        <f>VLOOKUP($A190,'Data Vlaue (Cr)'!$C:$FB,119)</f>
        <v>0.71</v>
      </c>
      <c r="Q190" s="75">
        <f>VLOOKUP($A190,'Data Vlaue (Cr)'!$C:$FB,122)*100</f>
        <v>-4.05</v>
      </c>
      <c r="R190" s="75">
        <f>VLOOKUP($A190,'Data Vlaue (Cr)'!$C:$FB,125)</f>
        <v>0.3</v>
      </c>
      <c r="S190" s="75">
        <f>VLOOKUP($A190,'Data Vlaue (Cr)'!$C:$FB,128)*100</f>
        <v>-18.920000000000002</v>
      </c>
    </row>
    <row r="191" spans="1:19" x14ac:dyDescent="0.25">
      <c r="A191" s="96" t="str">
        <f>'Data Vlaue (Cr)'!C182</f>
        <v>SHRIRAMFIN</v>
      </c>
      <c r="B191" s="75">
        <f>VLOOKUP($A191,'Data Vlaue (Cr)'!$C:$FB,2)</f>
        <v>825</v>
      </c>
      <c r="C191" s="75">
        <f>VLOOKUP($A191,'Data Vlaue (Cr)'!$C:$FB,8)</f>
        <v>671.45</v>
      </c>
      <c r="D191" s="75">
        <f>VLOOKUP($A191,'Data Vlaue (Cr)'!$C:$FB,4)</f>
        <v>674.7</v>
      </c>
      <c r="E191" s="75">
        <f>VLOOKUP($A191,'Data Vlaue (Cr)'!$C:$FB,5)</f>
        <v>650.4</v>
      </c>
      <c r="F191" s="75">
        <f t="shared" si="24"/>
        <v>3.25</v>
      </c>
      <c r="G191" s="75">
        <f t="shared" si="25"/>
        <v>3.6016007114273108</v>
      </c>
      <c r="H191" s="75">
        <f>VLOOKUP($A191,'Data Vlaue (Cr)'!$C:$FB,99)</f>
        <v>4327</v>
      </c>
      <c r="I191" s="75">
        <f>VLOOKUP($A191,'Data Vlaue (Cr)'!$C:$FB,100)</f>
        <v>4064</v>
      </c>
      <c r="J191" s="75">
        <f t="shared" si="26"/>
        <v>263</v>
      </c>
      <c r="K191" s="75">
        <f t="shared" si="27"/>
        <v>6.0781141668592564</v>
      </c>
      <c r="L191" s="75">
        <f>VLOOKUP($A191,'Data Vlaue (Cr)'!$C:$FB,67)</f>
        <v>4588</v>
      </c>
      <c r="M191" s="75">
        <f>VLOOKUP($A191,'Data Vlaue (Cr)'!$C:$FB,68)</f>
        <v>1781</v>
      </c>
      <c r="N191" s="75">
        <f t="shared" si="28"/>
        <v>2807</v>
      </c>
      <c r="O191" s="75">
        <f t="shared" si="29"/>
        <v>61.181342632955534</v>
      </c>
      <c r="P191" s="75">
        <f>VLOOKUP($A191,'Data Vlaue (Cr)'!$C:$FB,119)</f>
        <v>0.88</v>
      </c>
      <c r="Q191" s="75">
        <f>VLOOKUP($A191,'Data Vlaue (Cr)'!$C:$FB,122)*100</f>
        <v>8.64</v>
      </c>
      <c r="R191" s="75">
        <f>VLOOKUP($A191,'Data Vlaue (Cr)'!$C:$FB,125)</f>
        <v>0.44</v>
      </c>
      <c r="S191" s="75">
        <f>VLOOKUP($A191,'Data Vlaue (Cr)'!$C:$FB,128)*100</f>
        <v>-22.81</v>
      </c>
    </row>
    <row r="192" spans="1:19" x14ac:dyDescent="0.25">
      <c r="A192" s="96" t="str">
        <f>'Data Vlaue (Cr)'!C183</f>
        <v>SIEMENS</v>
      </c>
      <c r="B192" s="75">
        <f>VLOOKUP($A192,'Data Vlaue (Cr)'!$C:$FB,2)</f>
        <v>125</v>
      </c>
      <c r="C192" s="75">
        <f>VLOOKUP($A192,'Data Vlaue (Cr)'!$C:$FB,8)</f>
        <v>3251.7</v>
      </c>
      <c r="D192" s="75">
        <f>VLOOKUP($A192,'Data Vlaue (Cr)'!$C:$FB,4)</f>
        <v>3269</v>
      </c>
      <c r="E192" s="75">
        <f>VLOOKUP($A192,'Data Vlaue (Cr)'!$C:$FB,5)</f>
        <v>3183.6</v>
      </c>
      <c r="F192" s="75">
        <f t="shared" si="24"/>
        <v>17.300000000000182</v>
      </c>
      <c r="G192" s="75">
        <f t="shared" si="25"/>
        <v>2.6124197002141356</v>
      </c>
      <c r="H192" s="75">
        <f>VLOOKUP($A192,'Data Vlaue (Cr)'!$C:$FB,99)</f>
        <v>1098</v>
      </c>
      <c r="I192" s="75">
        <f>VLOOKUP($A192,'Data Vlaue (Cr)'!$C:$FB,100)</f>
        <v>1053</v>
      </c>
      <c r="J192" s="75">
        <f t="shared" si="26"/>
        <v>45</v>
      </c>
      <c r="K192" s="75">
        <f t="shared" si="27"/>
        <v>4.0983606557377046</v>
      </c>
      <c r="L192" s="75">
        <f>VLOOKUP($A192,'Data Vlaue (Cr)'!$C:$FB,67)</f>
        <v>1263</v>
      </c>
      <c r="M192" s="75">
        <f>VLOOKUP($A192,'Data Vlaue (Cr)'!$C:$FB,68)</f>
        <v>426</v>
      </c>
      <c r="N192" s="75">
        <f t="shared" si="28"/>
        <v>837</v>
      </c>
      <c r="O192" s="75">
        <f t="shared" si="29"/>
        <v>66.270783847980994</v>
      </c>
      <c r="P192" s="75">
        <f>VLOOKUP($A192,'Data Vlaue (Cr)'!$C:$FB,119)</f>
        <v>0.55000000000000004</v>
      </c>
      <c r="Q192" s="75">
        <f>VLOOKUP($A192,'Data Vlaue (Cr)'!$C:$FB,122)*100</f>
        <v>22.220000000000002</v>
      </c>
      <c r="R192" s="75">
        <f>VLOOKUP($A192,'Data Vlaue (Cr)'!$C:$FB,125)</f>
        <v>0.31</v>
      </c>
      <c r="S192" s="75">
        <f>VLOOKUP($A192,'Data Vlaue (Cr)'!$C:$FB,128)*100</f>
        <v>-22.5</v>
      </c>
    </row>
    <row r="193" spans="1:19" x14ac:dyDescent="0.25">
      <c r="A193" s="96" t="str">
        <f>'Data Vlaue (Cr)'!C216</f>
        <v>ZYDUSLIFE</v>
      </c>
      <c r="B193" s="75">
        <f>VLOOKUP($A193,'Data Vlaue (Cr)'!$C:$FB,2)</f>
        <v>900</v>
      </c>
      <c r="C193" s="75">
        <f>VLOOKUP($A193,'Data Vlaue (Cr)'!$C:$FB,8)</f>
        <v>994.65</v>
      </c>
      <c r="D193" s="75">
        <f>VLOOKUP($A193,'Data Vlaue (Cr)'!$C:$FB,4)</f>
        <v>998.35</v>
      </c>
      <c r="E193" s="75">
        <f>VLOOKUP($A193,'Data Vlaue (Cr)'!$C:$FB,5)</f>
        <v>994.45</v>
      </c>
      <c r="F193" s="75">
        <f t="shared" si="24"/>
        <v>3.7000000000000455</v>
      </c>
      <c r="G193" s="75">
        <f t="shared" si="25"/>
        <v>0.39064456352982191</v>
      </c>
      <c r="H193" s="75">
        <f>VLOOKUP($A193,'Data Vlaue (Cr)'!$C:$FB,99)</f>
        <v>1193</v>
      </c>
      <c r="I193" s="75">
        <f>VLOOKUP($A193,'Data Vlaue (Cr)'!$C:$FB,100)</f>
        <v>1159</v>
      </c>
      <c r="J193" s="75">
        <f t="shared" si="26"/>
        <v>34</v>
      </c>
      <c r="K193" s="75">
        <f t="shared" si="27"/>
        <v>2.8499580888516345</v>
      </c>
      <c r="L193" s="75">
        <f>VLOOKUP($A193,'Data Vlaue (Cr)'!$C:$FB,67)</f>
        <v>331</v>
      </c>
      <c r="M193" s="75">
        <f>VLOOKUP($A193,'Data Vlaue (Cr)'!$C:$FB,68)</f>
        <v>297</v>
      </c>
      <c r="N193" s="75">
        <f t="shared" si="28"/>
        <v>34</v>
      </c>
      <c r="O193" s="75">
        <f t="shared" si="29"/>
        <v>10.271903323262841</v>
      </c>
      <c r="P193" s="75">
        <f>VLOOKUP($A193,'Data Vlaue (Cr)'!$C:$FB,119)</f>
        <v>0.7</v>
      </c>
      <c r="Q193" s="75">
        <f>VLOOKUP($A193,'Data Vlaue (Cr)'!$C:$FB,122)*100</f>
        <v>-13.58</v>
      </c>
      <c r="R193" s="75">
        <f>VLOOKUP($A193,'Data Vlaue (Cr)'!$C:$FB,125)</f>
        <v>0.38</v>
      </c>
      <c r="S193" s="75">
        <f>VLOOKUP($A193,'Data Vlaue (Cr)'!$C:$FB,128)*100</f>
        <v>-54.22</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36"/>
      <c r="B224" s="236"/>
      <c r="C224" s="236"/>
      <c r="D224" s="236"/>
      <c r="E224" s="236"/>
      <c r="F224" s="236"/>
      <c r="G224" s="15"/>
      <c r="H224" s="16"/>
      <c r="I224" s="236"/>
      <c r="J224" s="236"/>
      <c r="K224" s="236"/>
      <c r="L224" s="236"/>
      <c r="M224" s="236"/>
      <c r="N224" s="16"/>
      <c r="O224" s="16"/>
      <c r="P224" s="16"/>
      <c r="Q224" s="236"/>
      <c r="R224" s="236"/>
      <c r="S224" s="236"/>
    </row>
    <row r="225" spans="1:19" x14ac:dyDescent="0.25">
      <c r="A225" s="233" t="s">
        <v>391</v>
      </c>
      <c r="B225" s="234"/>
      <c r="C225" s="234"/>
      <c r="D225" s="234"/>
      <c r="E225" s="234"/>
      <c r="F225" s="235"/>
      <c r="G225" s="18"/>
      <c r="H225" s="18">
        <f>SUM(H11:H223)</f>
        <v>2383865</v>
      </c>
      <c r="I225" s="18">
        <f>SUM(I11:I223)</f>
        <v>2244604</v>
      </c>
      <c r="J225" s="18">
        <f>H225-I225</f>
        <v>139261</v>
      </c>
      <c r="K225" s="19">
        <f>J225/I225</f>
        <v>6.2042569647029054E-2</v>
      </c>
      <c r="L225" s="18">
        <f>SUM(L11:L223)</f>
        <v>28574670</v>
      </c>
      <c r="M225" s="18">
        <f>SUM(M11:M223)</f>
        <v>19626455</v>
      </c>
      <c r="N225" s="18">
        <f>L225-M225</f>
        <v>8948215</v>
      </c>
      <c r="O225" s="19">
        <f>N225/M225</f>
        <v>0.45592619757363212</v>
      </c>
      <c r="P225" s="233"/>
      <c r="Q225" s="234"/>
      <c r="R225" s="234"/>
      <c r="S225" s="235"/>
    </row>
    <row r="229" spans="1:19" x14ac:dyDescent="0.25">
      <c r="A229" s="239" t="s">
        <v>334</v>
      </c>
      <c r="B229" s="239"/>
      <c r="C229" s="23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11479</v>
      </c>
      <c r="C231" s="146">
        <f>VLOOKUP(B230,'OI(Value)'!A7:G209,7,0)</f>
        <v>-3.3300000000000003E-2</v>
      </c>
      <c r="D231" s="9">
        <f>VLOOKUP(D230,'OI(Value)'!A7:E209,5,0)</f>
        <v>49351</v>
      </c>
      <c r="E231" s="147">
        <f>VLOOKUP(D230,'OI(Value)'!A7:G209,7,0)</f>
        <v>1.8100000000000002E-2</v>
      </c>
      <c r="F231" s="9">
        <f>G231-D231-B231</f>
        <v>424379</v>
      </c>
      <c r="G231" s="10">
        <f>'OI(Value)'!E210</f>
        <v>485209</v>
      </c>
      <c r="H231" s="147">
        <f>'OI(Value)'!D217</f>
        <v>2.8482571427982579E-3</v>
      </c>
    </row>
    <row r="232" spans="1:19" x14ac:dyDescent="0.25">
      <c r="A232" s="26" t="s">
        <v>389</v>
      </c>
      <c r="B232" s="9">
        <f>VLOOKUP(B230,'OI(Value)'!A7:H209,8,0)</f>
        <v>85240</v>
      </c>
      <c r="C232" s="146">
        <f>VLOOKUP(B230,'OI(Value)'!A7:J209,10,0)</f>
        <v>9.4299999999999995E-2</v>
      </c>
      <c r="D232" s="9">
        <f>VLOOKUP(D230,'OI(Value)'!A1:O210,8,0)</f>
        <v>643301</v>
      </c>
      <c r="E232" s="147">
        <f>VLOOKUP(D230,'OI(Value)'!A1:J209,10,0)</f>
        <v>1.9E-3</v>
      </c>
      <c r="F232" s="9">
        <f>G232-D232-B232</f>
        <v>125947</v>
      </c>
      <c r="G232" s="9">
        <f>'OI(Value)'!H210</f>
        <v>854488</v>
      </c>
      <c r="H232" s="147">
        <f>'OI(Value)'!D218</f>
        <v>2.2756317233243766E-2</v>
      </c>
    </row>
    <row r="233" spans="1:19" x14ac:dyDescent="0.25">
      <c r="A233" s="26" t="s">
        <v>390</v>
      </c>
      <c r="B233" s="9">
        <f>VLOOKUP(B230,'OI(Value)'!A7:K209,11,0)</f>
        <v>96247</v>
      </c>
      <c r="C233" s="146">
        <f>VLOOKUP(B230,'OI(Value)'!A7:M209,13,0)</f>
        <v>7.22E-2</v>
      </c>
      <c r="D233" s="9">
        <f>VLOOKUP(D230,'OI(Value)'!A2:O211,11,0)</f>
        <v>857234</v>
      </c>
      <c r="E233" s="147">
        <f>VLOOKUP(D230,'OI(Value)'!A7:M209,13,0)</f>
        <v>0.1389</v>
      </c>
      <c r="F233" s="9">
        <f>G233-D233-B233</f>
        <v>90684</v>
      </c>
      <c r="G233" s="9">
        <f>'OI(Value)'!K210</f>
        <v>1044165</v>
      </c>
      <c r="H233" s="147">
        <f>'OI(Volume)'!D229</f>
        <v>9.9992402095194943E-2</v>
      </c>
    </row>
    <row r="234" spans="1:19" x14ac:dyDescent="0.25">
      <c r="A234" s="22" t="s">
        <v>391</v>
      </c>
      <c r="B234" s="62">
        <f>SUM(B231:B233)</f>
        <v>192966</v>
      </c>
      <c r="C234" s="148">
        <f>VLOOKUP(B230,'OI(Value)'!A7:D148,4,0)</f>
        <v>7.4800000000000005E-2</v>
      </c>
      <c r="D234" s="62">
        <f>SUM(D231:D233)</f>
        <v>1549886</v>
      </c>
      <c r="E234" s="148">
        <f>VLOOKUP(D230,'OI(Value)'!A1:D210,4,0)</f>
        <v>7.3899999999999993E-2</v>
      </c>
      <c r="F234" s="62">
        <f>SUM(F231:F233)</f>
        <v>641010</v>
      </c>
      <c r="G234" s="62">
        <f>SUM(G231:G233)</f>
        <v>2383862</v>
      </c>
      <c r="H234" s="151">
        <f>'OI(Value)'!D220</f>
        <v>5.8420328022343572E-2</v>
      </c>
    </row>
    <row r="238" spans="1:19" x14ac:dyDescent="0.25">
      <c r="A238" s="20" t="s">
        <v>392</v>
      </c>
      <c r="B238" s="11"/>
      <c r="C238" s="11"/>
      <c r="D238" s="11"/>
      <c r="E238" s="11"/>
      <c r="F238" s="11"/>
      <c r="G238" s="11"/>
      <c r="H238" s="12"/>
    </row>
    <row r="239" spans="1:19" x14ac:dyDescent="0.25">
      <c r="A239" s="27"/>
      <c r="B239" s="27"/>
      <c r="C239" s="240" t="s">
        <v>459</v>
      </c>
      <c r="D239" s="241"/>
      <c r="E239" s="242"/>
      <c r="F239" s="240" t="s">
        <v>460</v>
      </c>
      <c r="G239" s="241"/>
      <c r="H239" s="242"/>
    </row>
    <row r="240" spans="1:19" x14ac:dyDescent="0.25">
      <c r="A240" s="28"/>
      <c r="B240" s="27"/>
      <c r="C240" s="31">
        <f>D10</f>
        <v>45936</v>
      </c>
      <c r="D240" s="31" t="s">
        <v>397</v>
      </c>
      <c r="E240" s="32" t="s">
        <v>321</v>
      </c>
      <c r="F240" s="31">
        <f>C240</f>
        <v>45936</v>
      </c>
      <c r="G240" s="31" t="str">
        <f>D240</f>
        <v>Preious</v>
      </c>
      <c r="H240" s="32" t="s">
        <v>386</v>
      </c>
    </row>
    <row r="241" spans="1:8" x14ac:dyDescent="0.25">
      <c r="A241" s="29" t="s">
        <v>393</v>
      </c>
      <c r="B241" s="30"/>
      <c r="C241" s="13">
        <f>FII!N3</f>
        <v>6046</v>
      </c>
      <c r="D241" s="13">
        <f>FII!J3</f>
        <v>6107</v>
      </c>
      <c r="E241" s="14">
        <f>(C241-D241)/C241</f>
        <v>-1.0089315249751903E-2</v>
      </c>
      <c r="F241" s="13">
        <f>FII!M3</f>
        <v>30673</v>
      </c>
      <c r="G241" s="13">
        <f>FII!I3</f>
        <v>31227</v>
      </c>
      <c r="H241" s="14">
        <f>(F241-G241)/F241</f>
        <v>-1.8061487301535551E-2</v>
      </c>
    </row>
    <row r="242" spans="1:8" x14ac:dyDescent="0.25">
      <c r="A242" s="237" t="s">
        <v>394</v>
      </c>
      <c r="B242" s="238"/>
      <c r="C242" s="13">
        <f>FII!N4</f>
        <v>38718</v>
      </c>
      <c r="D242" s="13">
        <f>FII!J4</f>
        <v>37097</v>
      </c>
      <c r="E242" s="14">
        <f>(C242-D242)/C242</f>
        <v>4.1866831964460977E-2</v>
      </c>
      <c r="F242" s="13">
        <f>FII!M4</f>
        <v>197173</v>
      </c>
      <c r="G242" s="13">
        <f>FII!I4</f>
        <v>190667</v>
      </c>
      <c r="H242" s="14">
        <f>(F242-G242)/F242</f>
        <v>3.2996404172985147E-2</v>
      </c>
    </row>
    <row r="243" spans="1:8" x14ac:dyDescent="0.25">
      <c r="A243" s="237" t="s">
        <v>395</v>
      </c>
      <c r="B243" s="238"/>
      <c r="C243" s="13">
        <f>FII!N15</f>
        <v>394519</v>
      </c>
      <c r="D243" s="13">
        <f>FII!J15</f>
        <v>391393</v>
      </c>
      <c r="E243" s="14">
        <f>(C243-D243)/C243</f>
        <v>7.9235727556847702E-3</v>
      </c>
      <c r="F243" s="13">
        <f>FII!M15</f>
        <v>5611943</v>
      </c>
      <c r="G243" s="13">
        <f>FII!I15</f>
        <v>5607973</v>
      </c>
      <c r="H243" s="14">
        <f>(F243-G243)/F243</f>
        <v>7.0741987222607211E-4</v>
      </c>
    </row>
    <row r="244" spans="1:8" x14ac:dyDescent="0.25">
      <c r="A244" s="237" t="s">
        <v>396</v>
      </c>
      <c r="B244" s="238"/>
      <c r="C244" s="13">
        <f>FII!N16</f>
        <v>19306</v>
      </c>
      <c r="D244" s="13">
        <f>FII!J16</f>
        <v>16313</v>
      </c>
      <c r="E244" s="14">
        <f>(C244-D244)/C244</f>
        <v>0.15502952450015539</v>
      </c>
      <c r="F244" s="13">
        <f>FII!M16</f>
        <v>277595</v>
      </c>
      <c r="G244" s="13">
        <f>FII!I16</f>
        <v>237034</v>
      </c>
      <c r="H244" s="14">
        <f>(F244-G244)/F244</f>
        <v>0.14611574415965706</v>
      </c>
    </row>
    <row r="245" spans="1:8" x14ac:dyDescent="0.25">
      <c r="A245" s="237" t="s">
        <v>391</v>
      </c>
      <c r="B245" s="238"/>
      <c r="C245" s="155">
        <f>SUM(C241:C244)</f>
        <v>458589</v>
      </c>
      <c r="D245" s="155">
        <f>SUM(D241:D244)</f>
        <v>450910</v>
      </c>
      <c r="E245" s="156">
        <f>(C245-D245)/C245</f>
        <v>1.6744841241285769E-2</v>
      </c>
      <c r="F245" s="157">
        <f>SUM(F241:F244)</f>
        <v>6117384</v>
      </c>
      <c r="G245" s="158">
        <f>SUM(G241:G244)</f>
        <v>6066901</v>
      </c>
      <c r="H245" s="156">
        <f>(F245-G245)/F245</f>
        <v>8.2523836986528876E-3</v>
      </c>
    </row>
  </sheetData>
  <mergeCells count="24">
    <mergeCell ref="A6:S6"/>
    <mergeCell ref="A7:S7"/>
    <mergeCell ref="A8:A9"/>
    <mergeCell ref="H8:K8"/>
    <mergeCell ref="L8:O8"/>
    <mergeCell ref="P8:S8"/>
    <mergeCell ref="D9:G9"/>
    <mergeCell ref="H9:K9"/>
    <mergeCell ref="C8:G8"/>
    <mergeCell ref="L9:O9"/>
    <mergeCell ref="P9:Q9"/>
    <mergeCell ref="R9:S9"/>
    <mergeCell ref="A244:B244"/>
    <mergeCell ref="A245:B245"/>
    <mergeCell ref="A229:C229"/>
    <mergeCell ref="C239:E239"/>
    <mergeCell ref="F239:H239"/>
    <mergeCell ref="A242:B242"/>
    <mergeCell ref="A243:B243"/>
    <mergeCell ref="P225:S225"/>
    <mergeCell ref="A225:F225"/>
    <mergeCell ref="Q224:S224"/>
    <mergeCell ref="I224:M224"/>
    <mergeCell ref="A224:F224"/>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45936</v>
      </c>
      <c r="C5" s="3">
        <f>B5</f>
        <v>45936</v>
      </c>
      <c r="D5" s="76" t="s">
        <v>367</v>
      </c>
      <c r="E5" s="76" t="s">
        <v>321</v>
      </c>
      <c r="F5" s="76" t="s">
        <v>368</v>
      </c>
      <c r="G5" s="76" t="s">
        <v>369</v>
      </c>
      <c r="H5" s="48"/>
    </row>
    <row r="6" spans="1:8" x14ac:dyDescent="0.25">
      <c r="A6" s="101" t="str">
        <f>'Data shares'!C2</f>
        <v>360ONE</v>
      </c>
      <c r="B6" s="144">
        <f>VLOOKUP($A6,'Data shares'!$C:$FA,7)</f>
        <v>1062.4000000000001</v>
      </c>
      <c r="C6" s="144">
        <f>VLOOKUP($A6,'Data shares'!$C:$FA,3)</f>
        <v>1064.5999999999999</v>
      </c>
      <c r="D6" s="144">
        <f>VLOOKUP($A6,'Data shares'!$C:$FA,23)</f>
        <v>2.2000000000000002</v>
      </c>
      <c r="E6" s="145">
        <f>VLOOKUP($A6,'Data shares'!$C:$FA,26)*100</f>
        <v>0.21</v>
      </c>
      <c r="F6" s="144">
        <f>VLOOKUP($A6,'Data shares'!$C:$FA,24)</f>
        <v>4</v>
      </c>
      <c r="G6" s="144">
        <f>VLOOKUP($A6,'Data shares'!$C:$FA,25)</f>
        <v>-1.8</v>
      </c>
    </row>
    <row r="7" spans="1:8" x14ac:dyDescent="0.25">
      <c r="A7" s="101" t="str">
        <f>'Data shares'!C3</f>
        <v>ABB</v>
      </c>
      <c r="B7" s="144">
        <f>VLOOKUP($A7,'Data shares'!$C:$FA,7)</f>
        <v>5218</v>
      </c>
      <c r="C7" s="144">
        <f>VLOOKUP($A7,'Data shares'!$C:$FA,3)</f>
        <v>5255.5</v>
      </c>
      <c r="D7" s="144">
        <f>VLOOKUP($A7,'Data shares'!$C:$FA,23)</f>
        <v>37.5</v>
      </c>
      <c r="E7" s="145">
        <f>VLOOKUP($A7,'Data shares'!$C:$FA,26)*100</f>
        <v>0.72</v>
      </c>
      <c r="F7" s="144">
        <f>VLOOKUP($A7,'Data shares'!$C:$FA,24)</f>
        <v>34.5</v>
      </c>
      <c r="G7" s="144">
        <f>VLOOKUP($A7,'Data shares'!$C:$FA,25)</f>
        <v>3</v>
      </c>
    </row>
    <row r="8" spans="1:8" x14ac:dyDescent="0.25">
      <c r="A8" s="101" t="str">
        <f>'Data shares'!C4</f>
        <v>ABCAPITAL</v>
      </c>
      <c r="B8" s="144">
        <f>VLOOKUP($A8,'Data shares'!$C:$FA,7)</f>
        <v>304.05</v>
      </c>
      <c r="C8" s="144">
        <f>VLOOKUP($A8,'Data shares'!$C:$FA,3)</f>
        <v>306.14999999999998</v>
      </c>
      <c r="D8" s="144">
        <f>VLOOKUP($A8,'Data shares'!$C:$FA,23)</f>
        <v>2.1</v>
      </c>
      <c r="E8" s="145">
        <f>VLOOKUP($A8,'Data shares'!$C:$FA,26)*100</f>
        <v>0.69</v>
      </c>
      <c r="F8" s="144">
        <f>VLOOKUP($A8,'Data shares'!$C:$FA,24)</f>
        <v>1.55</v>
      </c>
      <c r="G8" s="144">
        <f>VLOOKUP($A8,'Data shares'!$C:$FA,25)</f>
        <v>0.55000000000000004</v>
      </c>
    </row>
    <row r="9" spans="1:8" x14ac:dyDescent="0.25">
      <c r="A9" s="101" t="str">
        <f>'Data shares'!C5</f>
        <v>ADANIENSOL</v>
      </c>
      <c r="B9" s="144">
        <f>VLOOKUP($A9,'Data shares'!$C:$FA,7)</f>
        <v>926.65</v>
      </c>
      <c r="C9" s="144">
        <f>VLOOKUP($A9,'Data shares'!$C:$FA,3)</f>
        <v>929.7</v>
      </c>
      <c r="D9" s="144">
        <f>VLOOKUP($A9,'Data shares'!$C:$FA,23)</f>
        <v>3.05</v>
      </c>
      <c r="E9" s="145">
        <f>VLOOKUP($A9,'Data shares'!$C:$FA,26)*100</f>
        <v>0.33</v>
      </c>
      <c r="F9" s="144">
        <f>VLOOKUP($A9,'Data shares'!$C:$FA,24)</f>
        <v>3.6</v>
      </c>
      <c r="G9" s="144">
        <f>VLOOKUP($A9,'Data shares'!$C:$FA,25)</f>
        <v>-0.55000000000000004</v>
      </c>
    </row>
    <row r="10" spans="1:8" x14ac:dyDescent="0.25">
      <c r="A10" s="101" t="str">
        <f>'Data shares'!C6</f>
        <v>ADANIENT</v>
      </c>
      <c r="B10" s="144">
        <f>VLOOKUP($A10,'Data shares'!$C:$FA,7)</f>
        <v>2573.5</v>
      </c>
      <c r="C10" s="144">
        <f>VLOOKUP($A10,'Data shares'!$C:$FA,3)</f>
        <v>2588.8000000000002</v>
      </c>
      <c r="D10" s="144">
        <f>VLOOKUP($A10,'Data shares'!$C:$FA,23)</f>
        <v>15.3</v>
      </c>
      <c r="E10" s="145">
        <f>VLOOKUP($A10,'Data shares'!$C:$FA,26)*100</f>
        <v>0.59</v>
      </c>
      <c r="F10" s="144">
        <f>VLOOKUP($A10,'Data shares'!$C:$FA,24)</f>
        <v>17.3</v>
      </c>
      <c r="G10" s="144">
        <f>VLOOKUP($A10,'Data shares'!$C:$FA,25)</f>
        <v>-2</v>
      </c>
    </row>
    <row r="11" spans="1:8" x14ac:dyDescent="0.25">
      <c r="A11" s="101" t="str">
        <f>'Data shares'!C7</f>
        <v>ADANIGREEN</v>
      </c>
      <c r="B11" s="144">
        <f>VLOOKUP($A11,'Data shares'!$C:$FA,7)</f>
        <v>1059.4000000000001</v>
      </c>
      <c r="C11" s="144">
        <f>VLOOKUP($A11,'Data shares'!$C:$FA,3)</f>
        <v>1065.4000000000001</v>
      </c>
      <c r="D11" s="144">
        <f>VLOOKUP($A11,'Data shares'!$C:$FA,23)</f>
        <v>6</v>
      </c>
      <c r="E11" s="145">
        <f>VLOOKUP($A11,'Data shares'!$C:$FA,26)*100</f>
        <v>0.57000000000000006</v>
      </c>
      <c r="F11" s="144">
        <f>VLOOKUP($A11,'Data shares'!$C:$FA,24)</f>
        <v>7.3</v>
      </c>
      <c r="G11" s="144">
        <f>VLOOKUP($A11,'Data shares'!$C:$FA,25)</f>
        <v>-1.3</v>
      </c>
    </row>
    <row r="12" spans="1:8" x14ac:dyDescent="0.25">
      <c r="A12" s="101" t="str">
        <f>'Data shares'!C8</f>
        <v>ADANIPORTS</v>
      </c>
      <c r="B12" s="144">
        <f>VLOOKUP($A12,'Data shares'!$C:$FA,7)</f>
        <v>1400.5</v>
      </c>
      <c r="C12" s="144">
        <f>VLOOKUP($A12,'Data shares'!$C:$FA,3)</f>
        <v>1408.2</v>
      </c>
      <c r="D12" s="144">
        <f>VLOOKUP($A12,'Data shares'!$C:$FA,23)</f>
        <v>7.7</v>
      </c>
      <c r="E12" s="145">
        <f>VLOOKUP($A12,'Data shares'!$C:$FA,26)*100</f>
        <v>0.54999999999999993</v>
      </c>
      <c r="F12" s="144">
        <f>VLOOKUP($A12,'Data shares'!$C:$FA,24)</f>
        <v>8.8000000000000007</v>
      </c>
      <c r="G12" s="144">
        <f>VLOOKUP($A12,'Data shares'!$C:$FA,25)</f>
        <v>-1.1000000000000001</v>
      </c>
    </row>
    <row r="13" spans="1:8" x14ac:dyDescent="0.25">
      <c r="A13" s="101" t="str">
        <f>'Data shares'!C9</f>
        <v>ALKEM</v>
      </c>
      <c r="B13" s="144">
        <f>VLOOKUP($A13,'Data shares'!$C:$FA,7)</f>
        <v>5494</v>
      </c>
      <c r="C13" s="144">
        <f>VLOOKUP($A13,'Data shares'!$C:$FA,3)</f>
        <v>5526.5</v>
      </c>
      <c r="D13" s="144">
        <f>VLOOKUP($A13,'Data shares'!$C:$FA,23)</f>
        <v>32.5</v>
      </c>
      <c r="E13" s="145">
        <f>VLOOKUP($A13,'Data shares'!$C:$FA,26)*100</f>
        <v>0.59</v>
      </c>
      <c r="F13" s="144">
        <f>VLOOKUP($A13,'Data shares'!$C:$FA,24)</f>
        <v>20</v>
      </c>
      <c r="G13" s="144">
        <f>VLOOKUP($A13,'Data shares'!$C:$FA,25)</f>
        <v>12.5</v>
      </c>
    </row>
    <row r="14" spans="1:8" x14ac:dyDescent="0.25">
      <c r="A14" s="101" t="str">
        <f>'Data shares'!C10</f>
        <v>AMBER</v>
      </c>
      <c r="B14" s="144">
        <f>VLOOKUP($A14,'Data shares'!$C:$FA,7)</f>
        <v>8174.5</v>
      </c>
      <c r="C14" s="144">
        <f>VLOOKUP($A14,'Data shares'!$C:$FA,3)</f>
        <v>8170</v>
      </c>
      <c r="D14" s="144">
        <f>VLOOKUP($A14,'Data shares'!$C:$FA,23)</f>
        <v>-4.5</v>
      </c>
      <c r="E14" s="145">
        <f>VLOOKUP($A14,'Data shares'!$C:$FA,26)*100</f>
        <v>-0.06</v>
      </c>
      <c r="F14" s="144">
        <f>VLOOKUP($A14,'Data shares'!$C:$FA,24)</f>
        <v>-12.5</v>
      </c>
      <c r="G14" s="144">
        <f>VLOOKUP($A14,'Data shares'!$C:$FA,25)</f>
        <v>8</v>
      </c>
    </row>
    <row r="15" spans="1:8" x14ac:dyDescent="0.25">
      <c r="A15" s="101" t="str">
        <f>'Data shares'!C11</f>
        <v>AMBUJACEM</v>
      </c>
      <c r="B15" s="144">
        <f>VLOOKUP($A15,'Data shares'!$C:$FA,7)</f>
        <v>573.79999999999995</v>
      </c>
      <c r="C15" s="144">
        <f>VLOOKUP($A15,'Data shares'!$C:$FA,3)</f>
        <v>576.4</v>
      </c>
      <c r="D15" s="144">
        <f>VLOOKUP($A15,'Data shares'!$C:$FA,23)</f>
        <v>2.6</v>
      </c>
      <c r="E15" s="145">
        <f>VLOOKUP($A15,'Data shares'!$C:$FA,26)*100</f>
        <v>0.44999999999999996</v>
      </c>
      <c r="F15" s="144">
        <f>VLOOKUP($A15,'Data shares'!$C:$FA,24)</f>
        <v>3.5</v>
      </c>
      <c r="G15" s="144">
        <f>VLOOKUP($A15,'Data shares'!$C:$FA,25)</f>
        <v>-0.9</v>
      </c>
    </row>
    <row r="16" spans="1:8" x14ac:dyDescent="0.25">
      <c r="A16" s="101" t="str">
        <f>'Data shares'!C12</f>
        <v>ANGELONE</v>
      </c>
      <c r="B16" s="144">
        <f>VLOOKUP($A16,'Data shares'!$C:$FA,7)</f>
        <v>2265.1999999999998</v>
      </c>
      <c r="C16" s="144">
        <f>VLOOKUP($A16,'Data shares'!$C:$FA,3)</f>
        <v>2275.9</v>
      </c>
      <c r="D16" s="144">
        <f>VLOOKUP($A16,'Data shares'!$C:$FA,23)</f>
        <v>10.7</v>
      </c>
      <c r="E16" s="145">
        <f>VLOOKUP($A16,'Data shares'!$C:$FA,26)*100</f>
        <v>0.47000000000000003</v>
      </c>
      <c r="F16" s="144">
        <f>VLOOKUP($A16,'Data shares'!$C:$FA,24)</f>
        <v>4.9000000000000004</v>
      </c>
      <c r="G16" s="144">
        <f>VLOOKUP($A16,'Data shares'!$C:$FA,25)</f>
        <v>5.8</v>
      </c>
    </row>
    <row r="17" spans="1:7" x14ac:dyDescent="0.25">
      <c r="A17" s="101" t="str">
        <f>'Data shares'!C13</f>
        <v>APLAPOLLO</v>
      </c>
      <c r="B17" s="144">
        <f>VLOOKUP($A17,'Data shares'!$C:$FA,7)</f>
        <v>1742</v>
      </c>
      <c r="C17" s="144">
        <f>VLOOKUP($A17,'Data shares'!$C:$FA,3)</f>
        <v>1750.5</v>
      </c>
      <c r="D17" s="144">
        <f>VLOOKUP($A17,'Data shares'!$C:$FA,23)</f>
        <v>8.5</v>
      </c>
      <c r="E17" s="145">
        <f>VLOOKUP($A17,'Data shares'!$C:$FA,26)*100</f>
        <v>0.49</v>
      </c>
      <c r="F17" s="144">
        <f>VLOOKUP($A17,'Data shares'!$C:$FA,24)</f>
        <v>6.5</v>
      </c>
      <c r="G17" s="144">
        <f>VLOOKUP($A17,'Data shares'!$C:$FA,25)</f>
        <v>2</v>
      </c>
    </row>
    <row r="18" spans="1:7" x14ac:dyDescent="0.25">
      <c r="A18" s="101" t="str">
        <f>'Data shares'!C14</f>
        <v>APOLLOHOSP</v>
      </c>
      <c r="B18" s="144">
        <f>VLOOKUP($A18,'Data shares'!$C:$FA,7)</f>
        <v>7662</v>
      </c>
      <c r="C18" s="144">
        <f>VLOOKUP($A18,'Data shares'!$C:$FA,3)</f>
        <v>7687.5</v>
      </c>
      <c r="D18" s="144">
        <f>VLOOKUP($A18,'Data shares'!$C:$FA,23)</f>
        <v>25.5</v>
      </c>
      <c r="E18" s="145">
        <f>VLOOKUP($A18,'Data shares'!$C:$FA,26)*100</f>
        <v>0.33</v>
      </c>
      <c r="F18" s="144">
        <f>VLOOKUP($A18,'Data shares'!$C:$FA,24)</f>
        <v>33.5</v>
      </c>
      <c r="G18" s="144">
        <f>VLOOKUP($A18,'Data shares'!$C:$FA,25)</f>
        <v>-8</v>
      </c>
    </row>
    <row r="19" spans="1:7" x14ac:dyDescent="0.25">
      <c r="A19" s="101" t="str">
        <f>'Data shares'!C15</f>
        <v>ASHOKLEY</v>
      </c>
      <c r="B19" s="144">
        <f>VLOOKUP($A19,'Data shares'!$C:$FA,7)</f>
        <v>137.78</v>
      </c>
      <c r="C19" s="144">
        <f>VLOOKUP($A19,'Data shares'!$C:$FA,3)</f>
        <v>138.1</v>
      </c>
      <c r="D19" s="144">
        <f>VLOOKUP($A19,'Data shares'!$C:$FA,23)</f>
        <v>0.32</v>
      </c>
      <c r="E19" s="145">
        <f>VLOOKUP($A19,'Data shares'!$C:$FA,26)*100</f>
        <v>0.22999999999999998</v>
      </c>
      <c r="F19" s="144">
        <f>VLOOKUP($A19,'Data shares'!$C:$FA,24)</f>
        <v>-0.6</v>
      </c>
      <c r="G19" s="144">
        <f>VLOOKUP($A19,'Data shares'!$C:$FA,25)</f>
        <v>0.92</v>
      </c>
    </row>
    <row r="20" spans="1:7" x14ac:dyDescent="0.25">
      <c r="A20" s="101" t="str">
        <f>'Data shares'!C16</f>
        <v>ASIANPAINT</v>
      </c>
      <c r="B20" s="144">
        <f>VLOOKUP($A20,'Data shares'!$C:$FA,7)</f>
        <v>2354.8000000000002</v>
      </c>
      <c r="C20" s="144">
        <f>VLOOKUP($A20,'Data shares'!$C:$FA,3)</f>
        <v>2366.3000000000002</v>
      </c>
      <c r="D20" s="144">
        <f>VLOOKUP($A20,'Data shares'!$C:$FA,23)</f>
        <v>11.5</v>
      </c>
      <c r="E20" s="145">
        <f>VLOOKUP($A20,'Data shares'!$C:$FA,26)*100</f>
        <v>0.49</v>
      </c>
      <c r="F20" s="144">
        <f>VLOOKUP($A20,'Data shares'!$C:$FA,24)</f>
        <v>4</v>
      </c>
      <c r="G20" s="144">
        <f>VLOOKUP($A20,'Data shares'!$C:$FA,25)</f>
        <v>7.5</v>
      </c>
    </row>
    <row r="21" spans="1:7" x14ac:dyDescent="0.25">
      <c r="A21" s="101" t="str">
        <f>'Data shares'!C17</f>
        <v>ASTRAL</v>
      </c>
      <c r="B21" s="144">
        <f>VLOOKUP($A21,'Data shares'!$C:$FA,7)</f>
        <v>1383.6</v>
      </c>
      <c r="C21" s="144">
        <f>VLOOKUP($A21,'Data shares'!$C:$FA,3)</f>
        <v>1393.6</v>
      </c>
      <c r="D21" s="144">
        <f>VLOOKUP($A21,'Data shares'!$C:$FA,23)</f>
        <v>10</v>
      </c>
      <c r="E21" s="145">
        <f>VLOOKUP($A21,'Data shares'!$C:$FA,26)*100</f>
        <v>0.72</v>
      </c>
      <c r="F21" s="144">
        <f>VLOOKUP($A21,'Data shares'!$C:$FA,24)</f>
        <v>3.4</v>
      </c>
      <c r="G21" s="144">
        <f>VLOOKUP($A21,'Data shares'!$C:$FA,25)</f>
        <v>6.6</v>
      </c>
    </row>
    <row r="22" spans="1:7" x14ac:dyDescent="0.25">
      <c r="A22" s="101" t="str">
        <f>'Data shares'!C18</f>
        <v>AUBANK</v>
      </c>
      <c r="B22" s="144">
        <f>VLOOKUP($A22,'Data shares'!$C:$FA,7)</f>
        <v>762.95</v>
      </c>
      <c r="C22" s="144">
        <f>VLOOKUP($A22,'Data shares'!$C:$FA,3)</f>
        <v>766.3</v>
      </c>
      <c r="D22" s="144">
        <f>VLOOKUP($A22,'Data shares'!$C:$FA,23)</f>
        <v>3.35</v>
      </c>
      <c r="E22" s="145">
        <f>VLOOKUP($A22,'Data shares'!$C:$FA,26)*100</f>
        <v>0.44</v>
      </c>
      <c r="F22" s="144">
        <f>VLOOKUP($A22,'Data shares'!$C:$FA,24)</f>
        <v>3.2</v>
      </c>
      <c r="G22" s="144">
        <f>VLOOKUP($A22,'Data shares'!$C:$FA,25)</f>
        <v>0.15</v>
      </c>
    </row>
    <row r="23" spans="1:7" x14ac:dyDescent="0.25">
      <c r="A23" s="101" t="str">
        <f>'Data shares'!C19</f>
        <v>AUROPHARMA</v>
      </c>
      <c r="B23" s="144">
        <f>VLOOKUP($A23,'Data shares'!$C:$FA,7)</f>
        <v>1096.5</v>
      </c>
      <c r="C23" s="144">
        <f>VLOOKUP($A23,'Data shares'!$C:$FA,3)</f>
        <v>1102.7</v>
      </c>
      <c r="D23" s="144">
        <f>VLOOKUP($A23,'Data shares'!$C:$FA,23)</f>
        <v>6.2</v>
      </c>
      <c r="E23" s="145">
        <f>VLOOKUP($A23,'Data shares'!$C:$FA,26)*100</f>
        <v>0.57000000000000006</v>
      </c>
      <c r="F23" s="144">
        <f>VLOOKUP($A23,'Data shares'!$C:$FA,24)</f>
        <v>4.2</v>
      </c>
      <c r="G23" s="144">
        <f>VLOOKUP($A23,'Data shares'!$C:$FA,25)</f>
        <v>2</v>
      </c>
    </row>
    <row r="24" spans="1:7" x14ac:dyDescent="0.25">
      <c r="A24" s="101" t="str">
        <f>'Data shares'!C20</f>
        <v>AXISBANK</v>
      </c>
      <c r="B24" s="144">
        <f>VLOOKUP($A24,'Data shares'!$C:$FA,7)</f>
        <v>1212.8</v>
      </c>
      <c r="C24" s="144">
        <f>VLOOKUP($A24,'Data shares'!$C:$FA,3)</f>
        <v>1216.2</v>
      </c>
      <c r="D24" s="144">
        <f>VLOOKUP($A24,'Data shares'!$C:$FA,23)</f>
        <v>3.4</v>
      </c>
      <c r="E24" s="145">
        <f>VLOOKUP($A24,'Data shares'!$C:$FA,26)*100</f>
        <v>0.27999999999999997</v>
      </c>
      <c r="F24" s="144">
        <f>VLOOKUP($A24,'Data shares'!$C:$FA,24)</f>
        <v>5.8</v>
      </c>
      <c r="G24" s="144">
        <f>VLOOKUP($A24,'Data shares'!$C:$FA,25)</f>
        <v>-2.4</v>
      </c>
    </row>
    <row r="25" spans="1:7" x14ac:dyDescent="0.25">
      <c r="A25" s="101" t="str">
        <f>'Data shares'!C21</f>
        <v>BAJAJ-AUTO</v>
      </c>
      <c r="B25" s="144">
        <f>VLOOKUP($A25,'Data shares'!$C:$FA,7)</f>
        <v>8792</v>
      </c>
      <c r="C25" s="144">
        <f>VLOOKUP($A25,'Data shares'!$C:$FA,3)</f>
        <v>8841</v>
      </c>
      <c r="D25" s="144">
        <f>VLOOKUP($A25,'Data shares'!$C:$FA,23)</f>
        <v>49</v>
      </c>
      <c r="E25" s="145">
        <f>VLOOKUP($A25,'Data shares'!$C:$FA,26)*100</f>
        <v>0.55999999999999994</v>
      </c>
      <c r="F25" s="144">
        <f>VLOOKUP($A25,'Data shares'!$C:$FA,24)</f>
        <v>55</v>
      </c>
      <c r="G25" s="144">
        <f>VLOOKUP($A25,'Data shares'!$C:$FA,25)</f>
        <v>-6</v>
      </c>
    </row>
    <row r="26" spans="1:7" x14ac:dyDescent="0.25">
      <c r="A26" s="101" t="str">
        <f>'Data shares'!C22</f>
        <v>BAJAJFINSV</v>
      </c>
      <c r="B26" s="144">
        <f>VLOOKUP($A26,'Data shares'!$C:$FA,7)</f>
        <v>2033.2</v>
      </c>
      <c r="C26" s="144">
        <f>VLOOKUP($A26,'Data shares'!$C:$FA,3)</f>
        <v>2042.1</v>
      </c>
      <c r="D26" s="144">
        <f>VLOOKUP($A26,'Data shares'!$C:$FA,23)</f>
        <v>8.9</v>
      </c>
      <c r="E26" s="145">
        <f>VLOOKUP($A26,'Data shares'!$C:$FA,26)*100</f>
        <v>0.44</v>
      </c>
      <c r="F26" s="144">
        <f>VLOOKUP($A26,'Data shares'!$C:$FA,24)</f>
        <v>8.3000000000000007</v>
      </c>
      <c r="G26" s="144">
        <f>VLOOKUP($A26,'Data shares'!$C:$FA,25)</f>
        <v>0.6</v>
      </c>
    </row>
    <row r="27" spans="1:7" x14ac:dyDescent="0.25">
      <c r="A27" s="101" t="str">
        <f>'Data shares'!C23</f>
        <v>BAJFINANCE</v>
      </c>
      <c r="B27" s="144">
        <f>VLOOKUP($A27,'Data shares'!$C:$FA,7)</f>
        <v>1008.9</v>
      </c>
      <c r="C27" s="144">
        <f>VLOOKUP($A27,'Data shares'!$C:$FA,3)</f>
        <v>1014.9</v>
      </c>
      <c r="D27" s="144">
        <f>VLOOKUP($A27,'Data shares'!$C:$FA,23)</f>
        <v>6</v>
      </c>
      <c r="E27" s="145">
        <f>VLOOKUP($A27,'Data shares'!$C:$FA,26)*100</f>
        <v>0.59</v>
      </c>
      <c r="F27" s="144">
        <f>VLOOKUP($A27,'Data shares'!$C:$FA,24)</f>
        <v>3.95</v>
      </c>
      <c r="G27" s="144">
        <f>VLOOKUP($A27,'Data shares'!$C:$FA,25)</f>
        <v>2.0499999999999998</v>
      </c>
    </row>
    <row r="28" spans="1:7" x14ac:dyDescent="0.25">
      <c r="A28" s="101" t="str">
        <f>'Data shares'!C24</f>
        <v>BANDHANBNK</v>
      </c>
      <c r="B28" s="144">
        <f>VLOOKUP($A28,'Data shares'!$C:$FA,7)</f>
        <v>164.79</v>
      </c>
      <c r="C28" s="144">
        <f>VLOOKUP($A28,'Data shares'!$C:$FA,3)</f>
        <v>165.9</v>
      </c>
      <c r="D28" s="144">
        <f>VLOOKUP($A28,'Data shares'!$C:$FA,23)</f>
        <v>1.1100000000000001</v>
      </c>
      <c r="E28" s="145">
        <f>VLOOKUP($A28,'Data shares'!$C:$FA,26)*100</f>
        <v>0.67</v>
      </c>
      <c r="F28" s="144">
        <f>VLOOKUP($A28,'Data shares'!$C:$FA,24)</f>
        <v>0.81</v>
      </c>
      <c r="G28" s="144">
        <f>VLOOKUP($A28,'Data shares'!$C:$FA,25)</f>
        <v>0.3</v>
      </c>
    </row>
    <row r="29" spans="1:7" x14ac:dyDescent="0.25">
      <c r="A29" s="101" t="str">
        <f>'Data shares'!C25</f>
        <v>BANKBARODA</v>
      </c>
      <c r="B29" s="144">
        <f>VLOOKUP($A29,'Data shares'!$C:$FA,7)</f>
        <v>266.60000000000002</v>
      </c>
      <c r="C29" s="144">
        <f>VLOOKUP($A29,'Data shares'!$C:$FA,3)</f>
        <v>267.60000000000002</v>
      </c>
      <c r="D29" s="144">
        <f>VLOOKUP($A29,'Data shares'!$C:$FA,23)</f>
        <v>1</v>
      </c>
      <c r="E29" s="145">
        <f>VLOOKUP($A29,'Data shares'!$C:$FA,26)*100</f>
        <v>0.38</v>
      </c>
      <c r="F29" s="144">
        <f>VLOOKUP($A29,'Data shares'!$C:$FA,24)</f>
        <v>1.7</v>
      </c>
      <c r="G29" s="144">
        <f>VLOOKUP($A29,'Data shares'!$C:$FA,25)</f>
        <v>-0.7</v>
      </c>
    </row>
    <row r="30" spans="1:7" x14ac:dyDescent="0.25">
      <c r="A30" s="101" t="str">
        <f>'Data shares'!C26</f>
        <v>BANKINDIA</v>
      </c>
      <c r="B30" s="144">
        <f>VLOOKUP($A30,'Data shares'!$C:$FA,7)</f>
        <v>126.04</v>
      </c>
      <c r="C30" s="144">
        <f>VLOOKUP($A30,'Data shares'!$C:$FA,3)</f>
        <v>126.86</v>
      </c>
      <c r="D30" s="144">
        <f>VLOOKUP($A30,'Data shares'!$C:$FA,23)</f>
        <v>0.82</v>
      </c>
      <c r="E30" s="145">
        <f>VLOOKUP($A30,'Data shares'!$C:$FA,26)*100</f>
        <v>0.65</v>
      </c>
      <c r="F30" s="144">
        <f>VLOOKUP($A30,'Data shares'!$C:$FA,24)</f>
        <v>0.81</v>
      </c>
      <c r="G30" s="144">
        <f>VLOOKUP($A30,'Data shares'!$C:$FA,25)</f>
        <v>0.01</v>
      </c>
    </row>
    <row r="31" spans="1:7" x14ac:dyDescent="0.25">
      <c r="A31" s="101" t="str">
        <f>'Data shares'!C27</f>
        <v>BANKNIFTY</v>
      </c>
      <c r="B31" s="144">
        <f>VLOOKUP($A31,'Data shares'!$C:$FA,7)</f>
        <v>56104.85</v>
      </c>
      <c r="C31" s="144">
        <f>VLOOKUP($A31,'Data shares'!$C:$FA,3)</f>
        <v>56297.8</v>
      </c>
      <c r="D31" s="144">
        <f>VLOOKUP($A31,'Data shares'!$C:$FA,23)</f>
        <v>192.95</v>
      </c>
      <c r="E31" s="145">
        <f>VLOOKUP($A31,'Data shares'!$C:$FA,26)*100</f>
        <v>0.33999999999999997</v>
      </c>
      <c r="F31" s="144">
        <f>VLOOKUP($A31,'Data shares'!$C:$FA,24)</f>
        <v>264.95</v>
      </c>
      <c r="G31" s="144">
        <f>VLOOKUP($A31,'Data shares'!$C:$FA,25)</f>
        <v>-72</v>
      </c>
    </row>
    <row r="32" spans="1:7" x14ac:dyDescent="0.25">
      <c r="A32" s="101" t="str">
        <f>'Data shares'!C28</f>
        <v>BDL</v>
      </c>
      <c r="B32" s="144">
        <f>VLOOKUP($A32,'Data shares'!$C:$FA,7)</f>
        <v>1559.1</v>
      </c>
      <c r="C32" s="144">
        <f>VLOOKUP($A32,'Data shares'!$C:$FA,3)</f>
        <v>1568.6</v>
      </c>
      <c r="D32" s="144">
        <f>VLOOKUP($A32,'Data shares'!$C:$FA,23)</f>
        <v>9.5</v>
      </c>
      <c r="E32" s="145">
        <f>VLOOKUP($A32,'Data shares'!$C:$FA,26)*100</f>
        <v>0.61</v>
      </c>
      <c r="F32" s="144">
        <f>VLOOKUP($A32,'Data shares'!$C:$FA,24)</f>
        <v>6.8</v>
      </c>
      <c r="G32" s="144">
        <f>VLOOKUP($A32,'Data shares'!$C:$FA,25)</f>
        <v>2.7</v>
      </c>
    </row>
    <row r="33" spans="1:7" x14ac:dyDescent="0.25">
      <c r="A33" s="101" t="str">
        <f>'Data shares'!C29</f>
        <v>BEL</v>
      </c>
      <c r="B33" s="144">
        <f>VLOOKUP($A33,'Data shares'!$C:$FA,7)</f>
        <v>413.25</v>
      </c>
      <c r="C33" s="144">
        <f>VLOOKUP($A33,'Data shares'!$C:$FA,3)</f>
        <v>415.55</v>
      </c>
      <c r="D33" s="144">
        <f>VLOOKUP($A33,'Data shares'!$C:$FA,23)</f>
        <v>2.2999999999999998</v>
      </c>
      <c r="E33" s="145">
        <f>VLOOKUP($A33,'Data shares'!$C:$FA,26)*100</f>
        <v>0.55999999999999994</v>
      </c>
      <c r="F33" s="144">
        <f>VLOOKUP($A33,'Data shares'!$C:$FA,24)</f>
        <v>2.5</v>
      </c>
      <c r="G33" s="144">
        <f>VLOOKUP($A33,'Data shares'!$C:$FA,25)</f>
        <v>-0.2</v>
      </c>
    </row>
    <row r="34" spans="1:7" x14ac:dyDescent="0.25">
      <c r="A34" s="101" t="str">
        <f>'Data shares'!C30</f>
        <v>BHARATFORG</v>
      </c>
      <c r="B34" s="144">
        <f>VLOOKUP($A34,'Data shares'!$C:$FA,7)</f>
        <v>1234.5999999999999</v>
      </c>
      <c r="C34" s="144">
        <f>VLOOKUP($A34,'Data shares'!$C:$FA,3)</f>
        <v>1229.5999999999999</v>
      </c>
      <c r="D34" s="144">
        <f>VLOOKUP($A34,'Data shares'!$C:$FA,23)</f>
        <v>-5</v>
      </c>
      <c r="E34" s="145">
        <f>VLOOKUP($A34,'Data shares'!$C:$FA,26)*100</f>
        <v>-0.4</v>
      </c>
      <c r="F34" s="144">
        <f>VLOOKUP($A34,'Data shares'!$C:$FA,24)</f>
        <v>0.9</v>
      </c>
      <c r="G34" s="144">
        <f>VLOOKUP($A34,'Data shares'!$C:$FA,25)</f>
        <v>-5.9</v>
      </c>
    </row>
    <row r="35" spans="1:7" x14ac:dyDescent="0.25">
      <c r="A35" s="101" t="str">
        <f>'Data shares'!C31</f>
        <v>BHARTIARTL</v>
      </c>
      <c r="B35" s="144">
        <f>VLOOKUP($A35,'Data shares'!$C:$FA,7)</f>
        <v>1903.1</v>
      </c>
      <c r="C35" s="144">
        <f>VLOOKUP($A35,'Data shares'!$C:$FA,3)</f>
        <v>1912.2</v>
      </c>
      <c r="D35" s="144">
        <f>VLOOKUP($A35,'Data shares'!$C:$FA,23)</f>
        <v>9.1</v>
      </c>
      <c r="E35" s="145">
        <f>VLOOKUP($A35,'Data shares'!$C:$FA,26)*100</f>
        <v>0.48</v>
      </c>
      <c r="F35" s="144">
        <f>VLOOKUP($A35,'Data shares'!$C:$FA,24)</f>
        <v>7.3</v>
      </c>
      <c r="G35" s="144">
        <f>VLOOKUP($A35,'Data shares'!$C:$FA,25)</f>
        <v>1.8</v>
      </c>
    </row>
    <row r="36" spans="1:7" x14ac:dyDescent="0.25">
      <c r="A36" s="101" t="str">
        <f>'Data shares'!C32</f>
        <v>BHEL</v>
      </c>
      <c r="B36" s="144">
        <f>VLOOKUP($A36,'Data shares'!$C:$FA,7)</f>
        <v>245.31</v>
      </c>
      <c r="C36" s="144">
        <f>VLOOKUP($A36,'Data shares'!$C:$FA,3)</f>
        <v>246.24</v>
      </c>
      <c r="D36" s="144">
        <f>VLOOKUP($A36,'Data shares'!$C:$FA,23)</f>
        <v>0.93</v>
      </c>
      <c r="E36" s="145">
        <f>VLOOKUP($A36,'Data shares'!$C:$FA,26)*100</f>
        <v>0.38</v>
      </c>
      <c r="F36" s="144">
        <f>VLOOKUP($A36,'Data shares'!$C:$FA,24)</f>
        <v>1.08</v>
      </c>
      <c r="G36" s="144">
        <f>VLOOKUP($A36,'Data shares'!$C:$FA,25)</f>
        <v>-0.15</v>
      </c>
    </row>
    <row r="37" spans="1:7" x14ac:dyDescent="0.25">
      <c r="A37" s="101" t="str">
        <f>'Data shares'!C33</f>
        <v>BIOCON</v>
      </c>
      <c r="B37" s="144">
        <f>VLOOKUP($A37,'Data shares'!$C:$FA,7)</f>
        <v>347.75</v>
      </c>
      <c r="C37" s="144">
        <f>VLOOKUP($A37,'Data shares'!$C:$FA,3)</f>
        <v>349.5</v>
      </c>
      <c r="D37" s="144">
        <f>VLOOKUP($A37,'Data shares'!$C:$FA,23)</f>
        <v>1.75</v>
      </c>
      <c r="E37" s="145">
        <f>VLOOKUP($A37,'Data shares'!$C:$FA,26)*100</f>
        <v>0.5</v>
      </c>
      <c r="F37" s="144">
        <f>VLOOKUP($A37,'Data shares'!$C:$FA,24)</f>
        <v>2.15</v>
      </c>
      <c r="G37" s="144">
        <f>VLOOKUP($A37,'Data shares'!$C:$FA,25)</f>
        <v>-0.4</v>
      </c>
    </row>
    <row r="38" spans="1:7" x14ac:dyDescent="0.25">
      <c r="A38" s="101" t="str">
        <f>'Data shares'!C34</f>
        <v>BLUESTARCO</v>
      </c>
      <c r="B38" s="144">
        <f>VLOOKUP($A38,'Data shares'!$C:$FA,7)</f>
        <v>1892.8</v>
      </c>
      <c r="C38" s="144">
        <f>VLOOKUP($A38,'Data shares'!$C:$FA,3)</f>
        <v>1901.7</v>
      </c>
      <c r="D38" s="144">
        <f>VLOOKUP($A38,'Data shares'!$C:$FA,23)</f>
        <v>8.9</v>
      </c>
      <c r="E38" s="145">
        <f>VLOOKUP($A38,'Data shares'!$C:$FA,26)*100</f>
        <v>0.47000000000000003</v>
      </c>
      <c r="F38" s="144">
        <f>VLOOKUP($A38,'Data shares'!$C:$FA,24)</f>
        <v>2.7</v>
      </c>
      <c r="G38" s="144">
        <f>VLOOKUP($A38,'Data shares'!$C:$FA,25)</f>
        <v>6.2</v>
      </c>
    </row>
    <row r="39" spans="1:7" x14ac:dyDescent="0.25">
      <c r="A39" s="101" t="str">
        <f>'Data shares'!C35</f>
        <v>BOSCHLTD</v>
      </c>
      <c r="B39" s="144">
        <f>VLOOKUP($A39,'Data shares'!$C:$FA,7)</f>
        <v>38800</v>
      </c>
      <c r="C39" s="144">
        <f>VLOOKUP($A39,'Data shares'!$C:$FA,3)</f>
        <v>39030</v>
      </c>
      <c r="D39" s="144">
        <f>VLOOKUP($A39,'Data shares'!$C:$FA,23)</f>
        <v>230</v>
      </c>
      <c r="E39" s="145">
        <f>VLOOKUP($A39,'Data shares'!$C:$FA,26)*100</f>
        <v>0.59</v>
      </c>
      <c r="F39" s="144">
        <f>VLOOKUP($A39,'Data shares'!$C:$FA,24)</f>
        <v>155</v>
      </c>
      <c r="G39" s="144">
        <f>VLOOKUP($A39,'Data shares'!$C:$FA,25)</f>
        <v>75</v>
      </c>
    </row>
    <row r="40" spans="1:7" x14ac:dyDescent="0.25">
      <c r="A40" s="101" t="str">
        <f>'Data shares'!C36</f>
        <v>BPCL</v>
      </c>
      <c r="B40" s="144">
        <f>VLOOKUP($A40,'Data shares'!$C:$FA,7)</f>
        <v>343.6</v>
      </c>
      <c r="C40" s="144">
        <f>VLOOKUP($A40,'Data shares'!$C:$FA,3)</f>
        <v>345.9</v>
      </c>
      <c r="D40" s="144">
        <f>VLOOKUP($A40,'Data shares'!$C:$FA,23)</f>
        <v>2.2999999999999998</v>
      </c>
      <c r="E40" s="145">
        <f>VLOOKUP($A40,'Data shares'!$C:$FA,26)*100</f>
        <v>0.67</v>
      </c>
      <c r="F40" s="144">
        <f>VLOOKUP($A40,'Data shares'!$C:$FA,24)</f>
        <v>2.0499999999999998</v>
      </c>
      <c r="G40" s="144">
        <f>VLOOKUP($A40,'Data shares'!$C:$FA,25)</f>
        <v>0.25</v>
      </c>
    </row>
    <row r="41" spans="1:7" x14ac:dyDescent="0.25">
      <c r="A41" s="101" t="str">
        <f>'Data shares'!C37</f>
        <v>BRITANNIA</v>
      </c>
      <c r="B41" s="144">
        <f>VLOOKUP($A41,'Data shares'!$C:$FA,7)</f>
        <v>6011</v>
      </c>
      <c r="C41" s="144">
        <f>VLOOKUP($A41,'Data shares'!$C:$FA,3)</f>
        <v>6034</v>
      </c>
      <c r="D41" s="144">
        <f>VLOOKUP($A41,'Data shares'!$C:$FA,23)</f>
        <v>23</v>
      </c>
      <c r="E41" s="145">
        <f>VLOOKUP($A41,'Data shares'!$C:$FA,26)*100</f>
        <v>0.38</v>
      </c>
      <c r="F41" s="144">
        <f>VLOOKUP($A41,'Data shares'!$C:$FA,24)</f>
        <v>30</v>
      </c>
      <c r="G41" s="144">
        <f>VLOOKUP($A41,'Data shares'!$C:$FA,25)</f>
        <v>-7</v>
      </c>
    </row>
    <row r="42" spans="1:7" x14ac:dyDescent="0.25">
      <c r="A42" s="101" t="str">
        <f>'Data shares'!C38</f>
        <v>BSE</v>
      </c>
      <c r="B42" s="144">
        <f>VLOOKUP($A42,'Data shares'!$C:$FA,7)</f>
        <v>2217.9</v>
      </c>
      <c r="C42" s="144">
        <f>VLOOKUP($A42,'Data shares'!$C:$FA,3)</f>
        <v>2230.3000000000002</v>
      </c>
      <c r="D42" s="144">
        <f>VLOOKUP($A42,'Data shares'!$C:$FA,23)</f>
        <v>12.4</v>
      </c>
      <c r="E42" s="145">
        <f>VLOOKUP($A42,'Data shares'!$C:$FA,26)*100</f>
        <v>0.55999999999999994</v>
      </c>
      <c r="F42" s="144">
        <f>VLOOKUP($A42,'Data shares'!$C:$FA,24)</f>
        <v>13.7</v>
      </c>
      <c r="G42" s="144">
        <f>VLOOKUP($A42,'Data shares'!$C:$FA,25)</f>
        <v>-1.3</v>
      </c>
    </row>
    <row r="43" spans="1:7" x14ac:dyDescent="0.25">
      <c r="A43" s="101" t="str">
        <f>'Data shares'!C39</f>
        <v>CAMS</v>
      </c>
      <c r="B43" s="144">
        <f>VLOOKUP($A43,'Data shares'!$C:$FA,7)</f>
        <v>3825.5</v>
      </c>
      <c r="C43" s="144">
        <f>VLOOKUP($A43,'Data shares'!$C:$FA,3)</f>
        <v>3857.2</v>
      </c>
      <c r="D43" s="144">
        <f>VLOOKUP($A43,'Data shares'!$C:$FA,23)</f>
        <v>31.7</v>
      </c>
      <c r="E43" s="145">
        <f>VLOOKUP($A43,'Data shares'!$C:$FA,26)*100</f>
        <v>0.83</v>
      </c>
      <c r="F43" s="144">
        <f>VLOOKUP($A43,'Data shares'!$C:$FA,24)</f>
        <v>22.2</v>
      </c>
      <c r="G43" s="144">
        <f>VLOOKUP($A43,'Data shares'!$C:$FA,25)</f>
        <v>9.5</v>
      </c>
    </row>
    <row r="44" spans="1:7" x14ac:dyDescent="0.25">
      <c r="A44" s="101" t="str">
        <f>'Data shares'!C40</f>
        <v>CANBK</v>
      </c>
      <c r="B44" s="144">
        <f>VLOOKUP($A44,'Data shares'!$C:$FA,7)</f>
        <v>126.76</v>
      </c>
      <c r="C44" s="144">
        <f>VLOOKUP($A44,'Data shares'!$C:$FA,3)</f>
        <v>127.42</v>
      </c>
      <c r="D44" s="144">
        <f>VLOOKUP($A44,'Data shares'!$C:$FA,23)</f>
        <v>0.66</v>
      </c>
      <c r="E44" s="145">
        <f>VLOOKUP($A44,'Data shares'!$C:$FA,26)*100</f>
        <v>0.52</v>
      </c>
      <c r="F44" s="144">
        <f>VLOOKUP($A44,'Data shares'!$C:$FA,24)</f>
        <v>0.83</v>
      </c>
      <c r="G44" s="144">
        <f>VLOOKUP($A44,'Data shares'!$C:$FA,25)</f>
        <v>-0.17</v>
      </c>
    </row>
    <row r="45" spans="1:7" x14ac:dyDescent="0.25">
      <c r="A45" s="101" t="str">
        <f>'Data shares'!C41</f>
        <v>CDSL</v>
      </c>
      <c r="B45" s="144">
        <f>VLOOKUP($A45,'Data shares'!$C:$FA,7)</f>
        <v>1524.9</v>
      </c>
      <c r="C45" s="144">
        <f>VLOOKUP($A45,'Data shares'!$C:$FA,3)</f>
        <v>1529.3</v>
      </c>
      <c r="D45" s="144">
        <f>VLOOKUP($A45,'Data shares'!$C:$FA,23)</f>
        <v>4.4000000000000004</v>
      </c>
      <c r="E45" s="145">
        <f>VLOOKUP($A45,'Data shares'!$C:$FA,26)*100</f>
        <v>0.28999999999999998</v>
      </c>
      <c r="F45" s="144">
        <f>VLOOKUP($A45,'Data shares'!$C:$FA,24)</f>
        <v>7.1</v>
      </c>
      <c r="G45" s="144">
        <f>VLOOKUP($A45,'Data shares'!$C:$FA,25)</f>
        <v>-2.7</v>
      </c>
    </row>
    <row r="46" spans="1:7" x14ac:dyDescent="0.25">
      <c r="A46" s="101" t="str">
        <f>'Data shares'!C42</f>
        <v>CGPOWER</v>
      </c>
      <c r="B46" s="144">
        <f>VLOOKUP($A46,'Data shares'!$C:$FA,7)</f>
        <v>745.4</v>
      </c>
      <c r="C46" s="144">
        <f>VLOOKUP($A46,'Data shares'!$C:$FA,3)</f>
        <v>749.95</v>
      </c>
      <c r="D46" s="144">
        <f>VLOOKUP($A46,'Data shares'!$C:$FA,23)</f>
        <v>4.55</v>
      </c>
      <c r="E46" s="145">
        <f>VLOOKUP($A46,'Data shares'!$C:$FA,26)*100</f>
        <v>0.61</v>
      </c>
      <c r="F46" s="144">
        <f>VLOOKUP($A46,'Data shares'!$C:$FA,24)</f>
        <v>3.1</v>
      </c>
      <c r="G46" s="144">
        <f>VLOOKUP($A46,'Data shares'!$C:$FA,25)</f>
        <v>1.45</v>
      </c>
    </row>
    <row r="47" spans="1:7" x14ac:dyDescent="0.25">
      <c r="A47" s="101" t="str">
        <f>'Data shares'!C43</f>
        <v>CHOLAFIN</v>
      </c>
      <c r="B47" s="144">
        <f>VLOOKUP($A47,'Data shares'!$C:$FA,7)</f>
        <v>1634.1</v>
      </c>
      <c r="C47" s="144">
        <f>VLOOKUP($A47,'Data shares'!$C:$FA,3)</f>
        <v>1620.4</v>
      </c>
      <c r="D47" s="144">
        <f>VLOOKUP($A47,'Data shares'!$C:$FA,23)</f>
        <v>-13.7</v>
      </c>
      <c r="E47" s="145">
        <f>VLOOKUP($A47,'Data shares'!$C:$FA,26)*100</f>
        <v>-0.84</v>
      </c>
      <c r="F47" s="144">
        <f>VLOOKUP($A47,'Data shares'!$C:$FA,24)</f>
        <v>-4.7</v>
      </c>
      <c r="G47" s="144">
        <f>VLOOKUP($A47,'Data shares'!$C:$FA,25)</f>
        <v>-9</v>
      </c>
    </row>
    <row r="48" spans="1:7" x14ac:dyDescent="0.25">
      <c r="A48" s="101" t="str">
        <f>'Data shares'!C44</f>
        <v>CIPLA</v>
      </c>
      <c r="B48" s="144">
        <f>VLOOKUP($A48,'Data shares'!$C:$FA,7)</f>
        <v>1513.1</v>
      </c>
      <c r="C48" s="144">
        <f>VLOOKUP($A48,'Data shares'!$C:$FA,3)</f>
        <v>1522.1</v>
      </c>
      <c r="D48" s="144">
        <f>VLOOKUP($A48,'Data shares'!$C:$FA,23)</f>
        <v>9</v>
      </c>
      <c r="E48" s="145">
        <f>VLOOKUP($A48,'Data shares'!$C:$FA,26)*100</f>
        <v>0.59</v>
      </c>
      <c r="F48" s="144">
        <f>VLOOKUP($A48,'Data shares'!$C:$FA,24)</f>
        <v>6</v>
      </c>
      <c r="G48" s="144">
        <f>VLOOKUP($A48,'Data shares'!$C:$FA,25)</f>
        <v>3</v>
      </c>
    </row>
    <row r="49" spans="1:7" x14ac:dyDescent="0.25">
      <c r="A49" s="101" t="str">
        <f>'Data shares'!C45</f>
        <v>COALINDIA</v>
      </c>
      <c r="B49" s="144">
        <f>VLOOKUP($A49,'Data shares'!$C:$FA,7)</f>
        <v>381.9</v>
      </c>
      <c r="C49" s="144">
        <f>VLOOKUP($A49,'Data shares'!$C:$FA,3)</f>
        <v>384.2</v>
      </c>
      <c r="D49" s="144">
        <f>VLOOKUP($A49,'Data shares'!$C:$FA,23)</f>
        <v>2.2999999999999998</v>
      </c>
      <c r="E49" s="145">
        <f>VLOOKUP($A49,'Data shares'!$C:$FA,26)*100</f>
        <v>0.6</v>
      </c>
      <c r="F49" s="144">
        <f>VLOOKUP($A49,'Data shares'!$C:$FA,24)</f>
        <v>1.55</v>
      </c>
      <c r="G49" s="144">
        <f>VLOOKUP($A49,'Data shares'!$C:$FA,25)</f>
        <v>0.75</v>
      </c>
    </row>
    <row r="50" spans="1:7" x14ac:dyDescent="0.25">
      <c r="A50" s="101" t="str">
        <f>'Data shares'!C46</f>
        <v>COFORGE</v>
      </c>
      <c r="B50" s="144">
        <f>VLOOKUP($A50,'Data shares'!$C:$FA,7)</f>
        <v>1662.4</v>
      </c>
      <c r="C50" s="144">
        <f>VLOOKUP($A50,'Data shares'!$C:$FA,3)</f>
        <v>1668.5</v>
      </c>
      <c r="D50" s="144">
        <f>VLOOKUP($A50,'Data shares'!$C:$FA,23)</f>
        <v>6.1</v>
      </c>
      <c r="E50" s="145">
        <f>VLOOKUP($A50,'Data shares'!$C:$FA,26)*100</f>
        <v>0.37</v>
      </c>
      <c r="F50" s="144">
        <f>VLOOKUP($A50,'Data shares'!$C:$FA,24)</f>
        <v>5.9</v>
      </c>
      <c r="G50" s="144">
        <f>VLOOKUP($A50,'Data shares'!$C:$FA,25)</f>
        <v>0.2</v>
      </c>
    </row>
    <row r="51" spans="1:7" x14ac:dyDescent="0.25">
      <c r="A51" s="101" t="str">
        <f>'Data shares'!C47</f>
        <v>COLPAL</v>
      </c>
      <c r="B51" s="144">
        <f>VLOOKUP($A51,'Data shares'!$C:$FA,7)</f>
        <v>2228.8000000000002</v>
      </c>
      <c r="C51" s="144">
        <f>VLOOKUP($A51,'Data shares'!$C:$FA,3)</f>
        <v>2243.6</v>
      </c>
      <c r="D51" s="144">
        <f>VLOOKUP($A51,'Data shares'!$C:$FA,23)</f>
        <v>14.8</v>
      </c>
      <c r="E51" s="145">
        <f>VLOOKUP($A51,'Data shares'!$C:$FA,26)*100</f>
        <v>0.66</v>
      </c>
      <c r="F51" s="144">
        <f>VLOOKUP($A51,'Data shares'!$C:$FA,24)</f>
        <v>12.5</v>
      </c>
      <c r="G51" s="144">
        <f>VLOOKUP($A51,'Data shares'!$C:$FA,25)</f>
        <v>2.2999999999999998</v>
      </c>
    </row>
    <row r="52" spans="1:7" x14ac:dyDescent="0.25">
      <c r="A52" s="101" t="str">
        <f>'Data shares'!C48</f>
        <v>CONCOR</v>
      </c>
      <c r="B52" s="144">
        <f>VLOOKUP($A52,'Data shares'!$C:$FA,7)</f>
        <v>532.15</v>
      </c>
      <c r="C52" s="144">
        <f>VLOOKUP($A52,'Data shares'!$C:$FA,3)</f>
        <v>534</v>
      </c>
      <c r="D52" s="144">
        <f>VLOOKUP($A52,'Data shares'!$C:$FA,23)</f>
        <v>1.85</v>
      </c>
      <c r="E52" s="145">
        <f>VLOOKUP($A52,'Data shares'!$C:$FA,26)*100</f>
        <v>0.35000000000000003</v>
      </c>
      <c r="F52" s="144">
        <f>VLOOKUP($A52,'Data shares'!$C:$FA,24)</f>
        <v>2.1</v>
      </c>
      <c r="G52" s="144">
        <f>VLOOKUP($A52,'Data shares'!$C:$FA,25)</f>
        <v>-0.25</v>
      </c>
    </row>
    <row r="53" spans="1:7" x14ac:dyDescent="0.25">
      <c r="A53" s="101" t="str">
        <f>'Data shares'!C49</f>
        <v>CROMPTON</v>
      </c>
      <c r="B53" s="144">
        <f>VLOOKUP($A53,'Data shares'!$C:$FA,7)</f>
        <v>289.05</v>
      </c>
      <c r="C53" s="144">
        <f>VLOOKUP($A53,'Data shares'!$C:$FA,3)</f>
        <v>290.8</v>
      </c>
      <c r="D53" s="144">
        <f>VLOOKUP($A53,'Data shares'!$C:$FA,23)</f>
        <v>1.75</v>
      </c>
      <c r="E53" s="145">
        <f>VLOOKUP($A53,'Data shares'!$C:$FA,26)*100</f>
        <v>0.61</v>
      </c>
      <c r="F53" s="144">
        <f>VLOOKUP($A53,'Data shares'!$C:$FA,24)</f>
        <v>1.2</v>
      </c>
      <c r="G53" s="144">
        <f>VLOOKUP($A53,'Data shares'!$C:$FA,25)</f>
        <v>0.55000000000000004</v>
      </c>
    </row>
    <row r="54" spans="1:7" x14ac:dyDescent="0.25">
      <c r="A54" s="101" t="str">
        <f>'Data shares'!C50</f>
        <v>CUMMINSIND</v>
      </c>
      <c r="B54" s="144">
        <f>VLOOKUP($A54,'Data shares'!$C:$FA,7)</f>
        <v>3943</v>
      </c>
      <c r="C54" s="144">
        <f>VLOOKUP($A54,'Data shares'!$C:$FA,3)</f>
        <v>3966.2</v>
      </c>
      <c r="D54" s="144">
        <f>VLOOKUP($A54,'Data shares'!$C:$FA,23)</f>
        <v>23.2</v>
      </c>
      <c r="E54" s="145">
        <f>VLOOKUP($A54,'Data shares'!$C:$FA,26)*100</f>
        <v>0.59</v>
      </c>
      <c r="F54" s="144">
        <f>VLOOKUP($A54,'Data shares'!$C:$FA,24)</f>
        <v>3.3</v>
      </c>
      <c r="G54" s="144">
        <f>VLOOKUP($A54,'Data shares'!$C:$FA,25)</f>
        <v>19.899999999999999</v>
      </c>
    </row>
    <row r="55" spans="1:7" x14ac:dyDescent="0.25">
      <c r="A55" s="101" t="str">
        <f>'Data shares'!C51</f>
        <v>CYIENT</v>
      </c>
      <c r="B55" s="144">
        <f>VLOOKUP($A55,'Data shares'!$C:$FA,7)</f>
        <v>1180.5999999999999</v>
      </c>
      <c r="C55" s="144">
        <f>VLOOKUP($A55,'Data shares'!$C:$FA,3)</f>
        <v>1185.2</v>
      </c>
      <c r="D55" s="144">
        <f>VLOOKUP($A55,'Data shares'!$C:$FA,23)</f>
        <v>4.5999999999999996</v>
      </c>
      <c r="E55" s="145">
        <f>VLOOKUP($A55,'Data shares'!$C:$FA,26)*100</f>
        <v>0.38999999999999996</v>
      </c>
      <c r="F55" s="144">
        <f>VLOOKUP($A55,'Data shares'!$C:$FA,24)</f>
        <v>0</v>
      </c>
      <c r="G55" s="144">
        <f>VLOOKUP($A55,'Data shares'!$C:$FA,25)</f>
        <v>4.5999999999999996</v>
      </c>
    </row>
    <row r="56" spans="1:7" x14ac:dyDescent="0.25">
      <c r="A56" s="101" t="str">
        <f>'Data shares'!C52</f>
        <v>DABUR</v>
      </c>
      <c r="B56" s="144">
        <f>VLOOKUP($A56,'Data shares'!$C:$FA,7)</f>
        <v>493.35</v>
      </c>
      <c r="C56" s="144">
        <f>VLOOKUP($A56,'Data shares'!$C:$FA,3)</f>
        <v>496.35</v>
      </c>
      <c r="D56" s="144">
        <f>VLOOKUP($A56,'Data shares'!$C:$FA,23)</f>
        <v>3</v>
      </c>
      <c r="E56" s="145">
        <f>VLOOKUP($A56,'Data shares'!$C:$FA,26)*100</f>
        <v>0.61</v>
      </c>
      <c r="F56" s="144">
        <f>VLOOKUP($A56,'Data shares'!$C:$FA,24)</f>
        <v>3.35</v>
      </c>
      <c r="G56" s="144">
        <f>VLOOKUP($A56,'Data shares'!$C:$FA,25)</f>
        <v>-0.35</v>
      </c>
    </row>
    <row r="57" spans="1:7" x14ac:dyDescent="0.25">
      <c r="A57" s="101" t="str">
        <f>'Data shares'!C53</f>
        <v>DALBHARAT</v>
      </c>
      <c r="B57" s="144">
        <f>VLOOKUP($A57,'Data shares'!$C:$FA,7)</f>
        <v>2251.1999999999998</v>
      </c>
      <c r="C57" s="144">
        <f>VLOOKUP($A57,'Data shares'!$C:$FA,3)</f>
        <v>2264</v>
      </c>
      <c r="D57" s="144">
        <f>VLOOKUP($A57,'Data shares'!$C:$FA,23)</f>
        <v>12.8</v>
      </c>
      <c r="E57" s="145">
        <f>VLOOKUP($A57,'Data shares'!$C:$FA,26)*100</f>
        <v>0.57000000000000006</v>
      </c>
      <c r="F57" s="144">
        <f>VLOOKUP($A57,'Data shares'!$C:$FA,24)</f>
        <v>15.4</v>
      </c>
      <c r="G57" s="144">
        <f>VLOOKUP($A57,'Data shares'!$C:$FA,25)</f>
        <v>-2.6</v>
      </c>
    </row>
    <row r="58" spans="1:7" x14ac:dyDescent="0.25">
      <c r="A58" s="101" t="str">
        <f>'Data shares'!C54</f>
        <v>DELHIVERY</v>
      </c>
      <c r="B58" s="144">
        <f>VLOOKUP($A58,'Data shares'!$C:$FA,7)</f>
        <v>462.6</v>
      </c>
      <c r="C58" s="144">
        <f>VLOOKUP($A58,'Data shares'!$C:$FA,3)</f>
        <v>465.1</v>
      </c>
      <c r="D58" s="144">
        <f>VLOOKUP($A58,'Data shares'!$C:$FA,23)</f>
        <v>2.5</v>
      </c>
      <c r="E58" s="145">
        <f>VLOOKUP($A58,'Data shares'!$C:$FA,26)*100</f>
        <v>0.54</v>
      </c>
      <c r="F58" s="144">
        <f>VLOOKUP($A58,'Data shares'!$C:$FA,24)</f>
        <v>3</v>
      </c>
      <c r="G58" s="144">
        <f>VLOOKUP($A58,'Data shares'!$C:$FA,25)</f>
        <v>-0.5</v>
      </c>
    </row>
    <row r="59" spans="1:7" x14ac:dyDescent="0.25">
      <c r="A59" s="101" t="str">
        <f>'Data shares'!C55</f>
        <v>DIVISLAB</v>
      </c>
      <c r="B59" s="144">
        <f>VLOOKUP($A59,'Data shares'!$C:$FA,7)</f>
        <v>5826.5</v>
      </c>
      <c r="C59" s="144">
        <f>VLOOKUP($A59,'Data shares'!$C:$FA,3)</f>
        <v>5853</v>
      </c>
      <c r="D59" s="144">
        <f>VLOOKUP($A59,'Data shares'!$C:$FA,23)</f>
        <v>26.5</v>
      </c>
      <c r="E59" s="145">
        <f>VLOOKUP($A59,'Data shares'!$C:$FA,26)*100</f>
        <v>0.44999999999999996</v>
      </c>
      <c r="F59" s="144">
        <f>VLOOKUP($A59,'Data shares'!$C:$FA,24)</f>
        <v>21</v>
      </c>
      <c r="G59" s="144">
        <f>VLOOKUP($A59,'Data shares'!$C:$FA,25)</f>
        <v>5.5</v>
      </c>
    </row>
    <row r="60" spans="1:7" x14ac:dyDescent="0.25">
      <c r="A60" s="101" t="str">
        <f>'Data shares'!C56</f>
        <v>DIXON</v>
      </c>
      <c r="B60" s="144">
        <f>VLOOKUP($A60,'Data shares'!$C:$FA,7)</f>
        <v>17041</v>
      </c>
      <c r="C60" s="144">
        <f>VLOOKUP($A60,'Data shares'!$C:$FA,3)</f>
        <v>17118</v>
      </c>
      <c r="D60" s="144">
        <f>VLOOKUP($A60,'Data shares'!$C:$FA,23)</f>
        <v>77</v>
      </c>
      <c r="E60" s="145">
        <f>VLOOKUP($A60,'Data shares'!$C:$FA,26)*100</f>
        <v>0.44999999999999996</v>
      </c>
      <c r="F60" s="144">
        <f>VLOOKUP($A60,'Data shares'!$C:$FA,24)</f>
        <v>79</v>
      </c>
      <c r="G60" s="144">
        <f>VLOOKUP($A60,'Data shares'!$C:$FA,25)</f>
        <v>-2</v>
      </c>
    </row>
    <row r="61" spans="1:7" x14ac:dyDescent="0.25">
      <c r="A61" s="101" t="str">
        <f>'Data shares'!C57</f>
        <v>DLF</v>
      </c>
      <c r="B61" s="144">
        <f>VLOOKUP($A61,'Data shares'!$C:$FA,7)</f>
        <v>735.25</v>
      </c>
      <c r="C61" s="144">
        <f>VLOOKUP($A61,'Data shares'!$C:$FA,3)</f>
        <v>737.65</v>
      </c>
      <c r="D61" s="144">
        <f>VLOOKUP($A61,'Data shares'!$C:$FA,23)</f>
        <v>2.4</v>
      </c>
      <c r="E61" s="145">
        <f>VLOOKUP($A61,'Data shares'!$C:$FA,26)*100</f>
        <v>0.33</v>
      </c>
      <c r="F61" s="144">
        <f>VLOOKUP($A61,'Data shares'!$C:$FA,24)</f>
        <v>2.65</v>
      </c>
      <c r="G61" s="144">
        <f>VLOOKUP($A61,'Data shares'!$C:$FA,25)</f>
        <v>-0.25</v>
      </c>
    </row>
    <row r="62" spans="1:7" x14ac:dyDescent="0.25">
      <c r="A62" s="101" t="str">
        <f>'Data shares'!C58</f>
        <v>DMART</v>
      </c>
      <c r="B62" s="144">
        <f>VLOOKUP($A62,'Data shares'!$C:$FA,7)</f>
        <v>4301.6000000000004</v>
      </c>
      <c r="C62" s="144">
        <f>VLOOKUP($A62,'Data shares'!$C:$FA,3)</f>
        <v>4312.7</v>
      </c>
      <c r="D62" s="144">
        <f>VLOOKUP($A62,'Data shares'!$C:$FA,23)</f>
        <v>11.1</v>
      </c>
      <c r="E62" s="145">
        <f>VLOOKUP($A62,'Data shares'!$C:$FA,26)*100</f>
        <v>0.26</v>
      </c>
      <c r="F62" s="144">
        <f>VLOOKUP($A62,'Data shares'!$C:$FA,24)</f>
        <v>-7.5</v>
      </c>
      <c r="G62" s="144">
        <f>VLOOKUP($A62,'Data shares'!$C:$FA,25)</f>
        <v>18.600000000000001</v>
      </c>
    </row>
    <row r="63" spans="1:7" x14ac:dyDescent="0.25">
      <c r="A63" s="101" t="str">
        <f>'Data shares'!C59</f>
        <v>DRREDDY</v>
      </c>
      <c r="B63" s="144">
        <f>VLOOKUP($A63,'Data shares'!$C:$FA,7)</f>
        <v>1248.5999999999999</v>
      </c>
      <c r="C63" s="144">
        <f>VLOOKUP($A63,'Data shares'!$C:$FA,3)</f>
        <v>1255</v>
      </c>
      <c r="D63" s="144">
        <f>VLOOKUP($A63,'Data shares'!$C:$FA,23)</f>
        <v>6.4</v>
      </c>
      <c r="E63" s="145">
        <f>VLOOKUP($A63,'Data shares'!$C:$FA,26)*100</f>
        <v>0.51</v>
      </c>
      <c r="F63" s="144">
        <f>VLOOKUP($A63,'Data shares'!$C:$FA,24)</f>
        <v>6.6</v>
      </c>
      <c r="G63" s="144">
        <f>VLOOKUP($A63,'Data shares'!$C:$FA,25)</f>
        <v>-0.2</v>
      </c>
    </row>
    <row r="64" spans="1:7" x14ac:dyDescent="0.25">
      <c r="A64" s="101" t="str">
        <f>'Data shares'!C60</f>
        <v>EICHERMOT</v>
      </c>
      <c r="B64" s="144">
        <f>VLOOKUP($A64,'Data shares'!$C:$FA,7)</f>
        <v>6880</v>
      </c>
      <c r="C64" s="144">
        <f>VLOOKUP($A64,'Data shares'!$C:$FA,3)</f>
        <v>6919.5</v>
      </c>
      <c r="D64" s="144">
        <f>VLOOKUP($A64,'Data shares'!$C:$FA,23)</f>
        <v>39.5</v>
      </c>
      <c r="E64" s="145">
        <f>VLOOKUP($A64,'Data shares'!$C:$FA,26)*100</f>
        <v>0.57000000000000006</v>
      </c>
      <c r="F64" s="144">
        <f>VLOOKUP($A64,'Data shares'!$C:$FA,24)</f>
        <v>24</v>
      </c>
      <c r="G64" s="144">
        <f>VLOOKUP($A64,'Data shares'!$C:$FA,25)</f>
        <v>15.5</v>
      </c>
    </row>
    <row r="65" spans="1:7" x14ac:dyDescent="0.25">
      <c r="A65" s="101" t="str">
        <f>'Data shares'!C61</f>
        <v>ETERNAL</v>
      </c>
      <c r="B65" s="144">
        <f>VLOOKUP($A65,'Data shares'!$C:$FA,7)</f>
        <v>335.1</v>
      </c>
      <c r="C65" s="144">
        <f>VLOOKUP($A65,'Data shares'!$C:$FA,3)</f>
        <v>337.15</v>
      </c>
      <c r="D65" s="144">
        <f>VLOOKUP($A65,'Data shares'!$C:$FA,23)</f>
        <v>2.0499999999999998</v>
      </c>
      <c r="E65" s="145">
        <f>VLOOKUP($A65,'Data shares'!$C:$FA,26)*100</f>
        <v>0.61</v>
      </c>
      <c r="F65" s="144">
        <f>VLOOKUP($A65,'Data shares'!$C:$FA,24)</f>
        <v>2.1</v>
      </c>
      <c r="G65" s="144">
        <f>VLOOKUP($A65,'Data shares'!$C:$FA,25)</f>
        <v>-0.05</v>
      </c>
    </row>
    <row r="66" spans="1:7" x14ac:dyDescent="0.25">
      <c r="A66" s="101" t="str">
        <f>'Data shares'!C62</f>
        <v>EXIDEIND</v>
      </c>
      <c r="B66" s="144">
        <f>VLOOKUP($A66,'Data shares'!$C:$FA,7)</f>
        <v>399.95</v>
      </c>
      <c r="C66" s="144">
        <f>VLOOKUP($A66,'Data shares'!$C:$FA,3)</f>
        <v>401.45</v>
      </c>
      <c r="D66" s="144">
        <f>VLOOKUP($A66,'Data shares'!$C:$FA,23)</f>
        <v>1.5</v>
      </c>
      <c r="E66" s="145">
        <f>VLOOKUP($A66,'Data shares'!$C:$FA,26)*100</f>
        <v>0.38</v>
      </c>
      <c r="F66" s="144">
        <f>VLOOKUP($A66,'Data shares'!$C:$FA,24)</f>
        <v>1.3</v>
      </c>
      <c r="G66" s="144">
        <f>VLOOKUP($A66,'Data shares'!$C:$FA,25)</f>
        <v>0.2</v>
      </c>
    </row>
    <row r="67" spans="1:7" x14ac:dyDescent="0.25">
      <c r="A67" s="101" t="str">
        <f>'Data shares'!C63</f>
        <v>FEDERALBNK</v>
      </c>
      <c r="B67" s="144">
        <f>VLOOKUP($A67,'Data shares'!$C:$FA,7)</f>
        <v>193.66</v>
      </c>
      <c r="C67" s="144">
        <f>VLOOKUP($A67,'Data shares'!$C:$FA,3)</f>
        <v>194.7</v>
      </c>
      <c r="D67" s="144">
        <f>VLOOKUP($A67,'Data shares'!$C:$FA,23)</f>
        <v>1.04</v>
      </c>
      <c r="E67" s="145">
        <f>VLOOKUP($A67,'Data shares'!$C:$FA,26)*100</f>
        <v>0.54</v>
      </c>
      <c r="F67" s="144">
        <f>VLOOKUP($A67,'Data shares'!$C:$FA,24)</f>
        <v>1.22</v>
      </c>
      <c r="G67" s="144">
        <f>VLOOKUP($A67,'Data shares'!$C:$FA,25)</f>
        <v>-0.18</v>
      </c>
    </row>
    <row r="68" spans="1:7" x14ac:dyDescent="0.25">
      <c r="A68" s="101" t="str">
        <f>'Data shares'!C64</f>
        <v>FINNIFTY</v>
      </c>
      <c r="B68" s="144">
        <f>VLOOKUP($A68,'Data shares'!$C:$FA,7)</f>
        <v>26712.05</v>
      </c>
      <c r="C68" s="144">
        <f>VLOOKUP($A68,'Data shares'!$C:$FA,3)</f>
        <v>26798.6</v>
      </c>
      <c r="D68" s="144">
        <f>VLOOKUP($A68,'Data shares'!$C:$FA,23)</f>
        <v>86.55</v>
      </c>
      <c r="E68" s="145">
        <f>VLOOKUP($A68,'Data shares'!$C:$FA,26)*100</f>
        <v>0.32</v>
      </c>
      <c r="F68" s="144">
        <f>VLOOKUP($A68,'Data shares'!$C:$FA,24)</f>
        <v>122.95</v>
      </c>
      <c r="G68" s="144">
        <f>VLOOKUP($A68,'Data shares'!$C:$FA,25)</f>
        <v>-36.4</v>
      </c>
    </row>
    <row r="69" spans="1:7" x14ac:dyDescent="0.25">
      <c r="A69" s="101" t="str">
        <f>'Data shares'!C65</f>
        <v>FORTIS</v>
      </c>
      <c r="B69" s="144">
        <f>VLOOKUP($A69,'Data shares'!$C:$FA,7)</f>
        <v>1053.9000000000001</v>
      </c>
      <c r="C69" s="144">
        <f>VLOOKUP($A69,'Data shares'!$C:$FA,3)</f>
        <v>1057.45</v>
      </c>
      <c r="D69" s="144">
        <f>VLOOKUP($A69,'Data shares'!$C:$FA,23)</f>
        <v>3.55</v>
      </c>
      <c r="E69" s="145">
        <f>VLOOKUP($A69,'Data shares'!$C:$FA,26)*100</f>
        <v>0.33999999999999997</v>
      </c>
      <c r="F69" s="144">
        <f>VLOOKUP($A69,'Data shares'!$C:$FA,24)</f>
        <v>6.4</v>
      </c>
      <c r="G69" s="144">
        <f>VLOOKUP($A69,'Data shares'!$C:$FA,25)</f>
        <v>-2.85</v>
      </c>
    </row>
    <row r="70" spans="1:7" x14ac:dyDescent="0.25">
      <c r="A70" s="101" t="str">
        <f>'Data shares'!C66</f>
        <v>GAIL</v>
      </c>
      <c r="B70" s="144">
        <f>VLOOKUP($A70,'Data shares'!$C:$FA,7)</f>
        <v>176.62</v>
      </c>
      <c r="C70" s="144">
        <f>VLOOKUP($A70,'Data shares'!$C:$FA,3)</f>
        <v>177.62</v>
      </c>
      <c r="D70" s="144">
        <f>VLOOKUP($A70,'Data shares'!$C:$FA,23)</f>
        <v>1</v>
      </c>
      <c r="E70" s="145">
        <f>VLOOKUP($A70,'Data shares'!$C:$FA,26)*100</f>
        <v>0.57000000000000006</v>
      </c>
      <c r="F70" s="144">
        <f>VLOOKUP($A70,'Data shares'!$C:$FA,24)</f>
        <v>1.1399999999999999</v>
      </c>
      <c r="G70" s="144">
        <f>VLOOKUP($A70,'Data shares'!$C:$FA,25)</f>
        <v>-0.14000000000000001</v>
      </c>
    </row>
    <row r="71" spans="1:7" x14ac:dyDescent="0.25">
      <c r="A71" s="101" t="str">
        <f>'Data shares'!C67</f>
        <v>GLENMARK</v>
      </c>
      <c r="B71" s="144">
        <f>VLOOKUP($A71,'Data shares'!$C:$FA,7)</f>
        <v>1971.2</v>
      </c>
      <c r="C71" s="144">
        <f>VLOOKUP($A71,'Data shares'!$C:$FA,3)</f>
        <v>1978.4</v>
      </c>
      <c r="D71" s="144">
        <f>VLOOKUP($A71,'Data shares'!$C:$FA,23)</f>
        <v>7.2</v>
      </c>
      <c r="E71" s="145">
        <f>VLOOKUP($A71,'Data shares'!$C:$FA,26)*100</f>
        <v>0.37</v>
      </c>
      <c r="F71" s="144">
        <f>VLOOKUP($A71,'Data shares'!$C:$FA,24)</f>
        <v>7.8</v>
      </c>
      <c r="G71" s="144">
        <f>VLOOKUP($A71,'Data shares'!$C:$FA,25)</f>
        <v>-0.6</v>
      </c>
    </row>
    <row r="72" spans="1:7" x14ac:dyDescent="0.25">
      <c r="A72" s="101" t="str">
        <f>'Data shares'!C68</f>
        <v>GMRAIRPORT</v>
      </c>
      <c r="B72" s="144">
        <f>VLOOKUP($A72,'Data shares'!$C:$FA,7)</f>
        <v>88.7</v>
      </c>
      <c r="C72" s="144">
        <f>VLOOKUP($A72,'Data shares'!$C:$FA,3)</f>
        <v>89</v>
      </c>
      <c r="D72" s="144">
        <f>VLOOKUP($A72,'Data shares'!$C:$FA,23)</f>
        <v>0.3</v>
      </c>
      <c r="E72" s="145">
        <f>VLOOKUP($A72,'Data shares'!$C:$FA,26)*100</f>
        <v>0.33999999999999997</v>
      </c>
      <c r="F72" s="144">
        <f>VLOOKUP($A72,'Data shares'!$C:$FA,24)</f>
        <v>0.36</v>
      </c>
      <c r="G72" s="144">
        <f>VLOOKUP($A72,'Data shares'!$C:$FA,25)</f>
        <v>-0.06</v>
      </c>
    </row>
    <row r="73" spans="1:7" x14ac:dyDescent="0.25">
      <c r="A73" s="101" t="str">
        <f>'Data shares'!C69</f>
        <v>GODREJCP</v>
      </c>
      <c r="B73" s="144">
        <f>VLOOKUP($A73,'Data shares'!$C:$FA,7)</f>
        <v>1147.5999999999999</v>
      </c>
      <c r="C73" s="144">
        <f>VLOOKUP($A73,'Data shares'!$C:$FA,3)</f>
        <v>1150</v>
      </c>
      <c r="D73" s="144">
        <f>VLOOKUP($A73,'Data shares'!$C:$FA,23)</f>
        <v>2.4</v>
      </c>
      <c r="E73" s="145">
        <f>VLOOKUP($A73,'Data shares'!$C:$FA,26)*100</f>
        <v>0.21</v>
      </c>
      <c r="F73" s="144">
        <f>VLOOKUP($A73,'Data shares'!$C:$FA,24)</f>
        <v>-3.7</v>
      </c>
      <c r="G73" s="144">
        <f>VLOOKUP($A73,'Data shares'!$C:$FA,25)</f>
        <v>6.1</v>
      </c>
    </row>
    <row r="74" spans="1:7" x14ac:dyDescent="0.25">
      <c r="A74" s="101" t="str">
        <f>'Data shares'!C70</f>
        <v>GODREJPROP</v>
      </c>
      <c r="B74" s="144">
        <f>VLOOKUP($A74,'Data shares'!$C:$FA,7)</f>
        <v>2056.5</v>
      </c>
      <c r="C74" s="144">
        <f>VLOOKUP($A74,'Data shares'!$C:$FA,3)</f>
        <v>2065</v>
      </c>
      <c r="D74" s="144">
        <f>VLOOKUP($A74,'Data shares'!$C:$FA,23)</f>
        <v>8.5</v>
      </c>
      <c r="E74" s="145">
        <f>VLOOKUP($A74,'Data shares'!$C:$FA,26)*100</f>
        <v>0.41000000000000003</v>
      </c>
      <c r="F74" s="144">
        <f>VLOOKUP($A74,'Data shares'!$C:$FA,24)</f>
        <v>7.7</v>
      </c>
      <c r="G74" s="144">
        <f>VLOOKUP($A74,'Data shares'!$C:$FA,25)</f>
        <v>0.8</v>
      </c>
    </row>
    <row r="75" spans="1:7" x14ac:dyDescent="0.25">
      <c r="A75" s="101" t="str">
        <f>'Data shares'!C71</f>
        <v>GRASIM</v>
      </c>
      <c r="B75" s="144">
        <f>VLOOKUP($A75,'Data shares'!$C:$FA,7)</f>
        <v>2807.4</v>
      </c>
      <c r="C75" s="144">
        <f>VLOOKUP($A75,'Data shares'!$C:$FA,3)</f>
        <v>2823.6</v>
      </c>
      <c r="D75" s="144">
        <f>VLOOKUP($A75,'Data shares'!$C:$FA,23)</f>
        <v>16.2</v>
      </c>
      <c r="E75" s="145">
        <f>VLOOKUP($A75,'Data shares'!$C:$FA,26)*100</f>
        <v>0.57999999999999996</v>
      </c>
      <c r="F75" s="144">
        <f>VLOOKUP($A75,'Data shares'!$C:$FA,24)</f>
        <v>19.100000000000001</v>
      </c>
      <c r="G75" s="144">
        <f>VLOOKUP($A75,'Data shares'!$C:$FA,25)</f>
        <v>-2.9</v>
      </c>
    </row>
    <row r="76" spans="1:7" x14ac:dyDescent="0.25">
      <c r="A76" s="101" t="str">
        <f>'Data shares'!C72</f>
        <v>HAL</v>
      </c>
      <c r="B76" s="144">
        <f>VLOOKUP($A76,'Data shares'!$C:$FA,7)</f>
        <v>4845.2</v>
      </c>
      <c r="C76" s="144">
        <f>VLOOKUP($A76,'Data shares'!$C:$FA,3)</f>
        <v>4874.1000000000004</v>
      </c>
      <c r="D76" s="144">
        <f>VLOOKUP($A76,'Data shares'!$C:$FA,23)</f>
        <v>28.9</v>
      </c>
      <c r="E76" s="145">
        <f>VLOOKUP($A76,'Data shares'!$C:$FA,26)*100</f>
        <v>0.6</v>
      </c>
      <c r="F76" s="144">
        <f>VLOOKUP($A76,'Data shares'!$C:$FA,24)</f>
        <v>24.2</v>
      </c>
      <c r="G76" s="144">
        <f>VLOOKUP($A76,'Data shares'!$C:$FA,25)</f>
        <v>4.7</v>
      </c>
    </row>
    <row r="77" spans="1:7" x14ac:dyDescent="0.25">
      <c r="A77" s="101" t="str">
        <f>'Data shares'!C73</f>
        <v>HAVELLS</v>
      </c>
      <c r="B77" s="144">
        <f>VLOOKUP($A77,'Data shares'!$C:$FA,7)</f>
        <v>1497.7</v>
      </c>
      <c r="C77" s="144">
        <f>VLOOKUP($A77,'Data shares'!$C:$FA,3)</f>
        <v>1502.6</v>
      </c>
      <c r="D77" s="144">
        <f>VLOOKUP($A77,'Data shares'!$C:$FA,23)</f>
        <v>4.9000000000000004</v>
      </c>
      <c r="E77" s="145">
        <f>VLOOKUP($A77,'Data shares'!$C:$FA,26)*100</f>
        <v>0.33</v>
      </c>
      <c r="F77" s="144">
        <f>VLOOKUP($A77,'Data shares'!$C:$FA,24)</f>
        <v>7.3</v>
      </c>
      <c r="G77" s="144">
        <f>VLOOKUP($A77,'Data shares'!$C:$FA,25)</f>
        <v>-2.4</v>
      </c>
    </row>
    <row r="78" spans="1:7" x14ac:dyDescent="0.25">
      <c r="A78" s="101" t="str">
        <f>'Data shares'!C74</f>
        <v>HCLTECH</v>
      </c>
      <c r="B78" s="144">
        <f>VLOOKUP($A78,'Data shares'!$C:$FA,7)</f>
        <v>1417.7</v>
      </c>
      <c r="C78" s="144">
        <f>VLOOKUP($A78,'Data shares'!$C:$FA,3)</f>
        <v>1414</v>
      </c>
      <c r="D78" s="144">
        <f>VLOOKUP($A78,'Data shares'!$C:$FA,23)</f>
        <v>-3.7</v>
      </c>
      <c r="E78" s="145">
        <f>VLOOKUP($A78,'Data shares'!$C:$FA,26)*100</f>
        <v>-0.26</v>
      </c>
      <c r="F78" s="144">
        <f>VLOOKUP($A78,'Data shares'!$C:$FA,24)</f>
        <v>-6.6</v>
      </c>
      <c r="G78" s="144">
        <f>VLOOKUP($A78,'Data shares'!$C:$FA,25)</f>
        <v>2.9</v>
      </c>
    </row>
    <row r="79" spans="1:7" x14ac:dyDescent="0.25">
      <c r="A79" s="101" t="str">
        <f>'Data shares'!C75</f>
        <v>HDFCAMC</v>
      </c>
      <c r="B79" s="144">
        <f>VLOOKUP($A79,'Data shares'!$C:$FA,7)</f>
        <v>5661</v>
      </c>
      <c r="C79" s="144">
        <f>VLOOKUP($A79,'Data shares'!$C:$FA,3)</f>
        <v>5693.5</v>
      </c>
      <c r="D79" s="144">
        <f>VLOOKUP($A79,'Data shares'!$C:$FA,23)</f>
        <v>32.5</v>
      </c>
      <c r="E79" s="145">
        <f>VLOOKUP($A79,'Data shares'!$C:$FA,26)*100</f>
        <v>0.57000000000000006</v>
      </c>
      <c r="F79" s="144">
        <f>VLOOKUP($A79,'Data shares'!$C:$FA,24)</f>
        <v>30</v>
      </c>
      <c r="G79" s="144">
        <f>VLOOKUP($A79,'Data shares'!$C:$FA,25)</f>
        <v>2.5</v>
      </c>
    </row>
    <row r="80" spans="1:7" x14ac:dyDescent="0.25">
      <c r="A80" s="101" t="str">
        <f>'Data shares'!C76</f>
        <v>HDFCBANK</v>
      </c>
      <c r="B80" s="144">
        <f>VLOOKUP($A80,'Data shares'!$C:$FA,7)</f>
        <v>973.45</v>
      </c>
      <c r="C80" s="144">
        <f>VLOOKUP($A80,'Data shares'!$C:$FA,3)</f>
        <v>976.6</v>
      </c>
      <c r="D80" s="144">
        <f>VLOOKUP($A80,'Data shares'!$C:$FA,23)</f>
        <v>3.15</v>
      </c>
      <c r="E80" s="145">
        <f>VLOOKUP($A80,'Data shares'!$C:$FA,26)*100</f>
        <v>0.32</v>
      </c>
      <c r="F80" s="144">
        <f>VLOOKUP($A80,'Data shares'!$C:$FA,24)</f>
        <v>3.45</v>
      </c>
      <c r="G80" s="144">
        <f>VLOOKUP($A80,'Data shares'!$C:$FA,25)</f>
        <v>-0.3</v>
      </c>
    </row>
    <row r="81" spans="1:7" x14ac:dyDescent="0.25">
      <c r="A81" s="101" t="str">
        <f>'Data shares'!C77</f>
        <v>HDFCLIFE</v>
      </c>
      <c r="B81" s="144">
        <f>VLOOKUP($A81,'Data shares'!$C:$FA,7)</f>
        <v>763.05</v>
      </c>
      <c r="C81" s="144">
        <f>VLOOKUP($A81,'Data shares'!$C:$FA,3)</f>
        <v>764.35</v>
      </c>
      <c r="D81" s="144">
        <f>VLOOKUP($A81,'Data shares'!$C:$FA,23)</f>
        <v>1.3</v>
      </c>
      <c r="E81" s="145">
        <f>VLOOKUP($A81,'Data shares'!$C:$FA,26)*100</f>
        <v>0.16999999999999998</v>
      </c>
      <c r="F81" s="144">
        <f>VLOOKUP($A81,'Data shares'!$C:$FA,24)</f>
        <v>3.2</v>
      </c>
      <c r="G81" s="144">
        <f>VLOOKUP($A81,'Data shares'!$C:$FA,25)</f>
        <v>-1.9</v>
      </c>
    </row>
    <row r="82" spans="1:7" x14ac:dyDescent="0.25">
      <c r="A82" s="101" t="str">
        <f>'Data shares'!C78</f>
        <v>HEROMOTOCO</v>
      </c>
      <c r="B82" s="144">
        <f>VLOOKUP($A82,'Data shares'!$C:$FA,7)</f>
        <v>5581.5</v>
      </c>
      <c r="C82" s="144">
        <f>VLOOKUP($A82,'Data shares'!$C:$FA,3)</f>
        <v>5613</v>
      </c>
      <c r="D82" s="144">
        <f>VLOOKUP($A82,'Data shares'!$C:$FA,23)</f>
        <v>31.5</v>
      </c>
      <c r="E82" s="145">
        <f>VLOOKUP($A82,'Data shares'!$C:$FA,26)*100</f>
        <v>0.55999999999999994</v>
      </c>
      <c r="F82" s="144">
        <f>VLOOKUP($A82,'Data shares'!$C:$FA,24)</f>
        <v>30.5</v>
      </c>
      <c r="G82" s="144">
        <f>VLOOKUP($A82,'Data shares'!$C:$FA,25)</f>
        <v>1</v>
      </c>
    </row>
    <row r="83" spans="1:7" x14ac:dyDescent="0.25">
      <c r="A83" s="101" t="str">
        <f>'Data shares'!C79</f>
        <v>HFCL</v>
      </c>
      <c r="B83" s="144">
        <f>VLOOKUP($A83,'Data shares'!$C:$FA,7)</f>
        <v>74.44</v>
      </c>
      <c r="C83" s="144">
        <f>VLOOKUP($A83,'Data shares'!$C:$FA,3)</f>
        <v>74.680000000000007</v>
      </c>
      <c r="D83" s="144">
        <f>VLOOKUP($A83,'Data shares'!$C:$FA,23)</f>
        <v>0.24</v>
      </c>
      <c r="E83" s="145">
        <f>VLOOKUP($A83,'Data shares'!$C:$FA,26)*100</f>
        <v>0.32</v>
      </c>
      <c r="F83" s="144">
        <f>VLOOKUP($A83,'Data shares'!$C:$FA,24)</f>
        <v>0.49</v>
      </c>
      <c r="G83" s="144">
        <f>VLOOKUP($A83,'Data shares'!$C:$FA,25)</f>
        <v>-0.25</v>
      </c>
    </row>
    <row r="84" spans="1:7" x14ac:dyDescent="0.25">
      <c r="A84" s="101" t="str">
        <f>'Data shares'!C80</f>
        <v>HINDALCO</v>
      </c>
      <c r="B84" s="144">
        <f>VLOOKUP($A84,'Data shares'!$C:$FA,7)</f>
        <v>776.7</v>
      </c>
      <c r="C84" s="144">
        <f>VLOOKUP($A84,'Data shares'!$C:$FA,3)</f>
        <v>781.25</v>
      </c>
      <c r="D84" s="144">
        <f>VLOOKUP($A84,'Data shares'!$C:$FA,23)</f>
        <v>4.55</v>
      </c>
      <c r="E84" s="145">
        <f>VLOOKUP($A84,'Data shares'!$C:$FA,26)*100</f>
        <v>0.59</v>
      </c>
      <c r="F84" s="144">
        <f>VLOOKUP($A84,'Data shares'!$C:$FA,24)</f>
        <v>4.2</v>
      </c>
      <c r="G84" s="144">
        <f>VLOOKUP($A84,'Data shares'!$C:$FA,25)</f>
        <v>0.35</v>
      </c>
    </row>
    <row r="85" spans="1:7" x14ac:dyDescent="0.25">
      <c r="A85" s="101" t="str">
        <f>'Data shares'!C81</f>
        <v>HINDPETRO</v>
      </c>
      <c r="B85" s="144">
        <f>VLOOKUP($A85,'Data shares'!$C:$FA,7)</f>
        <v>456.3</v>
      </c>
      <c r="C85" s="144">
        <f>VLOOKUP($A85,'Data shares'!$C:$FA,3)</f>
        <v>458.4</v>
      </c>
      <c r="D85" s="144">
        <f>VLOOKUP($A85,'Data shares'!$C:$FA,23)</f>
        <v>2.1</v>
      </c>
      <c r="E85" s="145">
        <f>VLOOKUP($A85,'Data shares'!$C:$FA,26)*100</f>
        <v>0.45999999999999996</v>
      </c>
      <c r="F85" s="144">
        <f>VLOOKUP($A85,'Data shares'!$C:$FA,24)</f>
        <v>1.7</v>
      </c>
      <c r="G85" s="144">
        <f>VLOOKUP($A85,'Data shares'!$C:$FA,25)</f>
        <v>0.4</v>
      </c>
    </row>
    <row r="86" spans="1:7" x14ac:dyDescent="0.25">
      <c r="A86" s="101" t="str">
        <f>'Data shares'!C82</f>
        <v>HINDUNILVR</v>
      </c>
      <c r="B86" s="144">
        <f>VLOOKUP($A86,'Data shares'!$C:$FA,7)</f>
        <v>2541.8000000000002</v>
      </c>
      <c r="C86" s="144">
        <f>VLOOKUP($A86,'Data shares'!$C:$FA,3)</f>
        <v>2556.5</v>
      </c>
      <c r="D86" s="144">
        <f>VLOOKUP($A86,'Data shares'!$C:$FA,23)</f>
        <v>14.7</v>
      </c>
      <c r="E86" s="145">
        <f>VLOOKUP($A86,'Data shares'!$C:$FA,26)*100</f>
        <v>0.57999999999999996</v>
      </c>
      <c r="F86" s="144">
        <f>VLOOKUP($A86,'Data shares'!$C:$FA,24)</f>
        <v>7.4</v>
      </c>
      <c r="G86" s="144">
        <f>VLOOKUP($A86,'Data shares'!$C:$FA,25)</f>
        <v>7.3</v>
      </c>
    </row>
    <row r="87" spans="1:7" x14ac:dyDescent="0.25">
      <c r="A87" s="101" t="str">
        <f>'Data shares'!C83</f>
        <v>HINDZINC</v>
      </c>
      <c r="B87" s="144">
        <f>VLOOKUP($A87,'Data shares'!$C:$FA,7)</f>
        <v>491.5</v>
      </c>
      <c r="C87" s="144">
        <f>VLOOKUP($A87,'Data shares'!$C:$FA,3)</f>
        <v>493.3</v>
      </c>
      <c r="D87" s="144">
        <f>VLOOKUP($A87,'Data shares'!$C:$FA,23)</f>
        <v>1.8</v>
      </c>
      <c r="E87" s="145">
        <f>VLOOKUP($A87,'Data shares'!$C:$FA,26)*100</f>
        <v>0.37</v>
      </c>
      <c r="F87" s="144">
        <f>VLOOKUP($A87,'Data shares'!$C:$FA,24)</f>
        <v>3</v>
      </c>
      <c r="G87" s="144">
        <f>VLOOKUP($A87,'Data shares'!$C:$FA,25)</f>
        <v>-1.2</v>
      </c>
    </row>
    <row r="88" spans="1:7" x14ac:dyDescent="0.25">
      <c r="A88" s="101" t="str">
        <f>'Data shares'!C84</f>
        <v>HUDCO</v>
      </c>
      <c r="B88" s="144">
        <f>VLOOKUP($A88,'Data shares'!$C:$FA,7)</f>
        <v>230.91</v>
      </c>
      <c r="C88" s="144">
        <f>VLOOKUP($A88,'Data shares'!$C:$FA,3)</f>
        <v>232.32</v>
      </c>
      <c r="D88" s="144">
        <f>VLOOKUP($A88,'Data shares'!$C:$FA,23)</f>
        <v>1.41</v>
      </c>
      <c r="E88" s="145">
        <f>VLOOKUP($A88,'Data shares'!$C:$FA,26)*100</f>
        <v>0.61</v>
      </c>
      <c r="F88" s="144">
        <f>VLOOKUP($A88,'Data shares'!$C:$FA,24)</f>
        <v>1.57</v>
      </c>
      <c r="G88" s="144">
        <f>VLOOKUP($A88,'Data shares'!$C:$FA,25)</f>
        <v>-0.16</v>
      </c>
    </row>
    <row r="89" spans="1:7" x14ac:dyDescent="0.25">
      <c r="A89" s="101" t="str">
        <f>'Data shares'!C85</f>
        <v>ICICIBANK</v>
      </c>
      <c r="B89" s="144">
        <f>VLOOKUP($A89,'Data shares'!$C:$FA,7)</f>
        <v>1363.4</v>
      </c>
      <c r="C89" s="144">
        <f>VLOOKUP($A89,'Data shares'!$C:$FA,3)</f>
        <v>1368.3</v>
      </c>
      <c r="D89" s="144">
        <f>VLOOKUP($A89,'Data shares'!$C:$FA,23)</f>
        <v>4.9000000000000004</v>
      </c>
      <c r="E89" s="145">
        <f>VLOOKUP($A89,'Data shares'!$C:$FA,26)*100</f>
        <v>0.36</v>
      </c>
      <c r="F89" s="144">
        <f>VLOOKUP($A89,'Data shares'!$C:$FA,24)</f>
        <v>5.8</v>
      </c>
      <c r="G89" s="144">
        <f>VLOOKUP($A89,'Data shares'!$C:$FA,25)</f>
        <v>-0.9</v>
      </c>
    </row>
    <row r="90" spans="1:7" x14ac:dyDescent="0.25">
      <c r="A90" s="101" t="str">
        <f>'Data shares'!C86</f>
        <v>ICICIGI</v>
      </c>
      <c r="B90" s="144">
        <f>VLOOKUP($A90,'Data shares'!$C:$FA,7)</f>
        <v>1925.8</v>
      </c>
      <c r="C90" s="144">
        <f>VLOOKUP($A90,'Data shares'!$C:$FA,3)</f>
        <v>1931.7</v>
      </c>
      <c r="D90" s="144">
        <f>VLOOKUP($A90,'Data shares'!$C:$FA,23)</f>
        <v>5.9</v>
      </c>
      <c r="E90" s="145">
        <f>VLOOKUP($A90,'Data shares'!$C:$FA,26)*100</f>
        <v>0.31</v>
      </c>
      <c r="F90" s="144">
        <f>VLOOKUP($A90,'Data shares'!$C:$FA,24)</f>
        <v>6.5</v>
      </c>
      <c r="G90" s="144">
        <f>VLOOKUP($A90,'Data shares'!$C:$FA,25)</f>
        <v>-0.6</v>
      </c>
    </row>
    <row r="91" spans="1:7" x14ac:dyDescent="0.25">
      <c r="A91" s="101" t="str">
        <f>'Data shares'!C87</f>
        <v>ICICIPRULI</v>
      </c>
      <c r="B91" s="144">
        <f>VLOOKUP($A91,'Data shares'!$C:$FA,7)</f>
        <v>600.45000000000005</v>
      </c>
      <c r="C91" s="144">
        <f>VLOOKUP($A91,'Data shares'!$C:$FA,3)</f>
        <v>604.20000000000005</v>
      </c>
      <c r="D91" s="144">
        <f>VLOOKUP($A91,'Data shares'!$C:$FA,23)</f>
        <v>3.75</v>
      </c>
      <c r="E91" s="145">
        <f>VLOOKUP($A91,'Data shares'!$C:$FA,26)*100</f>
        <v>0.62</v>
      </c>
      <c r="F91" s="144">
        <f>VLOOKUP($A91,'Data shares'!$C:$FA,24)</f>
        <v>3.95</v>
      </c>
      <c r="G91" s="144">
        <f>VLOOKUP($A91,'Data shares'!$C:$FA,25)</f>
        <v>-0.2</v>
      </c>
    </row>
    <row r="92" spans="1:7" x14ac:dyDescent="0.25">
      <c r="A92" s="101" t="str">
        <f>'Data shares'!C88</f>
        <v>IDEA</v>
      </c>
      <c r="B92" s="144">
        <f>VLOOKUP($A92,'Data shares'!$C:$FA,7)</f>
        <v>8.4700000000000006</v>
      </c>
      <c r="C92" s="144">
        <f>VLOOKUP($A92,'Data shares'!$C:$FA,3)</f>
        <v>8.51</v>
      </c>
      <c r="D92" s="144">
        <f>VLOOKUP($A92,'Data shares'!$C:$FA,23)</f>
        <v>0.04</v>
      </c>
      <c r="E92" s="145">
        <f>VLOOKUP($A92,'Data shares'!$C:$FA,26)*100</f>
        <v>0.47000000000000003</v>
      </c>
      <c r="F92" s="144">
        <f>VLOOKUP($A92,'Data shares'!$C:$FA,24)</f>
        <v>7.0000000000000007E-2</v>
      </c>
      <c r="G92" s="144">
        <f>VLOOKUP($A92,'Data shares'!$C:$FA,25)</f>
        <v>-0.03</v>
      </c>
    </row>
    <row r="93" spans="1:7" x14ac:dyDescent="0.25">
      <c r="A93" s="101" t="str">
        <f>'Data shares'!C89</f>
        <v>IDFCFIRSTB</v>
      </c>
      <c r="B93" s="144">
        <f>VLOOKUP($A93,'Data shares'!$C:$FA,7)</f>
        <v>71.09</v>
      </c>
      <c r="C93" s="144">
        <f>VLOOKUP($A93,'Data shares'!$C:$FA,3)</f>
        <v>71.47</v>
      </c>
      <c r="D93" s="144">
        <f>VLOOKUP($A93,'Data shares'!$C:$FA,23)</f>
        <v>0.38</v>
      </c>
      <c r="E93" s="145">
        <f>VLOOKUP($A93,'Data shares'!$C:$FA,26)*100</f>
        <v>0.53</v>
      </c>
      <c r="F93" s="144">
        <f>VLOOKUP($A93,'Data shares'!$C:$FA,24)</f>
        <v>0.39</v>
      </c>
      <c r="G93" s="144">
        <f>VLOOKUP($A93,'Data shares'!$C:$FA,25)</f>
        <v>-0.01</v>
      </c>
    </row>
    <row r="94" spans="1:7" x14ac:dyDescent="0.25">
      <c r="A94" s="101" t="str">
        <f>'Data shares'!C90</f>
        <v>IEX</v>
      </c>
      <c r="B94" s="144">
        <f>VLOOKUP($A94,'Data shares'!$C:$FA,7)</f>
        <v>142.55000000000001</v>
      </c>
      <c r="C94" s="144">
        <f>VLOOKUP($A94,'Data shares'!$C:$FA,3)</f>
        <v>143.38</v>
      </c>
      <c r="D94" s="144">
        <f>VLOOKUP($A94,'Data shares'!$C:$FA,23)</f>
        <v>0.83</v>
      </c>
      <c r="E94" s="145">
        <f>VLOOKUP($A94,'Data shares'!$C:$FA,26)*100</f>
        <v>0.57999999999999996</v>
      </c>
      <c r="F94" s="144">
        <f>VLOOKUP($A94,'Data shares'!$C:$FA,24)</f>
        <v>0.96</v>
      </c>
      <c r="G94" s="144">
        <f>VLOOKUP($A94,'Data shares'!$C:$FA,25)</f>
        <v>-0.13</v>
      </c>
    </row>
    <row r="95" spans="1:7" x14ac:dyDescent="0.25">
      <c r="A95" s="101" t="str">
        <f>'Data shares'!C91</f>
        <v>IGL</v>
      </c>
      <c r="B95" s="144">
        <f>VLOOKUP($A95,'Data shares'!$C:$FA,7)</f>
        <v>208.06</v>
      </c>
      <c r="C95" s="144">
        <f>VLOOKUP($A95,'Data shares'!$C:$FA,3)</f>
        <v>209.27</v>
      </c>
      <c r="D95" s="144">
        <f>VLOOKUP($A95,'Data shares'!$C:$FA,23)</f>
        <v>1.21</v>
      </c>
      <c r="E95" s="145">
        <f>VLOOKUP($A95,'Data shares'!$C:$FA,26)*100</f>
        <v>0.57999999999999996</v>
      </c>
      <c r="F95" s="144">
        <f>VLOOKUP($A95,'Data shares'!$C:$FA,24)</f>
        <v>1.42</v>
      </c>
      <c r="G95" s="144">
        <f>VLOOKUP($A95,'Data shares'!$C:$FA,25)</f>
        <v>-0.21</v>
      </c>
    </row>
    <row r="96" spans="1:7" x14ac:dyDescent="0.25">
      <c r="A96" s="101" t="str">
        <f>'Data shares'!C92</f>
        <v>IIFL</v>
      </c>
      <c r="B96" s="144">
        <f>VLOOKUP($A96,'Data shares'!$C:$FA,7)</f>
        <v>469.5</v>
      </c>
      <c r="C96" s="144">
        <f>VLOOKUP($A96,'Data shares'!$C:$FA,3)</f>
        <v>472.6</v>
      </c>
      <c r="D96" s="144">
        <f>VLOOKUP($A96,'Data shares'!$C:$FA,23)</f>
        <v>3.1</v>
      </c>
      <c r="E96" s="145">
        <f>VLOOKUP($A96,'Data shares'!$C:$FA,26)*100</f>
        <v>0.66</v>
      </c>
      <c r="F96" s="144">
        <f>VLOOKUP($A96,'Data shares'!$C:$FA,24)</f>
        <v>2.1</v>
      </c>
      <c r="G96" s="144">
        <f>VLOOKUP($A96,'Data shares'!$C:$FA,25)</f>
        <v>1</v>
      </c>
    </row>
    <row r="97" spans="1:7" x14ac:dyDescent="0.25">
      <c r="A97" s="101" t="str">
        <f>'Data shares'!C93</f>
        <v>INDHOTEL</v>
      </c>
      <c r="B97" s="144">
        <f>VLOOKUP($A97,'Data shares'!$C:$FA,7)</f>
        <v>723.55</v>
      </c>
      <c r="C97" s="144">
        <f>VLOOKUP($A97,'Data shares'!$C:$FA,3)</f>
        <v>727.8</v>
      </c>
      <c r="D97" s="144">
        <f>VLOOKUP($A97,'Data shares'!$C:$FA,23)</f>
        <v>4.25</v>
      </c>
      <c r="E97" s="145">
        <f>VLOOKUP($A97,'Data shares'!$C:$FA,26)*100</f>
        <v>0.59</v>
      </c>
      <c r="F97" s="144">
        <f>VLOOKUP($A97,'Data shares'!$C:$FA,24)</f>
        <v>4.55</v>
      </c>
      <c r="G97" s="144">
        <f>VLOOKUP($A97,'Data shares'!$C:$FA,25)</f>
        <v>-0.3</v>
      </c>
    </row>
    <row r="98" spans="1:7" x14ac:dyDescent="0.25">
      <c r="A98" s="101" t="str">
        <f>'Data shares'!C94</f>
        <v>INDIANB</v>
      </c>
      <c r="B98" s="144">
        <f>VLOOKUP($A98,'Data shares'!$C:$FA,7)</f>
        <v>758.05</v>
      </c>
      <c r="C98" s="144">
        <f>VLOOKUP($A98,'Data shares'!$C:$FA,3)</f>
        <v>759.3</v>
      </c>
      <c r="D98" s="144">
        <f>VLOOKUP($A98,'Data shares'!$C:$FA,23)</f>
        <v>1.25</v>
      </c>
      <c r="E98" s="145">
        <f>VLOOKUP($A98,'Data shares'!$C:$FA,26)*100</f>
        <v>0.16</v>
      </c>
      <c r="F98" s="144">
        <f>VLOOKUP($A98,'Data shares'!$C:$FA,24)</f>
        <v>-10.55</v>
      </c>
      <c r="G98" s="144">
        <f>VLOOKUP($A98,'Data shares'!$C:$FA,25)</f>
        <v>11.8</v>
      </c>
    </row>
    <row r="99" spans="1:7" x14ac:dyDescent="0.25">
      <c r="A99" s="101" t="str">
        <f>'Data shares'!C95</f>
        <v>INDIAVIX</v>
      </c>
      <c r="B99" s="144">
        <f>VLOOKUP($A99,'Data shares'!$C:$FA,7)</f>
        <v>10.19</v>
      </c>
      <c r="C99" s="144">
        <f>VLOOKUP($A99,'Data shares'!$C:$FA,3)</f>
        <v>10.19</v>
      </c>
      <c r="D99" s="144">
        <f>VLOOKUP($A99,'Data shares'!$C:$FA,23)</f>
        <v>0</v>
      </c>
      <c r="E99" s="145">
        <f>VLOOKUP($A99,'Data shares'!$C:$FA,26)*100</f>
        <v>0</v>
      </c>
      <c r="F99" s="144">
        <f>VLOOKUP($A99,'Data shares'!$C:$FA,24)</f>
        <v>0</v>
      </c>
      <c r="G99" s="144">
        <f>VLOOKUP($A99,'Data shares'!$C:$FA,25)</f>
        <v>0</v>
      </c>
    </row>
    <row r="100" spans="1:7" x14ac:dyDescent="0.25">
      <c r="A100" s="101" t="str">
        <f>'Data shares'!C96</f>
        <v>INDIGO</v>
      </c>
      <c r="B100" s="144">
        <f>VLOOKUP($A100,'Data shares'!$C:$FA,7)</f>
        <v>5694.5</v>
      </c>
      <c r="C100" s="144">
        <f>VLOOKUP($A100,'Data shares'!$C:$FA,3)</f>
        <v>5715</v>
      </c>
      <c r="D100" s="144">
        <f>VLOOKUP($A100,'Data shares'!$C:$FA,23)</f>
        <v>20.5</v>
      </c>
      <c r="E100" s="145">
        <f>VLOOKUP($A100,'Data shares'!$C:$FA,26)*100</f>
        <v>0.36</v>
      </c>
      <c r="F100" s="144">
        <f>VLOOKUP($A100,'Data shares'!$C:$FA,24)</f>
        <v>27.5</v>
      </c>
      <c r="G100" s="144">
        <f>VLOOKUP($A100,'Data shares'!$C:$FA,25)</f>
        <v>-7</v>
      </c>
    </row>
    <row r="101" spans="1:7" x14ac:dyDescent="0.25">
      <c r="A101" s="101" t="str">
        <f>'Data shares'!C97</f>
        <v>INDUSINDBK</v>
      </c>
      <c r="B101" s="144">
        <f>VLOOKUP($A101,'Data shares'!$C:$FA,7)</f>
        <v>739.3</v>
      </c>
      <c r="C101" s="144">
        <f>VLOOKUP($A101,'Data shares'!$C:$FA,3)</f>
        <v>743.8</v>
      </c>
      <c r="D101" s="144">
        <f>VLOOKUP($A101,'Data shares'!$C:$FA,23)</f>
        <v>4.5</v>
      </c>
      <c r="E101" s="145">
        <f>VLOOKUP($A101,'Data shares'!$C:$FA,26)*100</f>
        <v>0.61</v>
      </c>
      <c r="F101" s="144">
        <f>VLOOKUP($A101,'Data shares'!$C:$FA,24)</f>
        <v>4.9000000000000004</v>
      </c>
      <c r="G101" s="144">
        <f>VLOOKUP($A101,'Data shares'!$C:$FA,25)</f>
        <v>-0.4</v>
      </c>
    </row>
    <row r="102" spans="1:7" x14ac:dyDescent="0.25">
      <c r="A102" s="101" t="str">
        <f>'Data shares'!C98</f>
        <v>INDUSTOWER</v>
      </c>
      <c r="B102" s="144">
        <f>VLOOKUP($A102,'Data shares'!$C:$FA,7)</f>
        <v>353.65</v>
      </c>
      <c r="C102" s="144">
        <f>VLOOKUP($A102,'Data shares'!$C:$FA,3)</f>
        <v>355.35</v>
      </c>
      <c r="D102" s="144">
        <f>VLOOKUP($A102,'Data shares'!$C:$FA,23)</f>
        <v>1.7</v>
      </c>
      <c r="E102" s="145">
        <f>VLOOKUP($A102,'Data shares'!$C:$FA,26)*100</f>
        <v>0.48</v>
      </c>
      <c r="F102" s="144">
        <f>VLOOKUP($A102,'Data shares'!$C:$FA,24)</f>
        <v>2.9</v>
      </c>
      <c r="G102" s="144">
        <f>VLOOKUP($A102,'Data shares'!$C:$FA,25)</f>
        <v>-1.2</v>
      </c>
    </row>
    <row r="103" spans="1:7" x14ac:dyDescent="0.25">
      <c r="A103" s="101" t="str">
        <f>'Data shares'!C99</f>
        <v>INFY</v>
      </c>
      <c r="B103" s="144">
        <f>VLOOKUP($A103,'Data shares'!$C:$FA,7)</f>
        <v>1476</v>
      </c>
      <c r="C103" s="144">
        <f>VLOOKUP($A103,'Data shares'!$C:$FA,3)</f>
        <v>1471.1</v>
      </c>
      <c r="D103" s="144">
        <f>VLOOKUP($A103,'Data shares'!$C:$FA,23)</f>
        <v>-4.9000000000000004</v>
      </c>
      <c r="E103" s="145">
        <f>VLOOKUP($A103,'Data shares'!$C:$FA,26)*100</f>
        <v>-0.33</v>
      </c>
      <c r="F103" s="144">
        <f>VLOOKUP($A103,'Data shares'!$C:$FA,24)</f>
        <v>-4.3</v>
      </c>
      <c r="G103" s="144">
        <f>VLOOKUP($A103,'Data shares'!$C:$FA,25)</f>
        <v>-0.6</v>
      </c>
    </row>
    <row r="104" spans="1:7" x14ac:dyDescent="0.25">
      <c r="A104" s="101" t="str">
        <f>'Data shares'!C100</f>
        <v>INOXWIND</v>
      </c>
      <c r="B104" s="144">
        <f>VLOOKUP($A104,'Data shares'!$C:$FA,7)</f>
        <v>139.38</v>
      </c>
      <c r="C104" s="144">
        <f>VLOOKUP($A104,'Data shares'!$C:$FA,3)</f>
        <v>140.16</v>
      </c>
      <c r="D104" s="144">
        <f>VLOOKUP($A104,'Data shares'!$C:$FA,23)</f>
        <v>0.78</v>
      </c>
      <c r="E104" s="145">
        <f>VLOOKUP($A104,'Data shares'!$C:$FA,26)*100</f>
        <v>0.55999999999999994</v>
      </c>
      <c r="F104" s="144">
        <f>VLOOKUP($A104,'Data shares'!$C:$FA,24)</f>
        <v>1.06</v>
      </c>
      <c r="G104" s="144">
        <f>VLOOKUP($A104,'Data shares'!$C:$FA,25)</f>
        <v>-0.28000000000000003</v>
      </c>
    </row>
    <row r="105" spans="1:7" x14ac:dyDescent="0.25">
      <c r="A105" s="101" t="str">
        <f>'Data shares'!C101</f>
        <v>IOC</v>
      </c>
      <c r="B105" s="144">
        <f>VLOOKUP($A105,'Data shares'!$C:$FA,7)</f>
        <v>154.84</v>
      </c>
      <c r="C105" s="144">
        <f>VLOOKUP($A105,'Data shares'!$C:$FA,3)</f>
        <v>155.72</v>
      </c>
      <c r="D105" s="144">
        <f>VLOOKUP($A105,'Data shares'!$C:$FA,23)</f>
        <v>0.88</v>
      </c>
      <c r="E105" s="145">
        <f>VLOOKUP($A105,'Data shares'!$C:$FA,26)*100</f>
        <v>0.57000000000000006</v>
      </c>
      <c r="F105" s="144">
        <f>VLOOKUP($A105,'Data shares'!$C:$FA,24)</f>
        <v>0.93</v>
      </c>
      <c r="G105" s="144">
        <f>VLOOKUP($A105,'Data shares'!$C:$FA,25)</f>
        <v>-0.05</v>
      </c>
    </row>
    <row r="106" spans="1:7" x14ac:dyDescent="0.25">
      <c r="A106" s="101" t="str">
        <f>'Data shares'!C102</f>
        <v>IRCTC</v>
      </c>
      <c r="B106" s="144">
        <f>VLOOKUP($A106,'Data shares'!$C:$FA,7)</f>
        <v>710.25</v>
      </c>
      <c r="C106" s="144">
        <f>VLOOKUP($A106,'Data shares'!$C:$FA,3)</f>
        <v>714.1</v>
      </c>
      <c r="D106" s="144">
        <f>VLOOKUP($A106,'Data shares'!$C:$FA,23)</f>
        <v>3.85</v>
      </c>
      <c r="E106" s="145">
        <f>VLOOKUP($A106,'Data shares'!$C:$FA,26)*100</f>
        <v>0.54</v>
      </c>
      <c r="F106" s="144">
        <f>VLOOKUP($A106,'Data shares'!$C:$FA,24)</f>
        <v>4.25</v>
      </c>
      <c r="G106" s="144">
        <f>VLOOKUP($A106,'Data shares'!$C:$FA,25)</f>
        <v>-0.4</v>
      </c>
    </row>
    <row r="107" spans="1:7" x14ac:dyDescent="0.25">
      <c r="A107" s="101" t="str">
        <f>'Data shares'!C103</f>
        <v>IREDA</v>
      </c>
      <c r="B107" s="144">
        <f>VLOOKUP($A107,'Data shares'!$C:$FA,7)</f>
        <v>151.16</v>
      </c>
      <c r="C107" s="144">
        <f>VLOOKUP($A107,'Data shares'!$C:$FA,3)</f>
        <v>150.94999999999999</v>
      </c>
      <c r="D107" s="144">
        <f>VLOOKUP($A107,'Data shares'!$C:$FA,23)</f>
        <v>-0.21</v>
      </c>
      <c r="E107" s="145">
        <f>VLOOKUP($A107,'Data shares'!$C:$FA,26)*100</f>
        <v>-0.13999999999999999</v>
      </c>
      <c r="F107" s="144">
        <f>VLOOKUP($A107,'Data shares'!$C:$FA,24)</f>
        <v>0.43</v>
      </c>
      <c r="G107" s="144">
        <f>VLOOKUP($A107,'Data shares'!$C:$FA,25)</f>
        <v>-0.64</v>
      </c>
    </row>
    <row r="108" spans="1:7" x14ac:dyDescent="0.25">
      <c r="A108" s="101" t="str">
        <f>'Data shares'!C104</f>
        <v>IRFC</v>
      </c>
      <c r="B108" s="144">
        <f>VLOOKUP($A108,'Data shares'!$C:$FA,7)</f>
        <v>125.24</v>
      </c>
      <c r="C108" s="144">
        <f>VLOOKUP($A108,'Data shares'!$C:$FA,3)</f>
        <v>126.01</v>
      </c>
      <c r="D108" s="144">
        <f>VLOOKUP($A108,'Data shares'!$C:$FA,23)</f>
        <v>0.77</v>
      </c>
      <c r="E108" s="145">
        <f>VLOOKUP($A108,'Data shares'!$C:$FA,26)*100</f>
        <v>0.61</v>
      </c>
      <c r="F108" s="144">
        <f>VLOOKUP($A108,'Data shares'!$C:$FA,24)</f>
        <v>0.84</v>
      </c>
      <c r="G108" s="144">
        <f>VLOOKUP($A108,'Data shares'!$C:$FA,25)</f>
        <v>-7.0000000000000007E-2</v>
      </c>
    </row>
    <row r="109" spans="1:7" x14ac:dyDescent="0.25">
      <c r="A109" s="101" t="str">
        <f>'Data shares'!C105</f>
        <v>ITC</v>
      </c>
      <c r="B109" s="144">
        <f>VLOOKUP($A109,'Data shares'!$C:$FA,7)</f>
        <v>400.75</v>
      </c>
      <c r="C109" s="144">
        <f>VLOOKUP($A109,'Data shares'!$C:$FA,3)</f>
        <v>403.15</v>
      </c>
      <c r="D109" s="144">
        <f>VLOOKUP($A109,'Data shares'!$C:$FA,23)</f>
        <v>2.4</v>
      </c>
      <c r="E109" s="145">
        <f>VLOOKUP($A109,'Data shares'!$C:$FA,26)*100</f>
        <v>0.6</v>
      </c>
      <c r="F109" s="144">
        <f>VLOOKUP($A109,'Data shares'!$C:$FA,24)</f>
        <v>1.85</v>
      </c>
      <c r="G109" s="144">
        <f>VLOOKUP($A109,'Data shares'!$C:$FA,25)</f>
        <v>0.55000000000000004</v>
      </c>
    </row>
    <row r="110" spans="1:7" x14ac:dyDescent="0.25">
      <c r="A110" s="101" t="str">
        <f>'Data shares'!C106</f>
        <v>JINDALSTEL</v>
      </c>
      <c r="B110" s="144">
        <f>VLOOKUP($A110,'Data shares'!$C:$FA,7)</f>
        <v>1055.9000000000001</v>
      </c>
      <c r="C110" s="144">
        <f>VLOOKUP($A110,'Data shares'!$C:$FA,3)</f>
        <v>1059.3</v>
      </c>
      <c r="D110" s="144">
        <f>VLOOKUP($A110,'Data shares'!$C:$FA,23)</f>
        <v>3.4</v>
      </c>
      <c r="E110" s="145">
        <f>VLOOKUP($A110,'Data shares'!$C:$FA,26)*100</f>
        <v>0.32</v>
      </c>
      <c r="F110" s="144">
        <f>VLOOKUP($A110,'Data shares'!$C:$FA,24)</f>
        <v>3.7</v>
      </c>
      <c r="G110" s="144">
        <f>VLOOKUP($A110,'Data shares'!$C:$FA,25)</f>
        <v>-0.3</v>
      </c>
    </row>
    <row r="111" spans="1:7" x14ac:dyDescent="0.25">
      <c r="A111" s="101" t="str">
        <f>'Data shares'!C107</f>
        <v>JIOFIN</v>
      </c>
      <c r="B111" s="144">
        <f>VLOOKUP($A111,'Data shares'!$C:$FA,7)</f>
        <v>306.25</v>
      </c>
      <c r="C111" s="144">
        <f>VLOOKUP($A111,'Data shares'!$C:$FA,3)</f>
        <v>308.05</v>
      </c>
      <c r="D111" s="144">
        <f>VLOOKUP($A111,'Data shares'!$C:$FA,23)</f>
        <v>1.8</v>
      </c>
      <c r="E111" s="145">
        <f>VLOOKUP($A111,'Data shares'!$C:$FA,26)*100</f>
        <v>0.59</v>
      </c>
      <c r="F111" s="144">
        <f>VLOOKUP($A111,'Data shares'!$C:$FA,24)</f>
        <v>1.5</v>
      </c>
      <c r="G111" s="144">
        <f>VLOOKUP($A111,'Data shares'!$C:$FA,25)</f>
        <v>0.3</v>
      </c>
    </row>
    <row r="112" spans="1:7" x14ac:dyDescent="0.25">
      <c r="A112" s="101" t="str">
        <f>'Data shares'!C108</f>
        <v>JSWENERGY</v>
      </c>
      <c r="B112" s="144">
        <f>VLOOKUP($A112,'Data shares'!$C:$FA,7)</f>
        <v>541</v>
      </c>
      <c r="C112" s="144">
        <f>VLOOKUP($A112,'Data shares'!$C:$FA,3)</f>
        <v>543.29999999999995</v>
      </c>
      <c r="D112" s="144">
        <f>VLOOKUP($A112,'Data shares'!$C:$FA,23)</f>
        <v>2.2999999999999998</v>
      </c>
      <c r="E112" s="145">
        <f>VLOOKUP($A112,'Data shares'!$C:$FA,26)*100</f>
        <v>0.43</v>
      </c>
      <c r="F112" s="144">
        <f>VLOOKUP($A112,'Data shares'!$C:$FA,24)</f>
        <v>3.5</v>
      </c>
      <c r="G112" s="144">
        <f>VLOOKUP($A112,'Data shares'!$C:$FA,25)</f>
        <v>-1.2</v>
      </c>
    </row>
    <row r="113" spans="1:7" x14ac:dyDescent="0.25">
      <c r="A113" s="101" t="str">
        <f>'Data shares'!C109</f>
        <v>JSWSTEEL</v>
      </c>
      <c r="B113" s="144">
        <f>VLOOKUP($A113,'Data shares'!$C:$FA,7)</f>
        <v>1159.9000000000001</v>
      </c>
      <c r="C113" s="144">
        <f>VLOOKUP($A113,'Data shares'!$C:$FA,3)</f>
        <v>1167.5</v>
      </c>
      <c r="D113" s="144">
        <f>VLOOKUP($A113,'Data shares'!$C:$FA,23)</f>
        <v>7.6</v>
      </c>
      <c r="E113" s="145">
        <f>VLOOKUP($A113,'Data shares'!$C:$FA,26)*100</f>
        <v>0.66</v>
      </c>
      <c r="F113" s="144">
        <f>VLOOKUP($A113,'Data shares'!$C:$FA,24)</f>
        <v>7.6</v>
      </c>
      <c r="G113" s="144">
        <f>VLOOKUP($A113,'Data shares'!$C:$FA,25)</f>
        <v>0</v>
      </c>
    </row>
    <row r="114" spans="1:7" x14ac:dyDescent="0.25">
      <c r="A114" s="101" t="str">
        <f>'Data shares'!C110</f>
        <v>JUBLFOOD</v>
      </c>
      <c r="B114" s="144">
        <f>VLOOKUP($A114,'Data shares'!$C:$FA,7)</f>
        <v>623.35</v>
      </c>
      <c r="C114" s="144">
        <f>VLOOKUP($A114,'Data shares'!$C:$FA,3)</f>
        <v>626.70000000000005</v>
      </c>
      <c r="D114" s="144">
        <f>VLOOKUP($A114,'Data shares'!$C:$FA,23)</f>
        <v>3.35</v>
      </c>
      <c r="E114" s="145">
        <f>VLOOKUP($A114,'Data shares'!$C:$FA,26)*100</f>
        <v>0.54</v>
      </c>
      <c r="F114" s="144">
        <f>VLOOKUP($A114,'Data shares'!$C:$FA,24)</f>
        <v>3.5</v>
      </c>
      <c r="G114" s="144">
        <f>VLOOKUP($A114,'Data shares'!$C:$FA,25)</f>
        <v>-0.15</v>
      </c>
    </row>
    <row r="115" spans="1:7" x14ac:dyDescent="0.25">
      <c r="A115" s="101" t="str">
        <f>'Data shares'!C111</f>
        <v>KALYANKJIL</v>
      </c>
      <c r="B115" s="144">
        <f>VLOOKUP($A115,'Data shares'!$C:$FA,7)</f>
        <v>485.35</v>
      </c>
      <c r="C115" s="144">
        <f>VLOOKUP($A115,'Data shares'!$C:$FA,3)</f>
        <v>487.1</v>
      </c>
      <c r="D115" s="144">
        <f>VLOOKUP($A115,'Data shares'!$C:$FA,23)</f>
        <v>1.75</v>
      </c>
      <c r="E115" s="145">
        <f>VLOOKUP($A115,'Data shares'!$C:$FA,26)*100</f>
        <v>0.36</v>
      </c>
      <c r="F115" s="144">
        <f>VLOOKUP($A115,'Data shares'!$C:$FA,24)</f>
        <v>1.4</v>
      </c>
      <c r="G115" s="144">
        <f>VLOOKUP($A115,'Data shares'!$C:$FA,25)</f>
        <v>0.35</v>
      </c>
    </row>
    <row r="116" spans="1:7" x14ac:dyDescent="0.25">
      <c r="A116" s="101" t="str">
        <f>'Data shares'!C112</f>
        <v>KAYNES</v>
      </c>
      <c r="B116" s="144">
        <f>VLOOKUP($A116,'Data shares'!$C:$FA,7)</f>
        <v>7466.5</v>
      </c>
      <c r="C116" s="144">
        <f>VLOOKUP($A116,'Data shares'!$C:$FA,3)</f>
        <v>7487</v>
      </c>
      <c r="D116" s="144">
        <f>VLOOKUP($A116,'Data shares'!$C:$FA,23)</f>
        <v>20.5</v>
      </c>
      <c r="E116" s="145">
        <f>VLOOKUP($A116,'Data shares'!$C:$FA,26)*100</f>
        <v>0.27</v>
      </c>
      <c r="F116" s="144">
        <f>VLOOKUP($A116,'Data shares'!$C:$FA,24)</f>
        <v>27.5</v>
      </c>
      <c r="G116" s="144">
        <f>VLOOKUP($A116,'Data shares'!$C:$FA,25)</f>
        <v>-7</v>
      </c>
    </row>
    <row r="117" spans="1:7" x14ac:dyDescent="0.25">
      <c r="A117" s="101" t="str">
        <f>'Data shares'!C113</f>
        <v>KEI</v>
      </c>
      <c r="B117" s="144">
        <f>VLOOKUP($A117,'Data shares'!$C:$FA,7)</f>
        <v>4131.7</v>
      </c>
      <c r="C117" s="144">
        <f>VLOOKUP($A117,'Data shares'!$C:$FA,3)</f>
        <v>4154.7</v>
      </c>
      <c r="D117" s="144">
        <f>VLOOKUP($A117,'Data shares'!$C:$FA,23)</f>
        <v>23</v>
      </c>
      <c r="E117" s="145">
        <f>VLOOKUP($A117,'Data shares'!$C:$FA,26)*100</f>
        <v>0.55999999999999994</v>
      </c>
      <c r="F117" s="144">
        <f>VLOOKUP($A117,'Data shares'!$C:$FA,24)</f>
        <v>33.299999999999997</v>
      </c>
      <c r="G117" s="144">
        <f>VLOOKUP($A117,'Data shares'!$C:$FA,25)</f>
        <v>-10.3</v>
      </c>
    </row>
    <row r="118" spans="1:7" x14ac:dyDescent="0.25">
      <c r="A118" s="101" t="str">
        <f>'Data shares'!C114</f>
        <v>KFINTECH</v>
      </c>
      <c r="B118" s="144">
        <f>VLOOKUP($A118,'Data shares'!$C:$FA,7)</f>
        <v>1062.5</v>
      </c>
      <c r="C118" s="144">
        <f>VLOOKUP($A118,'Data shares'!$C:$FA,3)</f>
        <v>1068</v>
      </c>
      <c r="D118" s="144">
        <f>VLOOKUP($A118,'Data shares'!$C:$FA,23)</f>
        <v>5.5</v>
      </c>
      <c r="E118" s="145">
        <f>VLOOKUP($A118,'Data shares'!$C:$FA,26)*100</f>
        <v>0.52</v>
      </c>
      <c r="F118" s="144">
        <f>VLOOKUP($A118,'Data shares'!$C:$FA,24)</f>
        <v>3.3</v>
      </c>
      <c r="G118" s="144">
        <f>VLOOKUP($A118,'Data shares'!$C:$FA,25)</f>
        <v>2.2000000000000002</v>
      </c>
    </row>
    <row r="119" spans="1:7" x14ac:dyDescent="0.25">
      <c r="A119" s="101" t="str">
        <f>'Data shares'!C115</f>
        <v>KOTAKBANK</v>
      </c>
      <c r="B119" s="144">
        <f>VLOOKUP($A119,'Data shares'!$C:$FA,7)</f>
        <v>2146</v>
      </c>
      <c r="C119" s="144">
        <f>VLOOKUP($A119,'Data shares'!$C:$FA,3)</f>
        <v>2152.9</v>
      </c>
      <c r="D119" s="144">
        <f>VLOOKUP($A119,'Data shares'!$C:$FA,23)</f>
        <v>6.9</v>
      </c>
      <c r="E119" s="145">
        <f>VLOOKUP($A119,'Data shares'!$C:$FA,26)*100</f>
        <v>0.32</v>
      </c>
      <c r="F119" s="144">
        <f>VLOOKUP($A119,'Data shares'!$C:$FA,24)</f>
        <v>8.3000000000000007</v>
      </c>
      <c r="G119" s="144">
        <f>VLOOKUP($A119,'Data shares'!$C:$FA,25)</f>
        <v>-1.4</v>
      </c>
    </row>
    <row r="120" spans="1:7" x14ac:dyDescent="0.25">
      <c r="A120" s="101" t="str">
        <f>'Data shares'!C116</f>
        <v>KPITTECH</v>
      </c>
      <c r="B120" s="144">
        <f>VLOOKUP($A120,'Data shares'!$C:$FA,7)</f>
        <v>1156.7</v>
      </c>
      <c r="C120" s="144">
        <f>VLOOKUP($A120,'Data shares'!$C:$FA,3)</f>
        <v>1157</v>
      </c>
      <c r="D120" s="144">
        <f>VLOOKUP($A120,'Data shares'!$C:$FA,23)</f>
        <v>0.3</v>
      </c>
      <c r="E120" s="145">
        <f>VLOOKUP($A120,'Data shares'!$C:$FA,26)*100</f>
        <v>0.03</v>
      </c>
      <c r="F120" s="144">
        <f>VLOOKUP($A120,'Data shares'!$C:$FA,24)</f>
        <v>-5.7</v>
      </c>
      <c r="G120" s="144">
        <f>VLOOKUP($A120,'Data shares'!$C:$FA,25)</f>
        <v>6</v>
      </c>
    </row>
    <row r="121" spans="1:7" x14ac:dyDescent="0.25">
      <c r="A121" s="101" t="str">
        <f>'Data shares'!C117</f>
        <v>LAURUSLABS</v>
      </c>
      <c r="B121" s="144">
        <f>VLOOKUP($A121,'Data shares'!$C:$FA,7)</f>
        <v>863</v>
      </c>
      <c r="C121" s="144">
        <f>VLOOKUP($A121,'Data shares'!$C:$FA,3)</f>
        <v>868.35</v>
      </c>
      <c r="D121" s="144">
        <f>VLOOKUP($A121,'Data shares'!$C:$FA,23)</f>
        <v>5.35</v>
      </c>
      <c r="E121" s="145">
        <f>VLOOKUP($A121,'Data shares'!$C:$FA,26)*100</f>
        <v>0.62</v>
      </c>
      <c r="F121" s="144">
        <f>VLOOKUP($A121,'Data shares'!$C:$FA,24)</f>
        <v>8.35</v>
      </c>
      <c r="G121" s="144">
        <f>VLOOKUP($A121,'Data shares'!$C:$FA,25)</f>
        <v>-3</v>
      </c>
    </row>
    <row r="122" spans="1:7" x14ac:dyDescent="0.25">
      <c r="A122" s="101" t="str">
        <f>'Data shares'!C118</f>
        <v>LICHSGFIN</v>
      </c>
      <c r="B122" s="144">
        <f>VLOOKUP($A122,'Data shares'!$C:$FA,7)</f>
        <v>576.85</v>
      </c>
      <c r="C122" s="144">
        <f>VLOOKUP($A122,'Data shares'!$C:$FA,3)</f>
        <v>580.20000000000005</v>
      </c>
      <c r="D122" s="144">
        <f>VLOOKUP($A122,'Data shares'!$C:$FA,23)</f>
        <v>3.35</v>
      </c>
      <c r="E122" s="145">
        <f>VLOOKUP($A122,'Data shares'!$C:$FA,26)*100</f>
        <v>0.57999999999999996</v>
      </c>
      <c r="F122" s="144">
        <f>VLOOKUP($A122,'Data shares'!$C:$FA,24)</f>
        <v>4.0999999999999996</v>
      </c>
      <c r="G122" s="144">
        <f>VLOOKUP($A122,'Data shares'!$C:$FA,25)</f>
        <v>-0.75</v>
      </c>
    </row>
    <row r="123" spans="1:7" x14ac:dyDescent="0.25">
      <c r="A123" s="101" t="str">
        <f>'Data shares'!C119</f>
        <v>LICI</v>
      </c>
      <c r="B123" s="144">
        <f>VLOOKUP($A123,'Data shares'!$C:$FA,7)</f>
        <v>907.15</v>
      </c>
      <c r="C123" s="144">
        <f>VLOOKUP($A123,'Data shares'!$C:$FA,3)</f>
        <v>912.9</v>
      </c>
      <c r="D123" s="144">
        <f>VLOOKUP($A123,'Data shares'!$C:$FA,23)</f>
        <v>5.75</v>
      </c>
      <c r="E123" s="145">
        <f>VLOOKUP($A123,'Data shares'!$C:$FA,26)*100</f>
        <v>0.63</v>
      </c>
      <c r="F123" s="144">
        <f>VLOOKUP($A123,'Data shares'!$C:$FA,24)</f>
        <v>6</v>
      </c>
      <c r="G123" s="144">
        <f>VLOOKUP($A123,'Data shares'!$C:$FA,25)</f>
        <v>-0.25</v>
      </c>
    </row>
    <row r="124" spans="1:7" x14ac:dyDescent="0.25">
      <c r="A124" s="101" t="str">
        <f>'Data shares'!C120</f>
        <v>LODHA</v>
      </c>
      <c r="B124" s="144">
        <f>VLOOKUP($A124,'Data shares'!$C:$FA,7)</f>
        <v>1115.0999999999999</v>
      </c>
      <c r="C124" s="144">
        <f>VLOOKUP($A124,'Data shares'!$C:$FA,3)</f>
        <v>1122.5</v>
      </c>
      <c r="D124" s="144">
        <f>VLOOKUP($A124,'Data shares'!$C:$FA,23)</f>
        <v>7.4</v>
      </c>
      <c r="E124" s="145">
        <f>VLOOKUP($A124,'Data shares'!$C:$FA,26)*100</f>
        <v>0.66</v>
      </c>
      <c r="F124" s="144">
        <f>VLOOKUP($A124,'Data shares'!$C:$FA,24)</f>
        <v>7.4</v>
      </c>
      <c r="G124" s="144">
        <f>VLOOKUP($A124,'Data shares'!$C:$FA,25)</f>
        <v>0</v>
      </c>
    </row>
    <row r="125" spans="1:7" x14ac:dyDescent="0.25">
      <c r="A125" s="101" t="str">
        <f>'Data shares'!C121</f>
        <v>LT</v>
      </c>
      <c r="B125" s="144">
        <f>VLOOKUP($A125,'Data shares'!$C:$FA,7)</f>
        <v>3737</v>
      </c>
      <c r="C125" s="144">
        <f>VLOOKUP($A125,'Data shares'!$C:$FA,3)</f>
        <v>3753.4</v>
      </c>
      <c r="D125" s="144">
        <f>VLOOKUP($A125,'Data shares'!$C:$FA,23)</f>
        <v>16.399999999999999</v>
      </c>
      <c r="E125" s="145">
        <f>VLOOKUP($A125,'Data shares'!$C:$FA,26)*100</f>
        <v>0.44</v>
      </c>
      <c r="F125" s="144">
        <f>VLOOKUP($A125,'Data shares'!$C:$FA,24)</f>
        <v>18</v>
      </c>
      <c r="G125" s="144">
        <f>VLOOKUP($A125,'Data shares'!$C:$FA,25)</f>
        <v>-1.6</v>
      </c>
    </row>
    <row r="126" spans="1:7" x14ac:dyDescent="0.25">
      <c r="A126" s="101" t="str">
        <f>'Data shares'!C122</f>
        <v>LTF</v>
      </c>
      <c r="B126" s="144">
        <f>VLOOKUP($A126,'Data shares'!$C:$FA,7)</f>
        <v>259.87</v>
      </c>
      <c r="C126" s="144">
        <f>VLOOKUP($A126,'Data shares'!$C:$FA,3)</f>
        <v>261.11</v>
      </c>
      <c r="D126" s="144">
        <f>VLOOKUP($A126,'Data shares'!$C:$FA,23)</f>
        <v>1.24</v>
      </c>
      <c r="E126" s="145">
        <f>VLOOKUP($A126,'Data shares'!$C:$FA,26)*100</f>
        <v>0.48</v>
      </c>
      <c r="F126" s="144">
        <f>VLOOKUP($A126,'Data shares'!$C:$FA,24)</f>
        <v>1.03</v>
      </c>
      <c r="G126" s="144">
        <f>VLOOKUP($A126,'Data shares'!$C:$FA,25)</f>
        <v>0.21</v>
      </c>
    </row>
    <row r="127" spans="1:7" x14ac:dyDescent="0.25">
      <c r="A127" s="101" t="str">
        <f>'Data shares'!C123</f>
        <v>LTIM</v>
      </c>
      <c r="B127" s="144">
        <f>VLOOKUP($A127,'Data shares'!$C:$FA,7)</f>
        <v>5274</v>
      </c>
      <c r="C127" s="144">
        <f>VLOOKUP($A127,'Data shares'!$C:$FA,3)</f>
        <v>5264.5</v>
      </c>
      <c r="D127" s="144">
        <f>VLOOKUP($A127,'Data shares'!$C:$FA,23)</f>
        <v>-9.5</v>
      </c>
      <c r="E127" s="145">
        <f>VLOOKUP($A127,'Data shares'!$C:$FA,26)*100</f>
        <v>-0.18</v>
      </c>
      <c r="F127" s="144">
        <f>VLOOKUP($A127,'Data shares'!$C:$FA,24)</f>
        <v>-3.5</v>
      </c>
      <c r="G127" s="144">
        <f>VLOOKUP($A127,'Data shares'!$C:$FA,25)</f>
        <v>-6</v>
      </c>
    </row>
    <row r="128" spans="1:7" x14ac:dyDescent="0.25">
      <c r="A128" s="101" t="str">
        <f>'Data shares'!C124</f>
        <v>LUPIN</v>
      </c>
      <c r="B128" s="144">
        <f>VLOOKUP($A128,'Data shares'!$C:$FA,7)</f>
        <v>1937.3</v>
      </c>
      <c r="C128" s="144">
        <f>VLOOKUP($A128,'Data shares'!$C:$FA,3)</f>
        <v>1949</v>
      </c>
      <c r="D128" s="144">
        <f>VLOOKUP($A128,'Data shares'!$C:$FA,23)</f>
        <v>11.7</v>
      </c>
      <c r="E128" s="145">
        <f>VLOOKUP($A128,'Data shares'!$C:$FA,26)*100</f>
        <v>0.6</v>
      </c>
      <c r="F128" s="144">
        <f>VLOOKUP($A128,'Data shares'!$C:$FA,24)</f>
        <v>12.7</v>
      </c>
      <c r="G128" s="144">
        <f>VLOOKUP($A128,'Data shares'!$C:$FA,25)</f>
        <v>-1</v>
      </c>
    </row>
    <row r="129" spans="1:7" x14ac:dyDescent="0.25">
      <c r="A129" s="101" t="str">
        <f>'Data shares'!C125</f>
        <v>M&amp;M</v>
      </c>
      <c r="B129" s="144">
        <f>VLOOKUP($A129,'Data shares'!$C:$FA,7)</f>
        <v>3472</v>
      </c>
      <c r="C129" s="144">
        <f>VLOOKUP($A129,'Data shares'!$C:$FA,3)</f>
        <v>3492.2</v>
      </c>
      <c r="D129" s="144">
        <f>VLOOKUP($A129,'Data shares'!$C:$FA,23)</f>
        <v>20.2</v>
      </c>
      <c r="E129" s="145">
        <f>VLOOKUP($A129,'Data shares'!$C:$FA,26)*100</f>
        <v>0.57999999999999996</v>
      </c>
      <c r="F129" s="144">
        <f>VLOOKUP($A129,'Data shares'!$C:$FA,24)</f>
        <v>12.3</v>
      </c>
      <c r="G129" s="144">
        <f>VLOOKUP($A129,'Data shares'!$C:$FA,25)</f>
        <v>7.9</v>
      </c>
    </row>
    <row r="130" spans="1:7" x14ac:dyDescent="0.25">
      <c r="A130" s="101" t="str">
        <f>'Data shares'!C126</f>
        <v>MANAPPURAM</v>
      </c>
      <c r="B130" s="144">
        <f>VLOOKUP($A130,'Data shares'!$C:$FA,7)</f>
        <v>290.75</v>
      </c>
      <c r="C130" s="144">
        <f>VLOOKUP($A130,'Data shares'!$C:$FA,3)</f>
        <v>292.5</v>
      </c>
      <c r="D130" s="144">
        <f>VLOOKUP($A130,'Data shares'!$C:$FA,23)</f>
        <v>1.75</v>
      </c>
      <c r="E130" s="145">
        <f>VLOOKUP($A130,'Data shares'!$C:$FA,26)*100</f>
        <v>0.6</v>
      </c>
      <c r="F130" s="144">
        <f>VLOOKUP($A130,'Data shares'!$C:$FA,24)</f>
        <v>1.25</v>
      </c>
      <c r="G130" s="144">
        <f>VLOOKUP($A130,'Data shares'!$C:$FA,25)</f>
        <v>0.5</v>
      </c>
    </row>
    <row r="131" spans="1:7" x14ac:dyDescent="0.25">
      <c r="A131" s="101" t="str">
        <f>'Data shares'!C127</f>
        <v>MANKIND</v>
      </c>
      <c r="B131" s="144">
        <f>VLOOKUP($A131,'Data shares'!$C:$FA,7)</f>
        <v>2456.3000000000002</v>
      </c>
      <c r="C131" s="144">
        <f>VLOOKUP($A131,'Data shares'!$C:$FA,3)</f>
        <v>2468.9</v>
      </c>
      <c r="D131" s="144">
        <f>VLOOKUP($A131,'Data shares'!$C:$FA,23)</f>
        <v>12.6</v>
      </c>
      <c r="E131" s="145">
        <f>VLOOKUP($A131,'Data shares'!$C:$FA,26)*100</f>
        <v>0.51</v>
      </c>
      <c r="F131" s="144">
        <f>VLOOKUP($A131,'Data shares'!$C:$FA,24)</f>
        <v>8</v>
      </c>
      <c r="G131" s="144">
        <f>VLOOKUP($A131,'Data shares'!$C:$FA,25)</f>
        <v>4.5999999999999996</v>
      </c>
    </row>
    <row r="132" spans="1:7" x14ac:dyDescent="0.25">
      <c r="A132" s="101" t="str">
        <f>'Data shares'!C128</f>
        <v>MARICO</v>
      </c>
      <c r="B132" s="144">
        <f>VLOOKUP($A132,'Data shares'!$C:$FA,7)</f>
        <v>715.55</v>
      </c>
      <c r="C132" s="144">
        <f>VLOOKUP($A132,'Data shares'!$C:$FA,3)</f>
        <v>719.3</v>
      </c>
      <c r="D132" s="144">
        <f>VLOOKUP($A132,'Data shares'!$C:$FA,23)</f>
        <v>3.75</v>
      </c>
      <c r="E132" s="145">
        <f>VLOOKUP($A132,'Data shares'!$C:$FA,26)*100</f>
        <v>0.52</v>
      </c>
      <c r="F132" s="144">
        <f>VLOOKUP($A132,'Data shares'!$C:$FA,24)</f>
        <v>2.7</v>
      </c>
      <c r="G132" s="144">
        <f>VLOOKUP($A132,'Data shares'!$C:$FA,25)</f>
        <v>1.05</v>
      </c>
    </row>
    <row r="133" spans="1:7" x14ac:dyDescent="0.25">
      <c r="A133" s="101" t="str">
        <f>'Data shares'!C129</f>
        <v>MARUTI</v>
      </c>
      <c r="B133" s="144">
        <f>VLOOKUP($A133,'Data shares'!$C:$FA,7)</f>
        <v>15998</v>
      </c>
      <c r="C133" s="144">
        <f>VLOOKUP($A133,'Data shares'!$C:$FA,3)</f>
        <v>16063</v>
      </c>
      <c r="D133" s="144">
        <f>VLOOKUP($A133,'Data shares'!$C:$FA,23)</f>
        <v>65</v>
      </c>
      <c r="E133" s="145">
        <f>VLOOKUP($A133,'Data shares'!$C:$FA,26)*100</f>
        <v>0.41000000000000003</v>
      </c>
      <c r="F133" s="144">
        <f>VLOOKUP($A133,'Data shares'!$C:$FA,24)</f>
        <v>98</v>
      </c>
      <c r="G133" s="144">
        <f>VLOOKUP($A133,'Data shares'!$C:$FA,25)</f>
        <v>-33</v>
      </c>
    </row>
    <row r="134" spans="1:7" x14ac:dyDescent="0.25">
      <c r="A134" s="101" t="str">
        <f>'Data shares'!C130</f>
        <v>MAXHEALTH</v>
      </c>
      <c r="B134" s="144">
        <f>VLOOKUP($A134,'Data shares'!$C:$FA,7)</f>
        <v>1139.7</v>
      </c>
      <c r="C134" s="144">
        <f>VLOOKUP($A134,'Data shares'!$C:$FA,3)</f>
        <v>1143.2</v>
      </c>
      <c r="D134" s="144">
        <f>VLOOKUP($A134,'Data shares'!$C:$FA,23)</f>
        <v>3.5</v>
      </c>
      <c r="E134" s="145">
        <f>VLOOKUP($A134,'Data shares'!$C:$FA,26)*100</f>
        <v>0.31</v>
      </c>
      <c r="F134" s="144">
        <f>VLOOKUP($A134,'Data shares'!$C:$FA,24)</f>
        <v>4.3</v>
      </c>
      <c r="G134" s="144">
        <f>VLOOKUP($A134,'Data shares'!$C:$FA,25)</f>
        <v>-0.8</v>
      </c>
    </row>
    <row r="135" spans="1:7" x14ac:dyDescent="0.25">
      <c r="A135" s="101" t="str">
        <f>'Data shares'!C131</f>
        <v>MAZDOCK</v>
      </c>
      <c r="B135" s="144">
        <f>VLOOKUP($A135,'Data shares'!$C:$FA,7)</f>
        <v>2888</v>
      </c>
      <c r="C135" s="144">
        <f>VLOOKUP($A135,'Data shares'!$C:$FA,3)</f>
        <v>2904.7</v>
      </c>
      <c r="D135" s="144">
        <f>VLOOKUP($A135,'Data shares'!$C:$FA,23)</f>
        <v>16.7</v>
      </c>
      <c r="E135" s="145">
        <f>VLOOKUP($A135,'Data shares'!$C:$FA,26)*100</f>
        <v>0.57999999999999996</v>
      </c>
      <c r="F135" s="144">
        <f>VLOOKUP($A135,'Data shares'!$C:$FA,24)</f>
        <v>19.2</v>
      </c>
      <c r="G135" s="144">
        <f>VLOOKUP($A135,'Data shares'!$C:$FA,25)</f>
        <v>-2.5</v>
      </c>
    </row>
    <row r="136" spans="1:7" x14ac:dyDescent="0.25">
      <c r="A136" s="101" t="str">
        <f>'Data shares'!C132</f>
        <v>MCX</v>
      </c>
      <c r="B136" s="144">
        <f>VLOOKUP($A136,'Data shares'!$C:$FA,7)</f>
        <v>8192</v>
      </c>
      <c r="C136" s="144">
        <f>VLOOKUP($A136,'Data shares'!$C:$FA,3)</f>
        <v>8245</v>
      </c>
      <c r="D136" s="144">
        <f>VLOOKUP($A136,'Data shares'!$C:$FA,23)</f>
        <v>53</v>
      </c>
      <c r="E136" s="145">
        <f>VLOOKUP($A136,'Data shares'!$C:$FA,26)*100</f>
        <v>0.65</v>
      </c>
      <c r="F136" s="144">
        <f>VLOOKUP($A136,'Data shares'!$C:$FA,24)</f>
        <v>57.5</v>
      </c>
      <c r="G136" s="144">
        <f>VLOOKUP($A136,'Data shares'!$C:$FA,25)</f>
        <v>-4.5</v>
      </c>
    </row>
    <row r="137" spans="1:7" x14ac:dyDescent="0.25">
      <c r="A137" s="101" t="str">
        <f>'Data shares'!C133</f>
        <v>MFSL</v>
      </c>
      <c r="B137" s="144">
        <f>VLOOKUP($A137,'Data shares'!$C:$FA,7)</f>
        <v>1605.4</v>
      </c>
      <c r="C137" s="144">
        <f>VLOOKUP($A137,'Data shares'!$C:$FA,3)</f>
        <v>1613.1</v>
      </c>
      <c r="D137" s="144">
        <f>VLOOKUP($A137,'Data shares'!$C:$FA,23)</f>
        <v>7.7</v>
      </c>
      <c r="E137" s="145">
        <f>VLOOKUP($A137,'Data shares'!$C:$FA,26)*100</f>
        <v>0.48</v>
      </c>
      <c r="F137" s="144">
        <f>VLOOKUP($A137,'Data shares'!$C:$FA,24)</f>
        <v>11</v>
      </c>
      <c r="G137" s="144">
        <f>VLOOKUP($A137,'Data shares'!$C:$FA,25)</f>
        <v>-3.3</v>
      </c>
    </row>
    <row r="138" spans="1:7" x14ac:dyDescent="0.25">
      <c r="A138" s="101" t="str">
        <f>'Data shares'!C134</f>
        <v>MIDCPNIFTY</v>
      </c>
      <c r="B138" s="144">
        <f>VLOOKUP($A138,'Data shares'!$C:$FA,7)</f>
        <v>12944.95</v>
      </c>
      <c r="C138" s="144">
        <f>VLOOKUP($A138,'Data shares'!$C:$FA,3)</f>
        <v>13014.4</v>
      </c>
      <c r="D138" s="144">
        <f>VLOOKUP($A138,'Data shares'!$C:$FA,23)</f>
        <v>69.45</v>
      </c>
      <c r="E138" s="145">
        <f>VLOOKUP($A138,'Data shares'!$C:$FA,26)*100</f>
        <v>0.54</v>
      </c>
      <c r="F138" s="144">
        <f>VLOOKUP($A138,'Data shares'!$C:$FA,24)</f>
        <v>71.55</v>
      </c>
      <c r="G138" s="144">
        <f>VLOOKUP($A138,'Data shares'!$C:$FA,25)</f>
        <v>-2.1</v>
      </c>
    </row>
    <row r="139" spans="1:7" x14ac:dyDescent="0.25">
      <c r="A139" s="101" t="str">
        <f>'Data shares'!C135</f>
        <v>MOTHERSON</v>
      </c>
      <c r="B139" s="144">
        <f>VLOOKUP($A139,'Data shares'!$C:$FA,7)</f>
        <v>106.22</v>
      </c>
      <c r="C139" s="144">
        <f>VLOOKUP($A139,'Data shares'!$C:$FA,3)</f>
        <v>106.85</v>
      </c>
      <c r="D139" s="144">
        <f>VLOOKUP($A139,'Data shares'!$C:$FA,23)</f>
        <v>0.63</v>
      </c>
      <c r="E139" s="145">
        <f>VLOOKUP($A139,'Data shares'!$C:$FA,26)*100</f>
        <v>0.59</v>
      </c>
      <c r="F139" s="144">
        <f>VLOOKUP($A139,'Data shares'!$C:$FA,24)</f>
        <v>0.38</v>
      </c>
      <c r="G139" s="144">
        <f>VLOOKUP($A139,'Data shares'!$C:$FA,25)</f>
        <v>0.25</v>
      </c>
    </row>
    <row r="140" spans="1:7" x14ac:dyDescent="0.25">
      <c r="A140" s="101" t="str">
        <f>'Data shares'!C136</f>
        <v>MPHASIS</v>
      </c>
      <c r="B140" s="144">
        <f>VLOOKUP($A140,'Data shares'!$C:$FA,7)</f>
        <v>2792.3</v>
      </c>
      <c r="C140" s="144">
        <f>VLOOKUP($A140,'Data shares'!$C:$FA,3)</f>
        <v>2802.9</v>
      </c>
      <c r="D140" s="144">
        <f>VLOOKUP($A140,'Data shares'!$C:$FA,23)</f>
        <v>10.6</v>
      </c>
      <c r="E140" s="145">
        <f>VLOOKUP($A140,'Data shares'!$C:$FA,26)*100</f>
        <v>0.38</v>
      </c>
      <c r="F140" s="144">
        <f>VLOOKUP($A140,'Data shares'!$C:$FA,24)</f>
        <v>5.9</v>
      </c>
      <c r="G140" s="144">
        <f>VLOOKUP($A140,'Data shares'!$C:$FA,25)</f>
        <v>4.7</v>
      </c>
    </row>
    <row r="141" spans="1:7" x14ac:dyDescent="0.25">
      <c r="A141" s="101" t="str">
        <f>'Data shares'!C137</f>
        <v>MUTHOOTFIN</v>
      </c>
      <c r="B141" s="144">
        <f>VLOOKUP($A141,'Data shares'!$C:$FA,7)</f>
        <v>3227.7</v>
      </c>
      <c r="C141" s="144">
        <f>VLOOKUP($A141,'Data shares'!$C:$FA,3)</f>
        <v>3232</v>
      </c>
      <c r="D141" s="144">
        <f>VLOOKUP($A141,'Data shares'!$C:$FA,23)</f>
        <v>4.3</v>
      </c>
      <c r="E141" s="145">
        <f>VLOOKUP($A141,'Data shares'!$C:$FA,26)*100</f>
        <v>0.13</v>
      </c>
      <c r="F141" s="144">
        <f>VLOOKUP($A141,'Data shares'!$C:$FA,24)</f>
        <v>8</v>
      </c>
      <c r="G141" s="144">
        <f>VLOOKUP($A141,'Data shares'!$C:$FA,25)</f>
        <v>-3.7</v>
      </c>
    </row>
    <row r="142" spans="1:7" x14ac:dyDescent="0.25">
      <c r="A142" s="101" t="str">
        <f>'Data shares'!C138</f>
        <v>NATIONALUM</v>
      </c>
      <c r="B142" s="144">
        <f>VLOOKUP($A142,'Data shares'!$C:$FA,7)</f>
        <v>217.15</v>
      </c>
      <c r="C142" s="144">
        <f>VLOOKUP($A142,'Data shares'!$C:$FA,3)</f>
        <v>218.16</v>
      </c>
      <c r="D142" s="144">
        <f>VLOOKUP($A142,'Data shares'!$C:$FA,23)</f>
        <v>1.01</v>
      </c>
      <c r="E142" s="145">
        <f>VLOOKUP($A142,'Data shares'!$C:$FA,26)*100</f>
        <v>0.47000000000000003</v>
      </c>
      <c r="F142" s="144">
        <f>VLOOKUP($A142,'Data shares'!$C:$FA,24)</f>
        <v>1.06</v>
      </c>
      <c r="G142" s="144">
        <f>VLOOKUP($A142,'Data shares'!$C:$FA,25)</f>
        <v>-0.05</v>
      </c>
    </row>
    <row r="143" spans="1:7" x14ac:dyDescent="0.25">
      <c r="A143" s="101" t="str">
        <f>'Data shares'!C139</f>
        <v>NAUKRI</v>
      </c>
      <c r="B143" s="144">
        <f>VLOOKUP($A143,'Data shares'!$C:$FA,7)</f>
        <v>1379.9</v>
      </c>
      <c r="C143" s="144">
        <f>VLOOKUP($A143,'Data shares'!$C:$FA,3)</f>
        <v>1384.9</v>
      </c>
      <c r="D143" s="144">
        <f>VLOOKUP($A143,'Data shares'!$C:$FA,23)</f>
        <v>5</v>
      </c>
      <c r="E143" s="145">
        <f>VLOOKUP($A143,'Data shares'!$C:$FA,26)*100</f>
        <v>0.36</v>
      </c>
      <c r="F143" s="144">
        <f>VLOOKUP($A143,'Data shares'!$C:$FA,24)</f>
        <v>5.4</v>
      </c>
      <c r="G143" s="144">
        <f>VLOOKUP($A143,'Data shares'!$C:$FA,25)</f>
        <v>-0.4</v>
      </c>
    </row>
    <row r="144" spans="1:7" x14ac:dyDescent="0.25">
      <c r="A144" s="101" t="str">
        <f>'Data shares'!C140</f>
        <v>NBCC</v>
      </c>
      <c r="B144" s="144">
        <f>VLOOKUP($A144,'Data shares'!$C:$FA,7)</f>
        <v>111.34</v>
      </c>
      <c r="C144" s="144">
        <f>VLOOKUP($A144,'Data shares'!$C:$FA,3)</f>
        <v>111.97</v>
      </c>
      <c r="D144" s="144">
        <f>VLOOKUP($A144,'Data shares'!$C:$FA,23)</f>
        <v>0.63</v>
      </c>
      <c r="E144" s="145">
        <f>VLOOKUP($A144,'Data shares'!$C:$FA,26)*100</f>
        <v>0.57000000000000006</v>
      </c>
      <c r="F144" s="144">
        <f>VLOOKUP($A144,'Data shares'!$C:$FA,24)</f>
        <v>0.5</v>
      </c>
      <c r="G144" s="144">
        <f>VLOOKUP($A144,'Data shares'!$C:$FA,25)</f>
        <v>0.13</v>
      </c>
    </row>
    <row r="145" spans="1:7" x14ac:dyDescent="0.25">
      <c r="A145" s="101" t="str">
        <f>'Data shares'!C141</f>
        <v>NCC</v>
      </c>
      <c r="B145" s="144">
        <f>VLOOKUP($A145,'Data shares'!$C:$FA,7)</f>
        <v>210.42</v>
      </c>
      <c r="C145" s="144">
        <f>VLOOKUP($A145,'Data shares'!$C:$FA,3)</f>
        <v>211.46</v>
      </c>
      <c r="D145" s="144">
        <f>VLOOKUP($A145,'Data shares'!$C:$FA,23)</f>
        <v>1.04</v>
      </c>
      <c r="E145" s="145">
        <f>VLOOKUP($A145,'Data shares'!$C:$FA,26)*100</f>
        <v>0.49</v>
      </c>
      <c r="F145" s="144">
        <f>VLOOKUP($A145,'Data shares'!$C:$FA,24)</f>
        <v>1.35</v>
      </c>
      <c r="G145" s="144">
        <f>VLOOKUP($A145,'Data shares'!$C:$FA,25)</f>
        <v>-0.31</v>
      </c>
    </row>
    <row r="146" spans="1:7" x14ac:dyDescent="0.25">
      <c r="A146" s="101" t="str">
        <f>'Data shares'!C142</f>
        <v>NESTLEIND</v>
      </c>
      <c r="B146" s="144">
        <f>VLOOKUP($A146,'Data shares'!$C:$FA,7)</f>
        <v>1181.7</v>
      </c>
      <c r="C146" s="144">
        <f>VLOOKUP($A146,'Data shares'!$C:$FA,3)</f>
        <v>1185.4000000000001</v>
      </c>
      <c r="D146" s="144">
        <f>VLOOKUP($A146,'Data shares'!$C:$FA,23)</f>
        <v>3.7</v>
      </c>
      <c r="E146" s="145">
        <f>VLOOKUP($A146,'Data shares'!$C:$FA,26)*100</f>
        <v>0.31</v>
      </c>
      <c r="F146" s="144">
        <f>VLOOKUP($A146,'Data shares'!$C:$FA,24)</f>
        <v>4.3</v>
      </c>
      <c r="G146" s="144">
        <f>VLOOKUP($A146,'Data shares'!$C:$FA,25)</f>
        <v>-0.6</v>
      </c>
    </row>
    <row r="147" spans="1:7" x14ac:dyDescent="0.25">
      <c r="A147" s="101" t="str">
        <f>'Data shares'!C143</f>
        <v>NHPC</v>
      </c>
      <c r="B147" s="144">
        <f>VLOOKUP($A147,'Data shares'!$C:$FA,7)</f>
        <v>86.61</v>
      </c>
      <c r="C147" s="144">
        <f>VLOOKUP($A147,'Data shares'!$C:$FA,3)</f>
        <v>87.02</v>
      </c>
      <c r="D147" s="144">
        <f>VLOOKUP($A147,'Data shares'!$C:$FA,23)</f>
        <v>0.41</v>
      </c>
      <c r="E147" s="145">
        <f>VLOOKUP($A147,'Data shares'!$C:$FA,26)*100</f>
        <v>0.47000000000000003</v>
      </c>
      <c r="F147" s="144">
        <f>VLOOKUP($A147,'Data shares'!$C:$FA,24)</f>
        <v>0.55000000000000004</v>
      </c>
      <c r="G147" s="144">
        <f>VLOOKUP($A147,'Data shares'!$C:$FA,25)</f>
        <v>-0.14000000000000001</v>
      </c>
    </row>
    <row r="148" spans="1:7" x14ac:dyDescent="0.25">
      <c r="A148" s="101" t="str">
        <f>'Data shares'!C144</f>
        <v>NIFTY</v>
      </c>
      <c r="B148" s="144">
        <f>VLOOKUP($A148,'Data shares'!$C:$FA,7)</f>
        <v>25077.65</v>
      </c>
      <c r="C148" s="144">
        <f>VLOOKUP($A148,'Data shares'!$C:$FA,3)</f>
        <v>25185.4</v>
      </c>
      <c r="D148" s="144">
        <f>VLOOKUP($A148,'Data shares'!$C:$FA,23)</f>
        <v>107.75</v>
      </c>
      <c r="E148" s="145">
        <f>VLOOKUP($A148,'Data shares'!$C:$FA,26)*100</f>
        <v>0.43</v>
      </c>
      <c r="F148" s="144">
        <f>VLOOKUP($A148,'Data shares'!$C:$FA,24)</f>
        <v>112.35</v>
      </c>
      <c r="G148" s="144">
        <f>VLOOKUP($A148,'Data shares'!$C:$FA,25)</f>
        <v>-4.5999999999999996</v>
      </c>
    </row>
    <row r="149" spans="1:7" x14ac:dyDescent="0.25">
      <c r="A149" s="101" t="str">
        <f>'Data shares'!C145</f>
        <v>NIFTYNXT50</v>
      </c>
      <c r="B149" s="144">
        <f>VLOOKUP($A149,'Data shares'!$C:$FA,7)</f>
        <v>68590.25</v>
      </c>
      <c r="C149" s="144">
        <f>VLOOKUP($A149,'Data shares'!$C:$FA,3)</f>
        <v>68947.8</v>
      </c>
      <c r="D149" s="144">
        <f>VLOOKUP($A149,'Data shares'!$C:$FA,23)</f>
        <v>357.55</v>
      </c>
      <c r="E149" s="145">
        <f>VLOOKUP($A149,'Data shares'!$C:$FA,26)*100</f>
        <v>0.52</v>
      </c>
      <c r="F149" s="144">
        <f>VLOOKUP($A149,'Data shares'!$C:$FA,24)</f>
        <v>369.3</v>
      </c>
      <c r="G149" s="144">
        <f>VLOOKUP($A149,'Data shares'!$C:$FA,25)</f>
        <v>-11.75</v>
      </c>
    </row>
    <row r="150" spans="1:7" x14ac:dyDescent="0.25">
      <c r="A150" s="101" t="str">
        <f>'Data shares'!C146</f>
        <v>NMDC</v>
      </c>
      <c r="B150" s="144">
        <f>VLOOKUP($A150,'Data shares'!$C:$FA,7)</f>
        <v>76.06</v>
      </c>
      <c r="C150" s="144">
        <f>VLOOKUP($A150,'Data shares'!$C:$FA,3)</f>
        <v>76.540000000000006</v>
      </c>
      <c r="D150" s="144">
        <f>VLOOKUP($A150,'Data shares'!$C:$FA,23)</f>
        <v>0.48</v>
      </c>
      <c r="E150" s="145">
        <f>VLOOKUP($A150,'Data shares'!$C:$FA,26)*100</f>
        <v>0.63</v>
      </c>
      <c r="F150" s="144">
        <f>VLOOKUP($A150,'Data shares'!$C:$FA,24)</f>
        <v>0.51</v>
      </c>
      <c r="G150" s="144">
        <f>VLOOKUP($A150,'Data shares'!$C:$FA,25)</f>
        <v>-0.03</v>
      </c>
    </row>
    <row r="151" spans="1:7" x14ac:dyDescent="0.25">
      <c r="A151" s="101" t="str">
        <f>'Data shares'!C147</f>
        <v>NTPC</v>
      </c>
      <c r="B151" s="144">
        <f>VLOOKUP($A151,'Data shares'!$C:$FA,7)</f>
        <v>339.1</v>
      </c>
      <c r="C151" s="144">
        <f>VLOOKUP($A151,'Data shares'!$C:$FA,3)</f>
        <v>341.1</v>
      </c>
      <c r="D151" s="144">
        <f>VLOOKUP($A151,'Data shares'!$C:$FA,23)</f>
        <v>2</v>
      </c>
      <c r="E151" s="145">
        <f>VLOOKUP($A151,'Data shares'!$C:$FA,26)*100</f>
        <v>0.59</v>
      </c>
      <c r="F151" s="144">
        <f>VLOOKUP($A151,'Data shares'!$C:$FA,24)</f>
        <v>2.15</v>
      </c>
      <c r="G151" s="144">
        <f>VLOOKUP($A151,'Data shares'!$C:$FA,25)</f>
        <v>-0.15</v>
      </c>
    </row>
    <row r="152" spans="1:7" x14ac:dyDescent="0.25">
      <c r="A152" s="101" t="str">
        <f>'Data shares'!C148</f>
        <v>NUVAMA</v>
      </c>
      <c r="B152" s="144">
        <f>VLOOKUP($A152,'Data shares'!$C:$FA,7)</f>
        <v>6928</v>
      </c>
      <c r="C152" s="144">
        <f>VLOOKUP($A152,'Data shares'!$C:$FA,3)</f>
        <v>6932</v>
      </c>
      <c r="D152" s="144">
        <f>VLOOKUP($A152,'Data shares'!$C:$FA,23)</f>
        <v>4</v>
      </c>
      <c r="E152" s="145">
        <f>VLOOKUP($A152,'Data shares'!$C:$FA,26)*100</f>
        <v>0.06</v>
      </c>
      <c r="F152" s="144">
        <f>VLOOKUP($A152,'Data shares'!$C:$FA,24)</f>
        <v>7</v>
      </c>
      <c r="G152" s="144">
        <f>VLOOKUP($A152,'Data shares'!$C:$FA,25)</f>
        <v>-3</v>
      </c>
    </row>
    <row r="153" spans="1:7" x14ac:dyDescent="0.25">
      <c r="A153" s="101" t="str">
        <f>'Data shares'!C149</f>
        <v>NYKAA</v>
      </c>
      <c r="B153" s="144">
        <f>VLOOKUP($A153,'Data shares'!$C:$FA,7)</f>
        <v>255.34</v>
      </c>
      <c r="C153" s="144">
        <f>VLOOKUP($A153,'Data shares'!$C:$FA,3)</f>
        <v>254.44</v>
      </c>
      <c r="D153" s="144">
        <f>VLOOKUP($A153,'Data shares'!$C:$FA,23)</f>
        <v>-0.9</v>
      </c>
      <c r="E153" s="145">
        <f>VLOOKUP($A153,'Data shares'!$C:$FA,26)*100</f>
        <v>-0.35000000000000003</v>
      </c>
      <c r="F153" s="144">
        <f>VLOOKUP($A153,'Data shares'!$C:$FA,24)</f>
        <v>-0.18</v>
      </c>
      <c r="G153" s="144">
        <f>VLOOKUP($A153,'Data shares'!$C:$FA,25)</f>
        <v>-0.72</v>
      </c>
    </row>
    <row r="154" spans="1:7" x14ac:dyDescent="0.25">
      <c r="A154" s="101" t="str">
        <f>'Data shares'!C150</f>
        <v>OBEROIRLTY</v>
      </c>
      <c r="B154" s="144">
        <f>VLOOKUP($A154,'Data shares'!$C:$FA,7)</f>
        <v>1622.3</v>
      </c>
      <c r="C154" s="144">
        <f>VLOOKUP($A154,'Data shares'!$C:$FA,3)</f>
        <v>1632.2</v>
      </c>
      <c r="D154" s="144">
        <f>VLOOKUP($A154,'Data shares'!$C:$FA,23)</f>
        <v>9.9</v>
      </c>
      <c r="E154" s="145">
        <f>VLOOKUP($A154,'Data shares'!$C:$FA,26)*100</f>
        <v>0.61</v>
      </c>
      <c r="F154" s="144">
        <f>VLOOKUP($A154,'Data shares'!$C:$FA,24)</f>
        <v>10.1</v>
      </c>
      <c r="G154" s="144">
        <f>VLOOKUP($A154,'Data shares'!$C:$FA,25)</f>
        <v>-0.2</v>
      </c>
    </row>
    <row r="155" spans="1:7" x14ac:dyDescent="0.25">
      <c r="A155" s="101" t="str">
        <f>'Data shares'!C151</f>
        <v>OFSS</v>
      </c>
      <c r="B155" s="144">
        <f>VLOOKUP($A155,'Data shares'!$C:$FA,7)</f>
        <v>9093.5</v>
      </c>
      <c r="C155" s="144">
        <f>VLOOKUP($A155,'Data shares'!$C:$FA,3)</f>
        <v>9149</v>
      </c>
      <c r="D155" s="144">
        <f>VLOOKUP($A155,'Data shares'!$C:$FA,23)</f>
        <v>55.5</v>
      </c>
      <c r="E155" s="145">
        <f>VLOOKUP($A155,'Data shares'!$C:$FA,26)*100</f>
        <v>0.61</v>
      </c>
      <c r="F155" s="144">
        <f>VLOOKUP($A155,'Data shares'!$C:$FA,24)</f>
        <v>15.5</v>
      </c>
      <c r="G155" s="144">
        <f>VLOOKUP($A155,'Data shares'!$C:$FA,25)</f>
        <v>40</v>
      </c>
    </row>
    <row r="156" spans="1:7" x14ac:dyDescent="0.25">
      <c r="A156" s="101" t="str">
        <f>'Data shares'!C152</f>
        <v>OIL</v>
      </c>
      <c r="B156" s="144">
        <f>VLOOKUP($A156,'Data shares'!$C:$FA,7)</f>
        <v>419.2</v>
      </c>
      <c r="C156" s="144">
        <f>VLOOKUP($A156,'Data shares'!$C:$FA,3)</f>
        <v>421.15</v>
      </c>
      <c r="D156" s="144">
        <f>VLOOKUP($A156,'Data shares'!$C:$FA,23)</f>
        <v>1.95</v>
      </c>
      <c r="E156" s="145">
        <f>VLOOKUP($A156,'Data shares'!$C:$FA,26)*100</f>
        <v>0.47000000000000003</v>
      </c>
      <c r="F156" s="144">
        <f>VLOOKUP($A156,'Data shares'!$C:$FA,24)</f>
        <v>2.75</v>
      </c>
      <c r="G156" s="144">
        <f>VLOOKUP($A156,'Data shares'!$C:$FA,25)</f>
        <v>-0.8</v>
      </c>
    </row>
    <row r="157" spans="1:7" x14ac:dyDescent="0.25">
      <c r="A157" s="101" t="str">
        <f>'Data shares'!C153</f>
        <v>ONGC</v>
      </c>
      <c r="B157" s="144">
        <f>VLOOKUP($A157,'Data shares'!$C:$FA,7)</f>
        <v>245.86</v>
      </c>
      <c r="C157" s="144">
        <f>VLOOKUP($A157,'Data shares'!$C:$FA,3)</f>
        <v>247.3</v>
      </c>
      <c r="D157" s="144">
        <f>VLOOKUP($A157,'Data shares'!$C:$FA,23)</f>
        <v>1.44</v>
      </c>
      <c r="E157" s="145">
        <f>VLOOKUP($A157,'Data shares'!$C:$FA,26)*100</f>
        <v>0.59</v>
      </c>
      <c r="F157" s="144">
        <f>VLOOKUP($A157,'Data shares'!$C:$FA,24)</f>
        <v>1.57</v>
      </c>
      <c r="G157" s="144">
        <f>VLOOKUP($A157,'Data shares'!$C:$FA,25)</f>
        <v>-0.13</v>
      </c>
    </row>
    <row r="158" spans="1:7" x14ac:dyDescent="0.25">
      <c r="A158" s="101" t="str">
        <f>'Data shares'!C154</f>
        <v>PAGEIND</v>
      </c>
      <c r="B158" s="144">
        <f>VLOOKUP($A158,'Data shares'!$C:$FA,7)</f>
        <v>42195</v>
      </c>
      <c r="C158" s="144">
        <f>VLOOKUP($A158,'Data shares'!$C:$FA,3)</f>
        <v>41810</v>
      </c>
      <c r="D158" s="144">
        <f>VLOOKUP($A158,'Data shares'!$C:$FA,23)</f>
        <v>-385</v>
      </c>
      <c r="E158" s="145">
        <f>VLOOKUP($A158,'Data shares'!$C:$FA,26)*100</f>
        <v>-0.91</v>
      </c>
      <c r="F158" s="144">
        <f>VLOOKUP($A158,'Data shares'!$C:$FA,24)</f>
        <v>-975</v>
      </c>
      <c r="G158" s="144">
        <f>VLOOKUP($A158,'Data shares'!$C:$FA,25)</f>
        <v>590</v>
      </c>
    </row>
    <row r="159" spans="1:7" x14ac:dyDescent="0.25">
      <c r="A159" s="101" t="str">
        <f>'Data shares'!C155</f>
        <v>PATANJALI</v>
      </c>
      <c r="B159" s="144">
        <f>VLOOKUP($A159,'Data shares'!$C:$FA,7)</f>
        <v>597.54999999999995</v>
      </c>
      <c r="C159" s="144">
        <f>VLOOKUP($A159,'Data shares'!$C:$FA,3)</f>
        <v>601.29999999999995</v>
      </c>
      <c r="D159" s="144">
        <f>VLOOKUP($A159,'Data shares'!$C:$FA,23)</f>
        <v>3.75</v>
      </c>
      <c r="E159" s="145">
        <f>VLOOKUP($A159,'Data shares'!$C:$FA,26)*100</f>
        <v>0.63</v>
      </c>
      <c r="F159" s="144">
        <f>VLOOKUP($A159,'Data shares'!$C:$FA,24)</f>
        <v>1.65</v>
      </c>
      <c r="G159" s="144">
        <f>VLOOKUP($A159,'Data shares'!$C:$FA,25)</f>
        <v>2.1</v>
      </c>
    </row>
    <row r="160" spans="1:7" x14ac:dyDescent="0.25">
      <c r="A160" s="101" t="str">
        <f>'Data shares'!C156</f>
        <v>PAYTM</v>
      </c>
      <c r="B160" s="144">
        <f>VLOOKUP($A160,'Data shares'!$C:$FA,7)</f>
        <v>1224.2</v>
      </c>
      <c r="C160" s="144">
        <f>VLOOKUP($A160,'Data shares'!$C:$FA,3)</f>
        <v>1229.0999999999999</v>
      </c>
      <c r="D160" s="144">
        <f>VLOOKUP($A160,'Data shares'!$C:$FA,23)</f>
        <v>4.9000000000000004</v>
      </c>
      <c r="E160" s="145">
        <f>VLOOKUP($A160,'Data shares'!$C:$FA,26)*100</f>
        <v>0.4</v>
      </c>
      <c r="F160" s="144">
        <f>VLOOKUP($A160,'Data shares'!$C:$FA,24)</f>
        <v>4.3</v>
      </c>
      <c r="G160" s="144">
        <f>VLOOKUP($A160,'Data shares'!$C:$FA,25)</f>
        <v>0.6</v>
      </c>
    </row>
    <row r="161" spans="1:7" x14ac:dyDescent="0.25">
      <c r="A161" s="101" t="str">
        <f>'Data shares'!C157</f>
        <v>PERSISTENT</v>
      </c>
      <c r="B161" s="144">
        <f>VLOOKUP($A161,'Data shares'!$C:$FA,7)</f>
        <v>5189.3</v>
      </c>
      <c r="C161" s="144">
        <f>VLOOKUP($A161,'Data shares'!$C:$FA,3)</f>
        <v>5208.2</v>
      </c>
      <c r="D161" s="144">
        <f>VLOOKUP($A161,'Data shares'!$C:$FA,23)</f>
        <v>18.899999999999999</v>
      </c>
      <c r="E161" s="145">
        <f>VLOOKUP($A161,'Data shares'!$C:$FA,26)*100</f>
        <v>0.36</v>
      </c>
      <c r="F161" s="144">
        <f>VLOOKUP($A161,'Data shares'!$C:$FA,24)</f>
        <v>18.2</v>
      </c>
      <c r="G161" s="144">
        <f>VLOOKUP($A161,'Data shares'!$C:$FA,25)</f>
        <v>0.7</v>
      </c>
    </row>
    <row r="162" spans="1:7" x14ac:dyDescent="0.25">
      <c r="A162" s="101" t="str">
        <f>'Data shares'!C158</f>
        <v>PETRONET</v>
      </c>
      <c r="B162" s="144">
        <f>VLOOKUP($A162,'Data shares'!$C:$FA,7)</f>
        <v>280.3</v>
      </c>
      <c r="C162" s="144">
        <f>VLOOKUP($A162,'Data shares'!$C:$FA,3)</f>
        <v>281.95</v>
      </c>
      <c r="D162" s="144">
        <f>VLOOKUP($A162,'Data shares'!$C:$FA,23)</f>
        <v>1.65</v>
      </c>
      <c r="E162" s="145">
        <f>VLOOKUP($A162,'Data shares'!$C:$FA,26)*100</f>
        <v>0.59</v>
      </c>
      <c r="F162" s="144">
        <f>VLOOKUP($A162,'Data shares'!$C:$FA,24)</f>
        <v>1.65</v>
      </c>
      <c r="G162" s="144">
        <f>VLOOKUP($A162,'Data shares'!$C:$FA,25)</f>
        <v>0</v>
      </c>
    </row>
    <row r="163" spans="1:7" x14ac:dyDescent="0.25">
      <c r="A163" s="101" t="str">
        <f>'Data shares'!C159</f>
        <v>PFC</v>
      </c>
      <c r="B163" s="144">
        <f>VLOOKUP($A163,'Data shares'!$C:$FA,7)</f>
        <v>405.9</v>
      </c>
      <c r="C163" s="144">
        <f>VLOOKUP($A163,'Data shares'!$C:$FA,3)</f>
        <v>407.55</v>
      </c>
      <c r="D163" s="144">
        <f>VLOOKUP($A163,'Data shares'!$C:$FA,23)</f>
        <v>1.65</v>
      </c>
      <c r="E163" s="145">
        <f>VLOOKUP($A163,'Data shares'!$C:$FA,26)*100</f>
        <v>0.41000000000000003</v>
      </c>
      <c r="F163" s="144">
        <f>VLOOKUP($A163,'Data shares'!$C:$FA,24)</f>
        <v>2.5</v>
      </c>
      <c r="G163" s="144">
        <f>VLOOKUP($A163,'Data shares'!$C:$FA,25)</f>
        <v>-0.85</v>
      </c>
    </row>
    <row r="164" spans="1:7" x14ac:dyDescent="0.25">
      <c r="A164" s="101" t="str">
        <f>'Data shares'!C160</f>
        <v>PGEL</v>
      </c>
      <c r="B164" s="144">
        <f>VLOOKUP($A164,'Data shares'!$C:$FA,7)</f>
        <v>517.20000000000005</v>
      </c>
      <c r="C164" s="144">
        <f>VLOOKUP($A164,'Data shares'!$C:$FA,3)</f>
        <v>520.95000000000005</v>
      </c>
      <c r="D164" s="144">
        <f>VLOOKUP($A164,'Data shares'!$C:$FA,23)</f>
        <v>3.75</v>
      </c>
      <c r="E164" s="145">
        <f>VLOOKUP($A164,'Data shares'!$C:$FA,26)*100</f>
        <v>0.73</v>
      </c>
      <c r="F164" s="144">
        <f>VLOOKUP($A164,'Data shares'!$C:$FA,24)</f>
        <v>2.2000000000000002</v>
      </c>
      <c r="G164" s="144">
        <f>VLOOKUP($A164,'Data shares'!$C:$FA,25)</f>
        <v>1.55</v>
      </c>
    </row>
    <row r="165" spans="1:7" x14ac:dyDescent="0.25">
      <c r="A165" s="101" t="str">
        <f>'Data shares'!C161</f>
        <v>PHOENIXLTD</v>
      </c>
      <c r="B165" s="144">
        <f>VLOOKUP($A165,'Data shares'!$C:$FA,7)</f>
        <v>1594.4</v>
      </c>
      <c r="C165" s="144">
        <f>VLOOKUP($A165,'Data shares'!$C:$FA,3)</f>
        <v>1600.3</v>
      </c>
      <c r="D165" s="144">
        <f>VLOOKUP($A165,'Data shares'!$C:$FA,23)</f>
        <v>5.9</v>
      </c>
      <c r="E165" s="145">
        <f>VLOOKUP($A165,'Data shares'!$C:$FA,26)*100</f>
        <v>0.37</v>
      </c>
      <c r="F165" s="144">
        <f>VLOOKUP($A165,'Data shares'!$C:$FA,24)</f>
        <v>5.6</v>
      </c>
      <c r="G165" s="144">
        <f>VLOOKUP($A165,'Data shares'!$C:$FA,25)</f>
        <v>0.3</v>
      </c>
    </row>
    <row r="166" spans="1:7" x14ac:dyDescent="0.25">
      <c r="A166" s="101" t="str">
        <f>'Data shares'!C162</f>
        <v>PIDILITIND</v>
      </c>
      <c r="B166" s="144">
        <f>VLOOKUP($A166,'Data shares'!$C:$FA,7)</f>
        <v>1489</v>
      </c>
      <c r="C166" s="144">
        <f>VLOOKUP($A166,'Data shares'!$C:$FA,3)</f>
        <v>1496.2</v>
      </c>
      <c r="D166" s="144">
        <f>VLOOKUP($A166,'Data shares'!$C:$FA,23)</f>
        <v>7.2</v>
      </c>
      <c r="E166" s="145">
        <f>VLOOKUP($A166,'Data shares'!$C:$FA,26)*100</f>
        <v>0.48</v>
      </c>
      <c r="F166" s="144">
        <f>VLOOKUP($A166,'Data shares'!$C:$FA,24)</f>
        <v>5.4</v>
      </c>
      <c r="G166" s="144">
        <f>VLOOKUP($A166,'Data shares'!$C:$FA,25)</f>
        <v>1.8</v>
      </c>
    </row>
    <row r="167" spans="1:7" x14ac:dyDescent="0.25">
      <c r="A167" s="101" t="str">
        <f>'Data shares'!C163</f>
        <v>PIIND</v>
      </c>
      <c r="B167" s="144">
        <f>VLOOKUP($A167,'Data shares'!$C:$FA,7)</f>
        <v>3630.4</v>
      </c>
      <c r="C167" s="144">
        <f>VLOOKUP($A167,'Data shares'!$C:$FA,3)</f>
        <v>3614.2</v>
      </c>
      <c r="D167" s="144">
        <f>VLOOKUP($A167,'Data shares'!$C:$FA,23)</f>
        <v>-16.2</v>
      </c>
      <c r="E167" s="145">
        <f>VLOOKUP($A167,'Data shares'!$C:$FA,26)*100</f>
        <v>-0.44999999999999996</v>
      </c>
      <c r="F167" s="144">
        <f>VLOOKUP($A167,'Data shares'!$C:$FA,24)</f>
        <v>-14</v>
      </c>
      <c r="G167" s="144">
        <f>VLOOKUP($A167,'Data shares'!$C:$FA,25)</f>
        <v>-2.2000000000000002</v>
      </c>
    </row>
    <row r="168" spans="1:7" s="175" customFormat="1" x14ac:dyDescent="0.25">
      <c r="A168" s="101" t="str">
        <f>'Data shares'!C164</f>
        <v>PNB</v>
      </c>
      <c r="B168" s="144">
        <f>VLOOKUP($A168,'Data shares'!$C:$FA,7)</f>
        <v>114.54</v>
      </c>
      <c r="C168" s="144">
        <f>VLOOKUP($A168,'Data shares'!$C:$FA,3)</f>
        <v>115.23</v>
      </c>
      <c r="D168" s="144">
        <f>VLOOKUP($A168,'Data shares'!$C:$FA,23)</f>
        <v>0.69</v>
      </c>
      <c r="E168" s="145">
        <f>VLOOKUP($A168,'Data shares'!$C:$FA,26)*100</f>
        <v>0.6</v>
      </c>
      <c r="F168" s="144">
        <f>VLOOKUP($A168,'Data shares'!$C:$FA,24)</f>
        <v>0.78</v>
      </c>
      <c r="G168" s="144">
        <f>VLOOKUP($A168,'Data shares'!$C:$FA,25)</f>
        <v>-0.09</v>
      </c>
    </row>
    <row r="169" spans="1:7" x14ac:dyDescent="0.25">
      <c r="A169" s="101" t="str">
        <f>'Data shares'!C165</f>
        <v>PNBHOUSING</v>
      </c>
      <c r="B169" s="144">
        <f>VLOOKUP($A169,'Data shares'!$C:$FA,7)</f>
        <v>895.05</v>
      </c>
      <c r="C169" s="144">
        <f>VLOOKUP($A169,'Data shares'!$C:$FA,3)</f>
        <v>900.7</v>
      </c>
      <c r="D169" s="144">
        <f>VLOOKUP($A169,'Data shares'!$C:$FA,23)</f>
        <v>5.65</v>
      </c>
      <c r="E169" s="145">
        <f>VLOOKUP($A169,'Data shares'!$C:$FA,26)*100</f>
        <v>0.63</v>
      </c>
      <c r="F169" s="144">
        <f>VLOOKUP($A169,'Data shares'!$C:$FA,24)</f>
        <v>5.85</v>
      </c>
      <c r="G169" s="144">
        <f>VLOOKUP($A169,'Data shares'!$C:$FA,25)</f>
        <v>-0.2</v>
      </c>
    </row>
    <row r="170" spans="1:7" x14ac:dyDescent="0.25">
      <c r="A170" s="101" t="str">
        <f>'Data shares'!C166</f>
        <v>POLICYBZR</v>
      </c>
      <c r="B170" s="144">
        <f>VLOOKUP($A170,'Data shares'!$C:$FA,7)</f>
        <v>1725.4</v>
      </c>
      <c r="C170" s="144">
        <f>VLOOKUP($A170,'Data shares'!$C:$FA,3)</f>
        <v>1733.1</v>
      </c>
      <c r="D170" s="144">
        <f>VLOOKUP($A170,'Data shares'!$C:$FA,23)</f>
        <v>7.7</v>
      </c>
      <c r="E170" s="145">
        <f>VLOOKUP($A170,'Data shares'!$C:$FA,26)*100</f>
        <v>0.44999999999999996</v>
      </c>
      <c r="F170" s="144">
        <f>VLOOKUP($A170,'Data shares'!$C:$FA,24)</f>
        <v>7.3</v>
      </c>
      <c r="G170" s="144">
        <f>VLOOKUP($A170,'Data shares'!$C:$FA,25)</f>
        <v>0.4</v>
      </c>
    </row>
    <row r="171" spans="1:7" x14ac:dyDescent="0.25">
      <c r="A171" s="101" t="str">
        <f>'Data shares'!C167</f>
        <v>POLYCAB</v>
      </c>
      <c r="B171" s="144">
        <f>VLOOKUP($A171,'Data shares'!$C:$FA,7)</f>
        <v>7615.5</v>
      </c>
      <c r="C171" s="144">
        <f>VLOOKUP($A171,'Data shares'!$C:$FA,3)</f>
        <v>7642</v>
      </c>
      <c r="D171" s="144">
        <f>VLOOKUP($A171,'Data shares'!$C:$FA,23)</f>
        <v>26.5</v>
      </c>
      <c r="E171" s="145">
        <f>VLOOKUP($A171,'Data shares'!$C:$FA,26)*100</f>
        <v>0.35000000000000003</v>
      </c>
      <c r="F171" s="144">
        <f>VLOOKUP($A171,'Data shares'!$C:$FA,24)</f>
        <v>30.5</v>
      </c>
      <c r="G171" s="144">
        <f>VLOOKUP($A171,'Data shares'!$C:$FA,25)</f>
        <v>-4</v>
      </c>
    </row>
    <row r="172" spans="1:7" x14ac:dyDescent="0.25">
      <c r="A172" s="101" t="str">
        <f>'Data shares'!C168</f>
        <v>POWERGRID</v>
      </c>
      <c r="B172" s="144">
        <f>VLOOKUP($A172,'Data shares'!$C:$FA,7)</f>
        <v>286.89999999999998</v>
      </c>
      <c r="C172" s="144">
        <f>VLOOKUP($A172,'Data shares'!$C:$FA,3)</f>
        <v>287.85000000000002</v>
      </c>
      <c r="D172" s="144">
        <f>VLOOKUP($A172,'Data shares'!$C:$FA,23)</f>
        <v>0.95</v>
      </c>
      <c r="E172" s="145">
        <f>VLOOKUP($A172,'Data shares'!$C:$FA,26)*100</f>
        <v>0.33</v>
      </c>
      <c r="F172" s="144">
        <f>VLOOKUP($A172,'Data shares'!$C:$FA,24)</f>
        <v>0.6</v>
      </c>
      <c r="G172" s="144">
        <f>VLOOKUP($A172,'Data shares'!$C:$FA,25)</f>
        <v>0.35</v>
      </c>
    </row>
    <row r="173" spans="1:7" x14ac:dyDescent="0.25">
      <c r="A173" s="101" t="str">
        <f>'Data shares'!C169</f>
        <v>POWERINDIA</v>
      </c>
      <c r="B173" s="144">
        <f>VLOOKUP($A173,'Data shares'!$C:$FA,7)</f>
        <v>18203</v>
      </c>
      <c r="C173" s="144">
        <f>VLOOKUP($A173,'Data shares'!$C:$FA,3)</f>
        <v>18305</v>
      </c>
      <c r="D173" s="144">
        <f>VLOOKUP($A173,'Data shares'!$C:$FA,23)</f>
        <v>102</v>
      </c>
      <c r="E173" s="145">
        <f>VLOOKUP($A173,'Data shares'!$C:$FA,26)*100</f>
        <v>0.55999999999999994</v>
      </c>
      <c r="F173" s="144">
        <f>VLOOKUP($A173,'Data shares'!$C:$FA,24)</f>
        <v>67</v>
      </c>
      <c r="G173" s="144">
        <f>VLOOKUP($A173,'Data shares'!$C:$FA,25)</f>
        <v>35</v>
      </c>
    </row>
    <row r="174" spans="1:7" x14ac:dyDescent="0.25">
      <c r="A174" s="101" t="str">
        <f>'Data shares'!C170</f>
        <v>PPLPHARMA</v>
      </c>
      <c r="B174" s="144">
        <f>VLOOKUP($A174,'Data shares'!$C:$FA,7)</f>
        <v>195.61</v>
      </c>
      <c r="C174" s="144">
        <f>VLOOKUP($A174,'Data shares'!$C:$FA,3)</f>
        <v>196.6</v>
      </c>
      <c r="D174" s="144">
        <f>VLOOKUP($A174,'Data shares'!$C:$FA,23)</f>
        <v>0.99</v>
      </c>
      <c r="E174" s="145">
        <f>VLOOKUP($A174,'Data shares'!$C:$FA,26)*100</f>
        <v>0.51</v>
      </c>
      <c r="F174" s="144">
        <f>VLOOKUP($A174,'Data shares'!$C:$FA,24)</f>
        <v>1.08</v>
      </c>
      <c r="G174" s="144">
        <f>VLOOKUP($A174,'Data shares'!$C:$FA,25)</f>
        <v>-0.09</v>
      </c>
    </row>
    <row r="175" spans="1:7" x14ac:dyDescent="0.25">
      <c r="A175" s="101" t="str">
        <f>'Data shares'!C171</f>
        <v>PRESTIGE</v>
      </c>
      <c r="B175" s="144">
        <f>VLOOKUP($A175,'Data shares'!$C:$FA,7)</f>
        <v>1541.3</v>
      </c>
      <c r="C175" s="144">
        <f>VLOOKUP($A175,'Data shares'!$C:$FA,3)</f>
        <v>1548.3</v>
      </c>
      <c r="D175" s="144">
        <f>VLOOKUP($A175,'Data shares'!$C:$FA,23)</f>
        <v>7</v>
      </c>
      <c r="E175" s="145">
        <f>VLOOKUP($A175,'Data shares'!$C:$FA,26)*100</f>
        <v>0.44999999999999996</v>
      </c>
      <c r="F175" s="144">
        <f>VLOOKUP($A175,'Data shares'!$C:$FA,24)</f>
        <v>10.1</v>
      </c>
      <c r="G175" s="144">
        <f>VLOOKUP($A175,'Data shares'!$C:$FA,25)</f>
        <v>-3.1</v>
      </c>
    </row>
    <row r="176" spans="1:7" x14ac:dyDescent="0.25">
      <c r="A176" s="101" t="str">
        <f>'Data shares'!C172</f>
        <v>RBLBANK</v>
      </c>
      <c r="B176" s="144">
        <f>VLOOKUP($A176,'Data shares'!$C:$FA,7)</f>
        <v>275.60000000000002</v>
      </c>
      <c r="C176" s="144">
        <f>VLOOKUP($A176,'Data shares'!$C:$FA,3)</f>
        <v>277.8</v>
      </c>
      <c r="D176" s="144">
        <f>VLOOKUP($A176,'Data shares'!$C:$FA,23)</f>
        <v>2.2000000000000002</v>
      </c>
      <c r="E176" s="145">
        <f>VLOOKUP($A176,'Data shares'!$C:$FA,26)*100</f>
        <v>0.8</v>
      </c>
      <c r="F176" s="144">
        <f>VLOOKUP($A176,'Data shares'!$C:$FA,24)</f>
        <v>1.35</v>
      </c>
      <c r="G176" s="144">
        <f>VLOOKUP($A176,'Data shares'!$C:$FA,25)</f>
        <v>0.85</v>
      </c>
    </row>
    <row r="177" spans="1:7" x14ac:dyDescent="0.25">
      <c r="A177" s="101" t="str">
        <f>'Data shares'!C173</f>
        <v>RECLTD</v>
      </c>
      <c r="B177" s="144">
        <f>VLOOKUP($A177,'Data shares'!$C:$FA,7)</f>
        <v>378.05</v>
      </c>
      <c r="C177" s="144">
        <f>VLOOKUP($A177,'Data shares'!$C:$FA,3)</f>
        <v>379.6</v>
      </c>
      <c r="D177" s="144">
        <f>VLOOKUP($A177,'Data shares'!$C:$FA,23)</f>
        <v>1.55</v>
      </c>
      <c r="E177" s="145">
        <f>VLOOKUP($A177,'Data shares'!$C:$FA,26)*100</f>
        <v>0.41000000000000003</v>
      </c>
      <c r="F177" s="144">
        <f>VLOOKUP($A177,'Data shares'!$C:$FA,24)</f>
        <v>1.45</v>
      </c>
      <c r="G177" s="144">
        <f>VLOOKUP($A177,'Data shares'!$C:$FA,25)</f>
        <v>0.1</v>
      </c>
    </row>
    <row r="178" spans="1:7" x14ac:dyDescent="0.25">
      <c r="A178" s="101" t="str">
        <f>'Data shares'!C174</f>
        <v>RELIANCE</v>
      </c>
      <c r="B178" s="144">
        <f>VLOOKUP($A178,'Data shares'!$C:$FA,7)</f>
        <v>1375</v>
      </c>
      <c r="C178" s="144">
        <f>VLOOKUP($A178,'Data shares'!$C:$FA,3)</f>
        <v>1383.2</v>
      </c>
      <c r="D178" s="144">
        <f>VLOOKUP($A178,'Data shares'!$C:$FA,23)</f>
        <v>8.1999999999999993</v>
      </c>
      <c r="E178" s="145">
        <f>VLOOKUP($A178,'Data shares'!$C:$FA,26)*100</f>
        <v>0.6</v>
      </c>
      <c r="F178" s="144">
        <f>VLOOKUP($A178,'Data shares'!$C:$FA,24)</f>
        <v>7.9</v>
      </c>
      <c r="G178" s="144">
        <f>VLOOKUP($A178,'Data shares'!$C:$FA,25)</f>
        <v>0.3</v>
      </c>
    </row>
    <row r="179" spans="1:7" x14ac:dyDescent="0.25">
      <c r="A179" s="101" t="str">
        <f>'Data shares'!C175</f>
        <v>RVNL</v>
      </c>
      <c r="B179" s="144">
        <f>VLOOKUP($A179,'Data shares'!$C:$FA,7)</f>
        <v>346.6</v>
      </c>
      <c r="C179" s="144">
        <f>VLOOKUP($A179,'Data shares'!$C:$FA,3)</f>
        <v>341.2</v>
      </c>
      <c r="D179" s="144">
        <f>VLOOKUP($A179,'Data shares'!$C:$FA,23)</f>
        <v>-5.4</v>
      </c>
      <c r="E179" s="145">
        <f>VLOOKUP($A179,'Data shares'!$C:$FA,26)*100</f>
        <v>-1.5599999999999998</v>
      </c>
      <c r="F179" s="144">
        <f>VLOOKUP($A179,'Data shares'!$C:$FA,24)</f>
        <v>-5.6</v>
      </c>
      <c r="G179" s="144">
        <f>VLOOKUP($A179,'Data shares'!$C:$FA,25)</f>
        <v>0.2</v>
      </c>
    </row>
    <row r="180" spans="1:7" x14ac:dyDescent="0.25">
      <c r="A180" s="101" t="str">
        <f>'Data shares'!C176</f>
        <v>SAIL</v>
      </c>
      <c r="B180" s="144">
        <f>VLOOKUP($A180,'Data shares'!$C:$FA,7)</f>
        <v>132.62</v>
      </c>
      <c r="C180" s="144">
        <f>VLOOKUP($A180,'Data shares'!$C:$FA,3)</f>
        <v>133.27000000000001</v>
      </c>
      <c r="D180" s="144">
        <f>VLOOKUP($A180,'Data shares'!$C:$FA,23)</f>
        <v>0.65</v>
      </c>
      <c r="E180" s="145">
        <f>VLOOKUP($A180,'Data shares'!$C:$FA,26)*100</f>
        <v>0.49</v>
      </c>
      <c r="F180" s="144">
        <f>VLOOKUP($A180,'Data shares'!$C:$FA,24)</f>
        <v>0.9</v>
      </c>
      <c r="G180" s="144">
        <f>VLOOKUP($A180,'Data shares'!$C:$FA,25)</f>
        <v>-0.25</v>
      </c>
    </row>
    <row r="181" spans="1:7" x14ac:dyDescent="0.25">
      <c r="A181" s="101" t="str">
        <f>'Data shares'!C177</f>
        <v>SAMMAANCAP</v>
      </c>
      <c r="B181" s="144">
        <f>VLOOKUP($A181,'Data shares'!$C:$FA,7)</f>
        <v>159.94</v>
      </c>
      <c r="C181" s="144">
        <f>VLOOKUP($A181,'Data shares'!$C:$FA,3)</f>
        <v>161.32</v>
      </c>
      <c r="D181" s="144">
        <f>VLOOKUP($A181,'Data shares'!$C:$FA,23)</f>
        <v>1.38</v>
      </c>
      <c r="E181" s="145">
        <f>VLOOKUP($A181,'Data shares'!$C:$FA,26)*100</f>
        <v>0.86</v>
      </c>
      <c r="F181" s="144">
        <f>VLOOKUP($A181,'Data shares'!$C:$FA,24)</f>
        <v>1.01</v>
      </c>
      <c r="G181" s="144">
        <f>VLOOKUP($A181,'Data shares'!$C:$FA,25)</f>
        <v>0.37</v>
      </c>
    </row>
    <row r="182" spans="1:7" x14ac:dyDescent="0.25">
      <c r="A182" s="101" t="str">
        <f>'Data shares'!C178</f>
        <v>SBICARD</v>
      </c>
      <c r="B182" s="144">
        <f>VLOOKUP($A182,'Data shares'!$C:$FA,7)</f>
        <v>902.6</v>
      </c>
      <c r="C182" s="144">
        <f>VLOOKUP($A182,'Data shares'!$C:$FA,3)</f>
        <v>889.95</v>
      </c>
      <c r="D182" s="144">
        <f>VLOOKUP($A182,'Data shares'!$C:$FA,23)</f>
        <v>-12.65</v>
      </c>
      <c r="E182" s="145">
        <f>VLOOKUP($A182,'Data shares'!$C:$FA,26)*100</f>
        <v>-1.4000000000000001</v>
      </c>
      <c r="F182" s="144">
        <f>VLOOKUP($A182,'Data shares'!$C:$FA,24)</f>
        <v>-25.75</v>
      </c>
      <c r="G182" s="144">
        <f>VLOOKUP($A182,'Data shares'!$C:$FA,25)</f>
        <v>13.1</v>
      </c>
    </row>
    <row r="183" spans="1:7" x14ac:dyDescent="0.25">
      <c r="A183" s="101" t="str">
        <f>'Data shares'!C179</f>
        <v>SBILIFE</v>
      </c>
      <c r="B183" s="144">
        <f>VLOOKUP($A183,'Data shares'!$C:$FA,7)</f>
        <v>1770.9</v>
      </c>
      <c r="C183" s="144">
        <f>VLOOKUP($A183,'Data shares'!$C:$FA,3)</f>
        <v>1774.3</v>
      </c>
      <c r="D183" s="144">
        <f>VLOOKUP($A183,'Data shares'!$C:$FA,23)</f>
        <v>3.4</v>
      </c>
      <c r="E183" s="145">
        <f>VLOOKUP($A183,'Data shares'!$C:$FA,26)*100</f>
        <v>0.19</v>
      </c>
      <c r="F183" s="144">
        <f>VLOOKUP($A183,'Data shares'!$C:$FA,24)</f>
        <v>6.2</v>
      </c>
      <c r="G183" s="144">
        <f>VLOOKUP($A183,'Data shares'!$C:$FA,25)</f>
        <v>-2.8</v>
      </c>
    </row>
    <row r="184" spans="1:7" x14ac:dyDescent="0.25">
      <c r="A184" s="101" t="str">
        <f>'Data shares'!C180</f>
        <v>SBIN</v>
      </c>
      <c r="B184" s="144">
        <f>VLOOKUP($A184,'Data shares'!$C:$FA,7)</f>
        <v>874.05</v>
      </c>
      <c r="C184" s="144">
        <f>VLOOKUP($A184,'Data shares'!$C:$FA,3)</f>
        <v>877.75</v>
      </c>
      <c r="D184" s="144">
        <f>VLOOKUP($A184,'Data shares'!$C:$FA,23)</f>
        <v>3.7</v>
      </c>
      <c r="E184" s="145">
        <f>VLOOKUP($A184,'Data shares'!$C:$FA,26)*100</f>
        <v>0.42</v>
      </c>
      <c r="F184" s="144">
        <f>VLOOKUP($A184,'Data shares'!$C:$FA,24)</f>
        <v>5.55</v>
      </c>
      <c r="G184" s="144">
        <f>VLOOKUP($A184,'Data shares'!$C:$FA,25)</f>
        <v>-1.85</v>
      </c>
    </row>
    <row r="185" spans="1:7" x14ac:dyDescent="0.25">
      <c r="A185" s="101" t="str">
        <f>'Data shares'!C181</f>
        <v>SHREECEM</v>
      </c>
      <c r="B185" s="144">
        <f>VLOOKUP($A185,'Data shares'!$C:$FA,7)</f>
        <v>29295</v>
      </c>
      <c r="C185" s="144">
        <f>VLOOKUP($A185,'Data shares'!$C:$FA,3)</f>
        <v>29460</v>
      </c>
      <c r="D185" s="144">
        <f>VLOOKUP($A185,'Data shares'!$C:$FA,23)</f>
        <v>165</v>
      </c>
      <c r="E185" s="145">
        <f>VLOOKUP($A185,'Data shares'!$C:$FA,26)*100</f>
        <v>0.55999999999999994</v>
      </c>
      <c r="F185" s="144">
        <f>VLOOKUP($A185,'Data shares'!$C:$FA,24)</f>
        <v>90</v>
      </c>
      <c r="G185" s="144">
        <f>VLOOKUP($A185,'Data shares'!$C:$FA,25)</f>
        <v>75</v>
      </c>
    </row>
    <row r="186" spans="1:7" x14ac:dyDescent="0.25">
      <c r="A186" s="101" t="str">
        <f>'Data shares'!C182</f>
        <v>SHRIRAMFIN</v>
      </c>
      <c r="B186" s="144">
        <f>VLOOKUP($A186,'Data shares'!$C:$FA,7)</f>
        <v>671.45</v>
      </c>
      <c r="C186" s="144">
        <f>VLOOKUP($A186,'Data shares'!$C:$FA,3)</f>
        <v>674.7</v>
      </c>
      <c r="D186" s="144">
        <f>VLOOKUP($A186,'Data shares'!$C:$FA,23)</f>
        <v>3.25</v>
      </c>
      <c r="E186" s="145">
        <f>VLOOKUP($A186,'Data shares'!$C:$FA,26)*100</f>
        <v>0.48</v>
      </c>
      <c r="F186" s="144">
        <f>VLOOKUP($A186,'Data shares'!$C:$FA,24)</f>
        <v>4.5999999999999996</v>
      </c>
      <c r="G186" s="144">
        <f>VLOOKUP($A186,'Data shares'!$C:$FA,25)</f>
        <v>-1.35</v>
      </c>
    </row>
    <row r="187" spans="1:7" x14ac:dyDescent="0.25">
      <c r="A187" s="101" t="str">
        <f>'Data shares'!C183</f>
        <v>SIEMENS</v>
      </c>
      <c r="B187" s="144">
        <f>VLOOKUP($A187,'Data shares'!$C:$FA,7)</f>
        <v>3251.7</v>
      </c>
      <c r="C187" s="144">
        <f>VLOOKUP($A187,'Data shares'!$C:$FA,3)</f>
        <v>3269</v>
      </c>
      <c r="D187" s="144">
        <f>VLOOKUP($A187,'Data shares'!$C:$FA,23)</f>
        <v>17.3</v>
      </c>
      <c r="E187" s="145">
        <f>VLOOKUP($A187,'Data shares'!$C:$FA,26)*100</f>
        <v>0.53</v>
      </c>
      <c r="F187" s="144">
        <f>VLOOKUP($A187,'Data shares'!$C:$FA,24)</f>
        <v>19.5</v>
      </c>
      <c r="G187" s="144">
        <f>VLOOKUP($A187,'Data shares'!$C:$FA,25)</f>
        <v>-2.2000000000000002</v>
      </c>
    </row>
    <row r="188" spans="1:7" x14ac:dyDescent="0.25">
      <c r="A188" s="101" t="str">
        <f>'Data shares'!C184</f>
        <v>SOLARINDS</v>
      </c>
      <c r="B188" s="144">
        <f>VLOOKUP($A188,'Data shares'!$C:$FA,7)</f>
        <v>14140</v>
      </c>
      <c r="C188" s="144">
        <f>VLOOKUP($A188,'Data shares'!$C:$FA,3)</f>
        <v>14196</v>
      </c>
      <c r="D188" s="144">
        <f>VLOOKUP($A188,'Data shares'!$C:$FA,23)</f>
        <v>56</v>
      </c>
      <c r="E188" s="145">
        <f>VLOOKUP($A188,'Data shares'!$C:$FA,26)*100</f>
        <v>0.4</v>
      </c>
      <c r="F188" s="144">
        <f>VLOOKUP($A188,'Data shares'!$C:$FA,24)</f>
        <v>63</v>
      </c>
      <c r="G188" s="144">
        <f>VLOOKUP($A188,'Data shares'!$C:$FA,25)</f>
        <v>-7</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shares'!C217</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25" activePane="bottomLeft" state="frozen"/>
      <selection pane="bottomLeft" activeCell="A32" sqref="A32"/>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50" t="s">
        <v>371</v>
      </c>
      <c r="C4" s="250"/>
      <c r="D4" s="250"/>
      <c r="E4" s="250"/>
      <c r="F4" s="250"/>
      <c r="G4" s="250"/>
    </row>
    <row r="5" spans="1:7" x14ac:dyDescent="0.25">
      <c r="A5" s="317"/>
      <c r="B5" s="315" t="s">
        <v>372</v>
      </c>
      <c r="C5" s="315"/>
      <c r="D5" s="315"/>
      <c r="E5" s="315" t="s">
        <v>373</v>
      </c>
      <c r="F5" s="315"/>
      <c r="G5" s="315"/>
    </row>
    <row r="6" spans="1:7" x14ac:dyDescent="0.25">
      <c r="A6" s="250"/>
      <c r="B6" s="2" t="s">
        <v>374</v>
      </c>
      <c r="C6" s="2" t="s">
        <v>375</v>
      </c>
      <c r="D6" s="2" t="s">
        <v>376</v>
      </c>
      <c r="E6" s="2" t="s">
        <v>377</v>
      </c>
      <c r="F6" s="2" t="s">
        <v>378</v>
      </c>
      <c r="G6" s="2" t="s">
        <v>379</v>
      </c>
    </row>
    <row r="7" spans="1:7" x14ac:dyDescent="0.25">
      <c r="A7" s="49" t="str">
        <f>'Data shares'!C2</f>
        <v>360ONE</v>
      </c>
      <c r="B7" s="50">
        <f>VLOOKUP($A7,'Data shares'!$C:$FM,102)</f>
        <v>28.47</v>
      </c>
      <c r="C7" s="50">
        <f>VLOOKUP($A7,'Data shares'!$C:$FM,110)</f>
        <v>27.96</v>
      </c>
      <c r="D7" s="50">
        <f>VLOOKUP($A7,'Data shares'!$C:$FM,114)</f>
        <v>31.75</v>
      </c>
      <c r="E7" s="50">
        <f>VLOOKUP($A7,'Data shares'!$C:$FM,106)</f>
        <v>46.54</v>
      </c>
      <c r="F7" s="50">
        <f>VLOOKUP($A7,'Data shares'!$C:$FM,108)</f>
        <v>-18.07</v>
      </c>
      <c r="G7" s="50">
        <f t="shared" ref="G7:G38" si="0">B7/E7</f>
        <v>0.61173184357541899</v>
      </c>
    </row>
    <row r="8" spans="1:7" x14ac:dyDescent="0.25">
      <c r="A8" s="49" t="str">
        <f>'Data shares'!C3</f>
        <v>ABB</v>
      </c>
      <c r="B8" s="50">
        <f>VLOOKUP($A8,'Data shares'!$C:$FM,102)</f>
        <v>25.04</v>
      </c>
      <c r="C8" s="50">
        <f>VLOOKUP($A8,'Data shares'!$C:$FM,110)</f>
        <v>25</v>
      </c>
      <c r="D8" s="50">
        <f>VLOOKUP($A8,'Data shares'!$C:$FM,114)</f>
        <v>25.21</v>
      </c>
      <c r="E8" s="50">
        <f>VLOOKUP($A8,'Data shares'!$C:$FM,106)</f>
        <v>37.15</v>
      </c>
      <c r="F8" s="50">
        <f>VLOOKUP($A8,'Data shares'!$C:$FM,108)</f>
        <v>-12.11</v>
      </c>
      <c r="G8" s="50">
        <f t="shared" si="0"/>
        <v>0.67402422611036339</v>
      </c>
    </row>
    <row r="9" spans="1:7" x14ac:dyDescent="0.25">
      <c r="A9" s="49" t="str">
        <f>'Data shares'!C4</f>
        <v>ABCAPITAL</v>
      </c>
      <c r="B9" s="50">
        <f>VLOOKUP($A9,'Data shares'!$C:$FM,102)</f>
        <v>30.75</v>
      </c>
      <c r="C9" s="50">
        <f>VLOOKUP($A9,'Data shares'!$C:$FM,110)</f>
        <v>30.37</v>
      </c>
      <c r="D9" s="50">
        <f>VLOOKUP($A9,'Data shares'!$C:$FM,114)</f>
        <v>31.54</v>
      </c>
      <c r="E9" s="50">
        <f>VLOOKUP($A9,'Data shares'!$C:$FM,106)</f>
        <v>40.61</v>
      </c>
      <c r="F9" s="50">
        <f>VLOOKUP($A9,'Data shares'!$C:$FM,108)</f>
        <v>-9.86</v>
      </c>
      <c r="G9" s="50">
        <f t="shared" si="0"/>
        <v>0.75720265944348686</v>
      </c>
    </row>
    <row r="10" spans="1:7" x14ac:dyDescent="0.25">
      <c r="A10" s="49" t="str">
        <f>'Data shares'!C5</f>
        <v>ADANIENSOL</v>
      </c>
      <c r="B10" s="50">
        <f>VLOOKUP($A10,'Data shares'!$C:$FM,102)</f>
        <v>35.54</v>
      </c>
      <c r="C10" s="50">
        <f>VLOOKUP($A10,'Data shares'!$C:$FM,110)</f>
        <v>35.729999999999997</v>
      </c>
      <c r="D10" s="50">
        <f>VLOOKUP($A10,'Data shares'!$C:$FM,114)</f>
        <v>34.950000000000003</v>
      </c>
      <c r="E10" s="50">
        <f>VLOOKUP($A10,'Data shares'!$C:$FM,106)</f>
        <v>56.79</v>
      </c>
      <c r="F10" s="50">
        <f>VLOOKUP($A10,'Data shares'!$C:$FM,108)</f>
        <v>-21.25</v>
      </c>
      <c r="G10" s="50">
        <f t="shared" si="0"/>
        <v>0.62581440394435639</v>
      </c>
    </row>
    <row r="11" spans="1:7" x14ac:dyDescent="0.25">
      <c r="A11" s="49" t="str">
        <f>'Data shares'!C6</f>
        <v>ADANIENT</v>
      </c>
      <c r="B11" s="50">
        <f>VLOOKUP($A11,'Data shares'!$C:$FM,102)</f>
        <v>30.79</v>
      </c>
      <c r="C11" s="50">
        <f>VLOOKUP($A11,'Data shares'!$C:$FM,110)</f>
        <v>31.06</v>
      </c>
      <c r="D11" s="50">
        <f>VLOOKUP($A11,'Data shares'!$C:$FM,114)</f>
        <v>30.08</v>
      </c>
      <c r="E11" s="50">
        <f>VLOOKUP($A11,'Data shares'!$C:$FM,106)</f>
        <v>50.18</v>
      </c>
      <c r="F11" s="50">
        <f>VLOOKUP($A11,'Data shares'!$C:$FM,108)</f>
        <v>-19.39</v>
      </c>
      <c r="G11" s="50">
        <f t="shared" si="0"/>
        <v>0.61359107214029496</v>
      </c>
    </row>
    <row r="12" spans="1:7" x14ac:dyDescent="0.25">
      <c r="A12" s="49" t="str">
        <f>'Data shares'!C7</f>
        <v>ADANIGREEN</v>
      </c>
      <c r="B12" s="50">
        <f>VLOOKUP($A12,'Data shares'!$C:$FM,102)</f>
        <v>40.4</v>
      </c>
      <c r="C12" s="50">
        <f>VLOOKUP($A12,'Data shares'!$C:$FM,110)</f>
        <v>40.909999999999997</v>
      </c>
      <c r="D12" s="50">
        <f>VLOOKUP($A12,'Data shares'!$C:$FM,114)</f>
        <v>38.94</v>
      </c>
      <c r="E12" s="50">
        <f>VLOOKUP($A12,'Data shares'!$C:$FM,106)</f>
        <v>59.44</v>
      </c>
      <c r="F12" s="50">
        <f>VLOOKUP($A12,'Data shares'!$C:$FM,108)</f>
        <v>-19.04</v>
      </c>
      <c r="G12" s="50">
        <f t="shared" si="0"/>
        <v>0.67967698519515474</v>
      </c>
    </row>
    <row r="13" spans="1:7" x14ac:dyDescent="0.25">
      <c r="A13" s="49" t="str">
        <f>'Data shares'!C8</f>
        <v>ADANIPORTS</v>
      </c>
      <c r="B13" s="50">
        <f>VLOOKUP($A13,'Data shares'!$C:$FM,102)</f>
        <v>23.13</v>
      </c>
      <c r="C13" s="50">
        <f>VLOOKUP($A13,'Data shares'!$C:$FM,110)</f>
        <v>23.46</v>
      </c>
      <c r="D13" s="50">
        <f>VLOOKUP($A13,'Data shares'!$C:$FM,114)</f>
        <v>22.51</v>
      </c>
      <c r="E13" s="50">
        <f>VLOOKUP($A13,'Data shares'!$C:$FM,106)</f>
        <v>39.58</v>
      </c>
      <c r="F13" s="50">
        <f>VLOOKUP($A13,'Data shares'!$C:$FM,108)</f>
        <v>-16.45</v>
      </c>
      <c r="G13" s="50">
        <f t="shared" si="0"/>
        <v>0.58438605356240525</v>
      </c>
    </row>
    <row r="14" spans="1:7" x14ac:dyDescent="0.25">
      <c r="A14" s="49" t="str">
        <f>'Data shares'!C9</f>
        <v>ALKEM</v>
      </c>
      <c r="B14" s="50">
        <f>VLOOKUP($A14,'Data shares'!$C:$FM,102)</f>
        <v>21.88</v>
      </c>
      <c r="C14" s="50">
        <f>VLOOKUP($A14,'Data shares'!$C:$FM,110)</f>
        <v>21.68</v>
      </c>
      <c r="D14" s="50">
        <f>VLOOKUP($A14,'Data shares'!$C:$FM,114)</f>
        <v>22.42</v>
      </c>
      <c r="E14" s="50">
        <f>VLOOKUP($A14,'Data shares'!$C:$FM,106)</f>
        <v>28.36</v>
      </c>
      <c r="F14" s="50">
        <f>VLOOKUP($A14,'Data shares'!$C:$FM,108)</f>
        <v>-6.48</v>
      </c>
      <c r="G14" s="50">
        <f t="shared" si="0"/>
        <v>0.77150916784203105</v>
      </c>
    </row>
    <row r="15" spans="1:7" x14ac:dyDescent="0.25">
      <c r="A15" s="49" t="str">
        <f>'Data shares'!C10</f>
        <v>AMBER</v>
      </c>
      <c r="B15" s="50">
        <f>VLOOKUP($A15,'Data shares'!$C:$FM,102)</f>
        <v>31.65</v>
      </c>
      <c r="C15" s="50">
        <f>VLOOKUP($A15,'Data shares'!$C:$FM,110)</f>
        <v>31.45</v>
      </c>
      <c r="D15" s="50">
        <f>VLOOKUP($A15,'Data shares'!$C:$FM,114)</f>
        <v>32.340000000000003</v>
      </c>
      <c r="E15" s="50">
        <f>VLOOKUP($A15,'Data shares'!$C:$FM,106)</f>
        <v>55.39</v>
      </c>
      <c r="F15" s="50">
        <f>VLOOKUP($A15,'Data shares'!$C:$FM,108)</f>
        <v>-23.74</v>
      </c>
      <c r="G15" s="50">
        <f t="shared" si="0"/>
        <v>0.57140278028525004</v>
      </c>
    </row>
    <row r="16" spans="1:7" x14ac:dyDescent="0.25">
      <c r="A16" s="49" t="str">
        <f>'Data shares'!C11</f>
        <v>AMBUJACEM</v>
      </c>
      <c r="B16" s="50">
        <f>VLOOKUP($A16,'Data shares'!$C:$FM,102)</f>
        <v>25.14</v>
      </c>
      <c r="C16" s="50">
        <f>VLOOKUP($A16,'Data shares'!$C:$FM,110)</f>
        <v>25.15</v>
      </c>
      <c r="D16" s="50">
        <f>VLOOKUP($A16,'Data shares'!$C:$FM,114)</f>
        <v>25.11</v>
      </c>
      <c r="E16" s="50">
        <f>VLOOKUP($A16,'Data shares'!$C:$FM,106)</f>
        <v>34.520000000000003</v>
      </c>
      <c r="F16" s="50">
        <f>VLOOKUP($A16,'Data shares'!$C:$FM,108)</f>
        <v>-9.3800000000000008</v>
      </c>
      <c r="G16" s="50">
        <f t="shared" si="0"/>
        <v>0.72827346465816911</v>
      </c>
    </row>
    <row r="17" spans="1:7" x14ac:dyDescent="0.25">
      <c r="A17" s="49" t="str">
        <f>'Data shares'!C12</f>
        <v>ANGELONE</v>
      </c>
      <c r="B17" s="50">
        <f>VLOOKUP($A17,'Data shares'!$C:$FM,102)</f>
        <v>43.24</v>
      </c>
      <c r="C17" s="50">
        <f>VLOOKUP($A17,'Data shares'!$C:$FM,110)</f>
        <v>42.86</v>
      </c>
      <c r="D17" s="50">
        <f>VLOOKUP($A17,'Data shares'!$C:$FM,114)</f>
        <v>44.13</v>
      </c>
      <c r="E17" s="50">
        <f>VLOOKUP($A17,'Data shares'!$C:$FM,106)</f>
        <v>56.32</v>
      </c>
      <c r="F17" s="50">
        <f>VLOOKUP($A17,'Data shares'!$C:$FM,108)</f>
        <v>-13.08</v>
      </c>
      <c r="G17" s="50">
        <f t="shared" si="0"/>
        <v>0.76775568181818188</v>
      </c>
    </row>
    <row r="18" spans="1:7" x14ac:dyDescent="0.25">
      <c r="A18" s="49" t="str">
        <f>'Data shares'!C13</f>
        <v>APLAPOLLO</v>
      </c>
      <c r="B18" s="50">
        <f>VLOOKUP($A18,'Data shares'!$C:$FM,102)</f>
        <v>26.19</v>
      </c>
      <c r="C18" s="50">
        <f>VLOOKUP($A18,'Data shares'!$C:$FM,110)</f>
        <v>26.15</v>
      </c>
      <c r="D18" s="50">
        <f>VLOOKUP($A18,'Data shares'!$C:$FM,114)</f>
        <v>26.32</v>
      </c>
      <c r="E18" s="50">
        <f>VLOOKUP($A18,'Data shares'!$C:$FM,106)</f>
        <v>35.36</v>
      </c>
      <c r="F18" s="50">
        <f>VLOOKUP($A18,'Data shares'!$C:$FM,108)</f>
        <v>-9.17</v>
      </c>
      <c r="G18" s="50">
        <f t="shared" si="0"/>
        <v>0.74066742081447967</v>
      </c>
    </row>
    <row r="19" spans="1:7" x14ac:dyDescent="0.25">
      <c r="A19" s="49" t="str">
        <f>'Data shares'!C14</f>
        <v>APOLLOHOSP</v>
      </c>
      <c r="B19" s="50">
        <f>VLOOKUP($A19,'Data shares'!$C:$FM,102)</f>
        <v>17.149999999999999</v>
      </c>
      <c r="C19" s="50">
        <f>VLOOKUP($A19,'Data shares'!$C:$FM,110)</f>
        <v>17.010000000000002</v>
      </c>
      <c r="D19" s="50">
        <f>VLOOKUP($A19,'Data shares'!$C:$FM,114)</f>
        <v>17.55</v>
      </c>
      <c r="E19" s="50">
        <f>VLOOKUP($A19,'Data shares'!$C:$FM,106)</f>
        <v>26.89</v>
      </c>
      <c r="F19" s="50">
        <f>VLOOKUP($A19,'Data shares'!$C:$FM,108)</f>
        <v>-9.74</v>
      </c>
      <c r="G19" s="50">
        <f t="shared" si="0"/>
        <v>0.63778356266269987</v>
      </c>
    </row>
    <row r="20" spans="1:7" x14ac:dyDescent="0.25">
      <c r="A20" s="49" t="str">
        <f>'Data shares'!C15</f>
        <v>ASHOKLEY</v>
      </c>
      <c r="B20" s="50">
        <f>VLOOKUP($A20,'Data shares'!$C:$FM,102)</f>
        <v>29.36</v>
      </c>
      <c r="C20" s="50">
        <f>VLOOKUP($A20,'Data shares'!$C:$FM,110)</f>
        <v>29.86</v>
      </c>
      <c r="D20" s="50">
        <f>VLOOKUP($A20,'Data shares'!$C:$FM,114)</f>
        <v>27.74</v>
      </c>
      <c r="E20" s="50">
        <f>VLOOKUP($A20,'Data shares'!$C:$FM,106)</f>
        <v>35.54</v>
      </c>
      <c r="F20" s="50">
        <f>VLOOKUP($A20,'Data shares'!$C:$FM,108)</f>
        <v>-6.18</v>
      </c>
      <c r="G20" s="50">
        <f t="shared" si="0"/>
        <v>0.82611142374788971</v>
      </c>
    </row>
    <row r="21" spans="1:7" x14ac:dyDescent="0.25">
      <c r="A21" s="49" t="str">
        <f>'Data shares'!C16</f>
        <v>ASIANPAINT</v>
      </c>
      <c r="B21" s="50">
        <f>VLOOKUP($A21,'Data shares'!$C:$FM,102)</f>
        <v>20</v>
      </c>
      <c r="C21" s="50">
        <f>VLOOKUP($A21,'Data shares'!$C:$FM,110)</f>
        <v>20.010000000000002</v>
      </c>
      <c r="D21" s="50">
        <f>VLOOKUP($A21,'Data shares'!$C:$FM,114)</f>
        <v>20</v>
      </c>
      <c r="E21" s="50">
        <f>VLOOKUP($A21,'Data shares'!$C:$FM,106)</f>
        <v>23.64</v>
      </c>
      <c r="F21" s="50">
        <f>VLOOKUP($A21,'Data shares'!$C:$FM,108)</f>
        <v>-3.64</v>
      </c>
      <c r="G21" s="50">
        <f t="shared" si="0"/>
        <v>0.84602368866328259</v>
      </c>
    </row>
    <row r="22" spans="1:7" x14ac:dyDescent="0.25">
      <c r="A22" s="49" t="str">
        <f>'Data shares'!C17</f>
        <v>ASTRAL</v>
      </c>
      <c r="B22" s="50">
        <f>VLOOKUP($A22,'Data shares'!$C:$FM,102)</f>
        <v>26.9</v>
      </c>
      <c r="C22" s="50">
        <f>VLOOKUP($A22,'Data shares'!$C:$FM,110)</f>
        <v>26.32</v>
      </c>
      <c r="D22" s="50">
        <f>VLOOKUP($A22,'Data shares'!$C:$FM,114)</f>
        <v>28.17</v>
      </c>
      <c r="E22" s="50">
        <f>VLOOKUP($A22,'Data shares'!$C:$FM,106)</f>
        <v>33.76</v>
      </c>
      <c r="F22" s="50">
        <f>VLOOKUP($A22,'Data shares'!$C:$FM,108)</f>
        <v>-6.86</v>
      </c>
      <c r="G22" s="50">
        <f t="shared" si="0"/>
        <v>0.7968009478672986</v>
      </c>
    </row>
    <row r="23" spans="1:7" x14ac:dyDescent="0.25">
      <c r="A23" s="49" t="str">
        <f>'Data shares'!C18</f>
        <v>AUBANK</v>
      </c>
      <c r="B23" s="50">
        <f>VLOOKUP($A23,'Data shares'!$C:$FM,102)</f>
        <v>29.47</v>
      </c>
      <c r="C23" s="50">
        <f>VLOOKUP($A23,'Data shares'!$C:$FM,110)</f>
        <v>29.28</v>
      </c>
      <c r="D23" s="50">
        <f>VLOOKUP($A23,'Data shares'!$C:$FM,114)</f>
        <v>29.94</v>
      </c>
      <c r="E23" s="50">
        <f>VLOOKUP($A23,'Data shares'!$C:$FM,106)</f>
        <v>36.340000000000003</v>
      </c>
      <c r="F23" s="50">
        <f>VLOOKUP($A23,'Data shares'!$C:$FM,108)</f>
        <v>-6.87</v>
      </c>
      <c r="G23" s="50">
        <f t="shared" si="0"/>
        <v>0.81095211887727014</v>
      </c>
    </row>
    <row r="24" spans="1:7" x14ac:dyDescent="0.25">
      <c r="A24" s="49" t="str">
        <f>'Data shares'!C19</f>
        <v>AUROPHARMA</v>
      </c>
      <c r="B24" s="50">
        <f>VLOOKUP($A24,'Data shares'!$C:$FM,102)</f>
        <v>26.89</v>
      </c>
      <c r="C24" s="50">
        <f>VLOOKUP($A24,'Data shares'!$C:$FM,110)</f>
        <v>26.42</v>
      </c>
      <c r="D24" s="50">
        <f>VLOOKUP($A24,'Data shares'!$C:$FM,114)</f>
        <v>27.88</v>
      </c>
      <c r="E24" s="50">
        <f>VLOOKUP($A24,'Data shares'!$C:$FM,106)</f>
        <v>34.71</v>
      </c>
      <c r="F24" s="50">
        <f>VLOOKUP($A24,'Data shares'!$C:$FM,108)</f>
        <v>-7.82</v>
      </c>
      <c r="G24" s="50">
        <f t="shared" si="0"/>
        <v>0.77470469605301062</v>
      </c>
    </row>
    <row r="25" spans="1:7" x14ac:dyDescent="0.25">
      <c r="A25" s="49" t="str">
        <f>'Data shares'!C20</f>
        <v>AXISBANK</v>
      </c>
      <c r="B25" s="50">
        <f>VLOOKUP($A25,'Data shares'!$C:$FM,102)</f>
        <v>24.11</v>
      </c>
      <c r="C25" s="50">
        <f>VLOOKUP($A25,'Data shares'!$C:$FM,110)</f>
        <v>23.51</v>
      </c>
      <c r="D25" s="50">
        <f>VLOOKUP($A25,'Data shares'!$C:$FM,114)</f>
        <v>25</v>
      </c>
      <c r="E25" s="50">
        <f>VLOOKUP($A25,'Data shares'!$C:$FM,106)</f>
        <v>27.03</v>
      </c>
      <c r="F25" s="50">
        <f>VLOOKUP($A25,'Data shares'!$C:$FM,108)</f>
        <v>-2.92</v>
      </c>
      <c r="G25" s="50">
        <f t="shared" si="0"/>
        <v>0.89197188309285969</v>
      </c>
    </row>
    <row r="26" spans="1:7" x14ac:dyDescent="0.25">
      <c r="A26" s="49" t="str">
        <f>'Data shares'!C21</f>
        <v>BAJAJ-AUTO</v>
      </c>
      <c r="B26" s="50">
        <f>VLOOKUP($A26,'Data shares'!$C:$FM,102)</f>
        <v>24.64</v>
      </c>
      <c r="C26" s="50">
        <f>VLOOKUP($A26,'Data shares'!$C:$FM,110)</f>
        <v>24.41</v>
      </c>
      <c r="D26" s="50">
        <f>VLOOKUP($A26,'Data shares'!$C:$FM,114)</f>
        <v>25.22</v>
      </c>
      <c r="E26" s="50">
        <f>VLOOKUP($A26,'Data shares'!$C:$FM,106)</f>
        <v>30.79</v>
      </c>
      <c r="F26" s="50">
        <f>VLOOKUP($A26,'Data shares'!$C:$FM,108)</f>
        <v>-6.15</v>
      </c>
      <c r="G26" s="50">
        <f t="shared" si="0"/>
        <v>0.80025982461838263</v>
      </c>
    </row>
    <row r="27" spans="1:7" x14ac:dyDescent="0.25">
      <c r="A27" s="49" t="str">
        <f>'Data shares'!C22</f>
        <v>BAJAJFINSV</v>
      </c>
      <c r="B27" s="50">
        <f>VLOOKUP($A27,'Data shares'!$C:$FM,102)</f>
        <v>21.66</v>
      </c>
      <c r="C27" s="50">
        <f>VLOOKUP($A27,'Data shares'!$C:$FM,110)</f>
        <v>21.26</v>
      </c>
      <c r="D27" s="50">
        <f>VLOOKUP($A27,'Data shares'!$C:$FM,114)</f>
        <v>22.75</v>
      </c>
      <c r="E27" s="50">
        <f>VLOOKUP($A27,'Data shares'!$C:$FM,106)</f>
        <v>28.35</v>
      </c>
      <c r="F27" s="50">
        <f>VLOOKUP($A27,'Data shares'!$C:$FM,108)</f>
        <v>-6.69</v>
      </c>
      <c r="G27" s="50">
        <f t="shared" si="0"/>
        <v>0.76402116402116393</v>
      </c>
    </row>
    <row r="28" spans="1:7" x14ac:dyDescent="0.25">
      <c r="A28" s="49" t="str">
        <f>'Data shares'!C23</f>
        <v>BAJFINANCE</v>
      </c>
      <c r="B28" s="50">
        <f>VLOOKUP($A28,'Data shares'!$C:$FM,102)</f>
        <v>25.27</v>
      </c>
      <c r="C28" s="50">
        <f>VLOOKUP($A28,'Data shares'!$C:$FM,110)</f>
        <v>25.14</v>
      </c>
      <c r="D28" s="50">
        <f>VLOOKUP($A28,'Data shares'!$C:$FM,114)</f>
        <v>25.61</v>
      </c>
      <c r="E28" s="50">
        <f>VLOOKUP($A28,'Data shares'!$C:$FM,106)</f>
        <v>31.4</v>
      </c>
      <c r="F28" s="50">
        <f>VLOOKUP($A28,'Data shares'!$C:$FM,108)</f>
        <v>-6.13</v>
      </c>
      <c r="G28" s="50">
        <f t="shared" si="0"/>
        <v>0.80477707006369426</v>
      </c>
    </row>
    <row r="29" spans="1:7" x14ac:dyDescent="0.25">
      <c r="A29" s="49" t="str">
        <f>'Data shares'!C24</f>
        <v>BANDHANBNK</v>
      </c>
      <c r="B29" s="50">
        <f>VLOOKUP($A29,'Data shares'!$C:$FM,102)</f>
        <v>33.85</v>
      </c>
      <c r="C29" s="50">
        <f>VLOOKUP($A29,'Data shares'!$C:$FM,110)</f>
        <v>33.71</v>
      </c>
      <c r="D29" s="50">
        <f>VLOOKUP($A29,'Data shares'!$C:$FM,114)</f>
        <v>34.18</v>
      </c>
      <c r="E29" s="50">
        <f>VLOOKUP($A29,'Data shares'!$C:$FM,106)</f>
        <v>42.04</v>
      </c>
      <c r="F29" s="50">
        <f>VLOOKUP($A29,'Data shares'!$C:$FM,108)</f>
        <v>-8.19</v>
      </c>
      <c r="G29" s="50">
        <f t="shared" si="0"/>
        <v>0.80518553758325406</v>
      </c>
    </row>
    <row r="30" spans="1:7" x14ac:dyDescent="0.25">
      <c r="A30" s="49" t="str">
        <f>'Data shares'!C25</f>
        <v>BANKBARODA</v>
      </c>
      <c r="B30" s="50">
        <f>VLOOKUP($A30,'Data shares'!$C:$FM,102)</f>
        <v>26.04</v>
      </c>
      <c r="C30" s="50">
        <f>VLOOKUP($A30,'Data shares'!$C:$FM,110)</f>
        <v>25.89</v>
      </c>
      <c r="D30" s="50">
        <f>VLOOKUP($A30,'Data shares'!$C:$FM,114)</f>
        <v>26.31</v>
      </c>
      <c r="E30" s="50">
        <f>VLOOKUP($A30,'Data shares'!$C:$FM,106)</f>
        <v>35.82</v>
      </c>
      <c r="F30" s="50">
        <f>VLOOKUP($A30,'Data shares'!$C:$FM,108)</f>
        <v>-9.7799999999999994</v>
      </c>
      <c r="G30" s="50">
        <f t="shared" si="0"/>
        <v>0.72696817420435511</v>
      </c>
    </row>
    <row r="31" spans="1:7" x14ac:dyDescent="0.25">
      <c r="A31" s="49" t="str">
        <f>'Data shares'!C26</f>
        <v>BANKINDIA</v>
      </c>
      <c r="B31" s="50">
        <f>VLOOKUP($A31,'Data shares'!$C:$FM,102)</f>
        <v>30.17</v>
      </c>
      <c r="C31" s="50">
        <f>VLOOKUP($A31,'Data shares'!$C:$FM,110)</f>
        <v>29.7</v>
      </c>
      <c r="D31" s="50">
        <f>VLOOKUP($A31,'Data shares'!$C:$FM,114)</f>
        <v>31.24</v>
      </c>
      <c r="E31" s="50">
        <f>VLOOKUP($A31,'Data shares'!$C:$FM,106)</f>
        <v>39.86</v>
      </c>
      <c r="F31" s="50">
        <f>VLOOKUP($A31,'Data shares'!$C:$FM,108)</f>
        <v>-9.69</v>
      </c>
      <c r="G31" s="50">
        <f t="shared" si="0"/>
        <v>0.75689914701455097</v>
      </c>
    </row>
    <row r="32" spans="1:7" x14ac:dyDescent="0.25">
      <c r="A32" s="49" t="str">
        <f>'Data shares'!C27</f>
        <v>BANKNIFTY</v>
      </c>
      <c r="B32" s="50">
        <f>VLOOKUP($A32,'Data shares'!$C:$FM,102)</f>
        <v>11.46</v>
      </c>
      <c r="C32" s="50">
        <f>VLOOKUP($A32,'Data shares'!$C:$FM,110)</f>
        <v>10.45</v>
      </c>
      <c r="D32" s="50">
        <f>VLOOKUP($A32,'Data shares'!$C:$FM,114)</f>
        <v>12.59</v>
      </c>
      <c r="E32" s="50">
        <f>VLOOKUP($A32,'Data shares'!$C:$FM,106)</f>
        <v>17.45</v>
      </c>
      <c r="F32" s="50">
        <f>VLOOKUP($A32,'Data shares'!$C:$FM,108)</f>
        <v>-5.99</v>
      </c>
      <c r="G32" s="50">
        <f t="shared" si="0"/>
        <v>0.65673352435530097</v>
      </c>
    </row>
    <row r="33" spans="1:7" x14ac:dyDescent="0.25">
      <c r="A33" s="49" t="str">
        <f>'Data shares'!C28</f>
        <v>BDL</v>
      </c>
      <c r="B33" s="50">
        <f>VLOOKUP($A33,'Data shares'!$C:$FM,102)</f>
        <v>35.25</v>
      </c>
      <c r="C33" s="50">
        <f>VLOOKUP($A33,'Data shares'!$C:$FM,110)</f>
        <v>35.21</v>
      </c>
      <c r="D33" s="50">
        <f>VLOOKUP($A33,'Data shares'!$C:$FM,114)</f>
        <v>35.380000000000003</v>
      </c>
      <c r="E33" s="50">
        <f>VLOOKUP($A33,'Data shares'!$C:$FM,106)</f>
        <v>53.64</v>
      </c>
      <c r="F33" s="50">
        <f>VLOOKUP($A33,'Data shares'!$C:$FM,108)</f>
        <v>-18.39</v>
      </c>
      <c r="G33" s="50">
        <f t="shared" si="0"/>
        <v>0.65715883668903807</v>
      </c>
    </row>
    <row r="34" spans="1:7" x14ac:dyDescent="0.25">
      <c r="A34" s="49" t="str">
        <f>'Data shares'!C29</f>
        <v>BEL</v>
      </c>
      <c r="B34" s="50">
        <f>VLOOKUP($A34,'Data shares'!$C:$FM,102)</f>
        <v>25.9</v>
      </c>
      <c r="C34" s="50">
        <f>VLOOKUP($A34,'Data shares'!$C:$FM,110)</f>
        <v>25.75</v>
      </c>
      <c r="D34" s="50">
        <f>VLOOKUP($A34,'Data shares'!$C:$FM,114)</f>
        <v>26.2</v>
      </c>
      <c r="E34" s="50">
        <f>VLOOKUP($A34,'Data shares'!$C:$FM,106)</f>
        <v>38.1</v>
      </c>
      <c r="F34" s="50">
        <f>VLOOKUP($A34,'Data shares'!$C:$FM,108)</f>
        <v>-12.2</v>
      </c>
      <c r="G34" s="50">
        <f t="shared" si="0"/>
        <v>0.67979002624671914</v>
      </c>
    </row>
    <row r="35" spans="1:7" x14ac:dyDescent="0.25">
      <c r="A35" s="49" t="str">
        <f>'Data shares'!C30</f>
        <v>BHARATFORG</v>
      </c>
      <c r="B35" s="50">
        <f>VLOOKUP($A35,'Data shares'!$C:$FM,102)</f>
        <v>27.67</v>
      </c>
      <c r="C35" s="50">
        <f>VLOOKUP($A35,'Data shares'!$C:$FM,110)</f>
        <v>27.65</v>
      </c>
      <c r="D35" s="50">
        <f>VLOOKUP($A35,'Data shares'!$C:$FM,114)</f>
        <v>27.75</v>
      </c>
      <c r="E35" s="50">
        <f>VLOOKUP($A35,'Data shares'!$C:$FM,106)</f>
        <v>38.729999999999997</v>
      </c>
      <c r="F35" s="50">
        <f>VLOOKUP($A35,'Data shares'!$C:$FM,108)</f>
        <v>-11.06</v>
      </c>
      <c r="G35" s="50">
        <f t="shared" si="0"/>
        <v>0.71443325587399964</v>
      </c>
    </row>
    <row r="36" spans="1:7" x14ac:dyDescent="0.25">
      <c r="A36" s="49" t="str">
        <f>'Data shares'!C31</f>
        <v>BHARTIARTL</v>
      </c>
      <c r="B36" s="50">
        <f>VLOOKUP($A36,'Data shares'!$C:$FM,102)</f>
        <v>16.739999999999998</v>
      </c>
      <c r="C36" s="50">
        <f>VLOOKUP($A36,'Data shares'!$C:$FM,110)</f>
        <v>16.690000000000001</v>
      </c>
      <c r="D36" s="50">
        <f>VLOOKUP($A36,'Data shares'!$C:$FM,114)</f>
        <v>16.86</v>
      </c>
      <c r="E36" s="50">
        <f>VLOOKUP($A36,'Data shares'!$C:$FM,106)</f>
        <v>24.92</v>
      </c>
      <c r="F36" s="50">
        <f>VLOOKUP($A36,'Data shares'!$C:$FM,108)</f>
        <v>-8.18</v>
      </c>
      <c r="G36" s="50">
        <f t="shared" si="0"/>
        <v>0.67174959871589079</v>
      </c>
    </row>
    <row r="37" spans="1:7" x14ac:dyDescent="0.25">
      <c r="A37" s="49" t="str">
        <f>'Data shares'!C32</f>
        <v>BHEL</v>
      </c>
      <c r="B37" s="50">
        <f>VLOOKUP($A37,'Data shares'!$C:$FM,102)</f>
        <v>30.31</v>
      </c>
      <c r="C37" s="50">
        <f>VLOOKUP($A37,'Data shares'!$C:$FM,110)</f>
        <v>30.39</v>
      </c>
      <c r="D37" s="50">
        <f>VLOOKUP($A37,'Data shares'!$C:$FM,114)</f>
        <v>30.17</v>
      </c>
      <c r="E37" s="50">
        <f>VLOOKUP($A37,'Data shares'!$C:$FM,106)</f>
        <v>46.46</v>
      </c>
      <c r="F37" s="50">
        <f>VLOOKUP($A37,'Data shares'!$C:$FM,108)</f>
        <v>-16.149999999999999</v>
      </c>
      <c r="G37" s="50">
        <f t="shared" si="0"/>
        <v>0.65238915195867409</v>
      </c>
    </row>
    <row r="38" spans="1:7" x14ac:dyDescent="0.25">
      <c r="A38" s="49" t="str">
        <f>'Data shares'!C33</f>
        <v>BIOCON</v>
      </c>
      <c r="B38" s="50">
        <f>VLOOKUP($A38,'Data shares'!$C:$FM,102)</f>
        <v>25.33</v>
      </c>
      <c r="C38" s="50">
        <f>VLOOKUP($A38,'Data shares'!$C:$FM,110)</f>
        <v>25.2</v>
      </c>
      <c r="D38" s="50">
        <f>VLOOKUP($A38,'Data shares'!$C:$FM,114)</f>
        <v>25.73</v>
      </c>
      <c r="E38" s="50">
        <f>VLOOKUP($A38,'Data shares'!$C:$FM,106)</f>
        <v>39.909999999999997</v>
      </c>
      <c r="F38" s="50">
        <f>VLOOKUP($A38,'Data shares'!$C:$FM,108)</f>
        <v>-14.58</v>
      </c>
      <c r="G38" s="50">
        <f t="shared" si="0"/>
        <v>0.63467802555750441</v>
      </c>
    </row>
    <row r="39" spans="1:7" x14ac:dyDescent="0.25">
      <c r="A39" s="49" t="str">
        <f>'Data shares'!C34</f>
        <v>BLUESTARCO</v>
      </c>
      <c r="B39" s="50">
        <f>VLOOKUP($A39,'Data shares'!$C:$FM,102)</f>
        <v>28.45</v>
      </c>
      <c r="C39" s="50">
        <f>VLOOKUP($A39,'Data shares'!$C:$FM,110)</f>
        <v>28.74</v>
      </c>
      <c r="D39" s="50">
        <f>VLOOKUP($A39,'Data shares'!$C:$FM,114)</f>
        <v>27.9</v>
      </c>
      <c r="E39" s="50">
        <f>VLOOKUP($A39,'Data shares'!$C:$FM,106)</f>
        <v>42.36</v>
      </c>
      <c r="F39" s="50">
        <f>VLOOKUP($A39,'Data shares'!$C:$FM,108)</f>
        <v>-13.91</v>
      </c>
      <c r="G39" s="50">
        <f t="shared" ref="G39:G70" si="1">B39/E39</f>
        <v>0.67162417374881966</v>
      </c>
    </row>
    <row r="40" spans="1:7" x14ac:dyDescent="0.25">
      <c r="A40" s="49" t="str">
        <f>'Data shares'!C35</f>
        <v>BOSCHLTD</v>
      </c>
      <c r="B40" s="50">
        <f>VLOOKUP($A40,'Data shares'!$C:$FM,102)</f>
        <v>21.55</v>
      </c>
      <c r="C40" s="50">
        <f>VLOOKUP($A40,'Data shares'!$C:$FM,110)</f>
        <v>21.35</v>
      </c>
      <c r="D40" s="50">
        <f>VLOOKUP($A40,'Data shares'!$C:$FM,114)</f>
        <v>22.28</v>
      </c>
      <c r="E40" s="50">
        <f>VLOOKUP($A40,'Data shares'!$C:$FM,106)</f>
        <v>29.3</v>
      </c>
      <c r="F40" s="50">
        <f>VLOOKUP($A40,'Data shares'!$C:$FM,108)</f>
        <v>-7.75</v>
      </c>
      <c r="G40" s="50">
        <f t="shared" si="1"/>
        <v>0.73549488054607515</v>
      </c>
    </row>
    <row r="41" spans="1:7" x14ac:dyDescent="0.25">
      <c r="A41" s="49" t="str">
        <f>'Data shares'!C36</f>
        <v>BPCL</v>
      </c>
      <c r="B41" s="50">
        <f>VLOOKUP($A41,'Data shares'!$C:$FM,102)</f>
        <v>27.9</v>
      </c>
      <c r="C41" s="50">
        <f>VLOOKUP($A41,'Data shares'!$C:$FM,110)</f>
        <v>27.73</v>
      </c>
      <c r="D41" s="50">
        <f>VLOOKUP($A41,'Data shares'!$C:$FM,114)</f>
        <v>28.13</v>
      </c>
      <c r="E41" s="50">
        <f>VLOOKUP($A41,'Data shares'!$C:$FM,106)</f>
        <v>33.81</v>
      </c>
      <c r="F41" s="50">
        <f>VLOOKUP($A41,'Data shares'!$C:$FM,108)</f>
        <v>-5.91</v>
      </c>
      <c r="G41" s="50">
        <f t="shared" si="1"/>
        <v>0.82519964507542143</v>
      </c>
    </row>
    <row r="42" spans="1:7" x14ac:dyDescent="0.25">
      <c r="A42" s="49" t="str">
        <f>'Data shares'!C37</f>
        <v>BRITANNIA</v>
      </c>
      <c r="B42" s="50">
        <f>VLOOKUP($A42,'Data shares'!$C:$FM,102)</f>
        <v>20.5</v>
      </c>
      <c r="C42" s="50">
        <f>VLOOKUP($A42,'Data shares'!$C:$FM,110)</f>
        <v>20.420000000000002</v>
      </c>
      <c r="D42" s="50">
        <f>VLOOKUP($A42,'Data shares'!$C:$FM,114)</f>
        <v>20.77</v>
      </c>
      <c r="E42" s="50">
        <f>VLOOKUP($A42,'Data shares'!$C:$FM,106)</f>
        <v>24.8</v>
      </c>
      <c r="F42" s="50">
        <f>VLOOKUP($A42,'Data shares'!$C:$FM,108)</f>
        <v>-4.3</v>
      </c>
      <c r="G42" s="50">
        <f t="shared" si="1"/>
        <v>0.82661290322580638</v>
      </c>
    </row>
    <row r="43" spans="1:7" x14ac:dyDescent="0.25">
      <c r="A43" s="49" t="str">
        <f>'Data shares'!C38</f>
        <v>BSE</v>
      </c>
      <c r="B43" s="50">
        <f>VLOOKUP($A43,'Data shares'!$C:$FM,102)</f>
        <v>46.07</v>
      </c>
      <c r="C43" s="50">
        <f>VLOOKUP($A43,'Data shares'!$C:$FM,110)</f>
        <v>44.72</v>
      </c>
      <c r="D43" s="50">
        <f>VLOOKUP($A43,'Data shares'!$C:$FM,114)</f>
        <v>48.87</v>
      </c>
      <c r="E43" s="50">
        <f>VLOOKUP($A43,'Data shares'!$C:$FM,106)</f>
        <v>64.13</v>
      </c>
      <c r="F43" s="50">
        <f>VLOOKUP($A43,'Data shares'!$C:$FM,108)</f>
        <v>-18.059999999999999</v>
      </c>
      <c r="G43" s="50">
        <f t="shared" si="1"/>
        <v>0.71838453142055203</v>
      </c>
    </row>
    <row r="44" spans="1:7" x14ac:dyDescent="0.25">
      <c r="A44" s="49" t="str">
        <f>'Data shares'!C39</f>
        <v>CAMS</v>
      </c>
      <c r="B44" s="50">
        <f>VLOOKUP($A44,'Data shares'!$C:$FM,102)</f>
        <v>29.92</v>
      </c>
      <c r="C44" s="50">
        <f>VLOOKUP($A44,'Data shares'!$C:$FM,110)</f>
        <v>29.98</v>
      </c>
      <c r="D44" s="50">
        <f>VLOOKUP($A44,'Data shares'!$C:$FM,114)</f>
        <v>29.74</v>
      </c>
      <c r="E44" s="50">
        <f>VLOOKUP($A44,'Data shares'!$C:$FM,106)</f>
        <v>43.15</v>
      </c>
      <c r="F44" s="50">
        <f>VLOOKUP($A44,'Data shares'!$C:$FM,108)</f>
        <v>-13.23</v>
      </c>
      <c r="G44" s="50">
        <f t="shared" si="1"/>
        <v>0.69339513325608348</v>
      </c>
    </row>
    <row r="45" spans="1:7" x14ac:dyDescent="0.25">
      <c r="A45" s="49" t="str">
        <f>'Data shares'!C40</f>
        <v>CANBK</v>
      </c>
      <c r="B45" s="50">
        <f>VLOOKUP($A45,'Data shares'!$C:$FM,102)</f>
        <v>30.54</v>
      </c>
      <c r="C45" s="50">
        <f>VLOOKUP($A45,'Data shares'!$C:$FM,110)</f>
        <v>30.02</v>
      </c>
      <c r="D45" s="50">
        <f>VLOOKUP($A45,'Data shares'!$C:$FM,114)</f>
        <v>31.55</v>
      </c>
      <c r="E45" s="50">
        <f>VLOOKUP($A45,'Data shares'!$C:$FM,106)</f>
        <v>37.94</v>
      </c>
      <c r="F45" s="50">
        <f>VLOOKUP($A45,'Data shares'!$C:$FM,108)</f>
        <v>-7.4</v>
      </c>
      <c r="G45" s="50">
        <f t="shared" si="1"/>
        <v>0.80495519240906699</v>
      </c>
    </row>
    <row r="46" spans="1:7" x14ac:dyDescent="0.25">
      <c r="A46" s="49" t="str">
        <f>'Data shares'!C41</f>
        <v>CDSL</v>
      </c>
      <c r="B46" s="50">
        <f>VLOOKUP($A46,'Data shares'!$C:$FM,102)</f>
        <v>28.99</v>
      </c>
      <c r="C46" s="50">
        <f>VLOOKUP($A46,'Data shares'!$C:$FM,110)</f>
        <v>28.81</v>
      </c>
      <c r="D46" s="50">
        <f>VLOOKUP($A46,'Data shares'!$C:$FM,114)</f>
        <v>29.53</v>
      </c>
      <c r="E46" s="50">
        <f>VLOOKUP($A46,'Data shares'!$C:$FM,106)</f>
        <v>48.13</v>
      </c>
      <c r="F46" s="50">
        <f>VLOOKUP($A46,'Data shares'!$C:$FM,108)</f>
        <v>-19.14</v>
      </c>
      <c r="G46" s="50">
        <f t="shared" si="1"/>
        <v>0.60232703095782247</v>
      </c>
    </row>
    <row r="47" spans="1:7" x14ac:dyDescent="0.25">
      <c r="A47" s="49" t="str">
        <f>'Data shares'!C42</f>
        <v>CGPOWER</v>
      </c>
      <c r="B47" s="50">
        <f>VLOOKUP($A47,'Data shares'!$C:$FM,102)</f>
        <v>32.340000000000003</v>
      </c>
      <c r="C47" s="50">
        <f>VLOOKUP($A47,'Data shares'!$C:$FM,110)</f>
        <v>32.409999999999997</v>
      </c>
      <c r="D47" s="50">
        <f>VLOOKUP($A47,'Data shares'!$C:$FM,114)</f>
        <v>31.96</v>
      </c>
      <c r="E47" s="50">
        <f>VLOOKUP($A47,'Data shares'!$C:$FM,106)</f>
        <v>42.22</v>
      </c>
      <c r="F47" s="50">
        <f>VLOOKUP($A47,'Data shares'!$C:$FM,108)</f>
        <v>-9.8800000000000008</v>
      </c>
      <c r="G47" s="50">
        <f t="shared" si="1"/>
        <v>0.76598768356229285</v>
      </c>
    </row>
    <row r="48" spans="1:7" x14ac:dyDescent="0.25">
      <c r="A48" s="49" t="str">
        <f>'Data shares'!C43</f>
        <v>CHOLAFIN</v>
      </c>
      <c r="B48" s="50">
        <f>VLOOKUP($A48,'Data shares'!$C:$FM,102)</f>
        <v>26.23</v>
      </c>
      <c r="C48" s="50">
        <f>VLOOKUP($A48,'Data shares'!$C:$FM,110)</f>
        <v>26</v>
      </c>
      <c r="D48" s="50">
        <f>VLOOKUP($A48,'Data shares'!$C:$FM,114)</f>
        <v>26.75</v>
      </c>
      <c r="E48" s="50">
        <f>VLOOKUP($A48,'Data shares'!$C:$FM,106)</f>
        <v>39.090000000000003</v>
      </c>
      <c r="F48" s="50">
        <f>VLOOKUP($A48,'Data shares'!$C:$FM,108)</f>
        <v>-12.86</v>
      </c>
      <c r="G48" s="50">
        <f t="shared" si="1"/>
        <v>0.67101560501407009</v>
      </c>
    </row>
    <row r="49" spans="1:7" x14ac:dyDescent="0.25">
      <c r="A49" s="49" t="str">
        <f>'Data shares'!C44</f>
        <v>CIPLA</v>
      </c>
      <c r="B49" s="50">
        <f>VLOOKUP($A49,'Data shares'!$C:$FM,102)</f>
        <v>18.420000000000002</v>
      </c>
      <c r="C49" s="50">
        <f>VLOOKUP($A49,'Data shares'!$C:$FM,110)</f>
        <v>18.010000000000002</v>
      </c>
      <c r="D49" s="50">
        <f>VLOOKUP($A49,'Data shares'!$C:$FM,114)</f>
        <v>19.09</v>
      </c>
      <c r="E49" s="50">
        <f>VLOOKUP($A49,'Data shares'!$C:$FM,106)</f>
        <v>26.3</v>
      </c>
      <c r="F49" s="50">
        <f>VLOOKUP($A49,'Data shares'!$C:$FM,108)</f>
        <v>-7.88</v>
      </c>
      <c r="G49" s="50">
        <f t="shared" si="1"/>
        <v>0.70038022813688217</v>
      </c>
    </row>
    <row r="50" spans="1:7" x14ac:dyDescent="0.25">
      <c r="A50" s="49" t="str">
        <f>'Data shares'!C45</f>
        <v>COALINDIA</v>
      </c>
      <c r="B50" s="50">
        <f>VLOOKUP($A50,'Data shares'!$C:$FM,102)</f>
        <v>18.04</v>
      </c>
      <c r="C50" s="50">
        <f>VLOOKUP($A50,'Data shares'!$C:$FM,110)</f>
        <v>18.25</v>
      </c>
      <c r="D50" s="50">
        <f>VLOOKUP($A50,'Data shares'!$C:$FM,114)</f>
        <v>17.489999999999998</v>
      </c>
      <c r="E50" s="50">
        <f>VLOOKUP($A50,'Data shares'!$C:$FM,106)</f>
        <v>29.25</v>
      </c>
      <c r="F50" s="50">
        <f>VLOOKUP($A50,'Data shares'!$C:$FM,108)</f>
        <v>-11.21</v>
      </c>
      <c r="G50" s="50">
        <f t="shared" si="1"/>
        <v>0.61675213675213669</v>
      </c>
    </row>
    <row r="51" spans="1:7" x14ac:dyDescent="0.25">
      <c r="A51" s="49" t="str">
        <f>'Data shares'!C46</f>
        <v>COFORGE</v>
      </c>
      <c r="B51" s="50">
        <f>VLOOKUP($A51,'Data shares'!$C:$FM,102)</f>
        <v>38.049999999999997</v>
      </c>
      <c r="C51" s="50">
        <f>VLOOKUP($A51,'Data shares'!$C:$FM,110)</f>
        <v>37.83</v>
      </c>
      <c r="D51" s="50">
        <f>VLOOKUP($A51,'Data shares'!$C:$FM,114)</f>
        <v>38.61</v>
      </c>
      <c r="E51" s="50">
        <f>VLOOKUP($A51,'Data shares'!$C:$FM,106)</f>
        <v>43.5</v>
      </c>
      <c r="F51" s="50">
        <f>VLOOKUP($A51,'Data shares'!$C:$FM,108)</f>
        <v>-5.45</v>
      </c>
      <c r="G51" s="50">
        <f t="shared" si="1"/>
        <v>0.87471264367816082</v>
      </c>
    </row>
    <row r="52" spans="1:7" x14ac:dyDescent="0.25">
      <c r="A52" s="49" t="str">
        <f>'Data shares'!C47</f>
        <v>COLPAL</v>
      </c>
      <c r="B52" s="50">
        <f>VLOOKUP($A52,'Data shares'!$C:$FM,102)</f>
        <v>23.66</v>
      </c>
      <c r="C52" s="50">
        <f>VLOOKUP($A52,'Data shares'!$C:$FM,110)</f>
        <v>23.64</v>
      </c>
      <c r="D52" s="50">
        <f>VLOOKUP($A52,'Data shares'!$C:$FM,114)</f>
        <v>23.76</v>
      </c>
      <c r="E52" s="50">
        <f>VLOOKUP($A52,'Data shares'!$C:$FM,106)</f>
        <v>28.55</v>
      </c>
      <c r="F52" s="50">
        <f>VLOOKUP($A52,'Data shares'!$C:$FM,108)</f>
        <v>-4.8899999999999997</v>
      </c>
      <c r="G52" s="50">
        <f t="shared" si="1"/>
        <v>0.82872154115586694</v>
      </c>
    </row>
    <row r="53" spans="1:7" x14ac:dyDescent="0.25">
      <c r="A53" s="49" t="str">
        <f>'Data shares'!C48</f>
        <v>CONCOR</v>
      </c>
      <c r="B53" s="50">
        <f>VLOOKUP($A53,'Data shares'!$C:$FM,102)</f>
        <v>26.29</v>
      </c>
      <c r="C53" s="50">
        <f>VLOOKUP($A53,'Data shares'!$C:$FM,110)</f>
        <v>26.25</v>
      </c>
      <c r="D53" s="50">
        <f>VLOOKUP($A53,'Data shares'!$C:$FM,114)</f>
        <v>26.37</v>
      </c>
      <c r="E53" s="50">
        <f>VLOOKUP($A53,'Data shares'!$C:$FM,106)</f>
        <v>36.81</v>
      </c>
      <c r="F53" s="50">
        <f>VLOOKUP($A53,'Data shares'!$C:$FM,108)</f>
        <v>-10.52</v>
      </c>
      <c r="G53" s="50">
        <f t="shared" si="1"/>
        <v>0.71420809562618848</v>
      </c>
    </row>
    <row r="54" spans="1:7" x14ac:dyDescent="0.25">
      <c r="A54" s="49" t="str">
        <f>'Data shares'!C49</f>
        <v>CROMPTON</v>
      </c>
      <c r="B54" s="50">
        <f>VLOOKUP($A54,'Data shares'!$C:$FM,102)</f>
        <v>29.88</v>
      </c>
      <c r="C54" s="50">
        <f>VLOOKUP($A54,'Data shares'!$C:$FM,110)</f>
        <v>30.11</v>
      </c>
      <c r="D54" s="50">
        <f>VLOOKUP($A54,'Data shares'!$C:$FM,114)</f>
        <v>29.24</v>
      </c>
      <c r="E54" s="50">
        <f>VLOOKUP($A54,'Data shares'!$C:$FM,106)</f>
        <v>33.020000000000003</v>
      </c>
      <c r="F54" s="50">
        <f>VLOOKUP($A54,'Data shares'!$C:$FM,108)</f>
        <v>-3.14</v>
      </c>
      <c r="G54" s="50">
        <f t="shared" si="1"/>
        <v>0.90490611750454264</v>
      </c>
    </row>
    <row r="55" spans="1:7" x14ac:dyDescent="0.25">
      <c r="A55" s="49" t="str">
        <f>'Data shares'!C50</f>
        <v>CUMMINSIND</v>
      </c>
      <c r="B55" s="50">
        <f>VLOOKUP($A55,'Data shares'!$C:$FM,102)</f>
        <v>23.32</v>
      </c>
      <c r="C55" s="50">
        <f>VLOOKUP($A55,'Data shares'!$C:$FM,110)</f>
        <v>23.27</v>
      </c>
      <c r="D55" s="50">
        <f>VLOOKUP($A55,'Data shares'!$C:$FM,114)</f>
        <v>23.48</v>
      </c>
      <c r="E55" s="50">
        <f>VLOOKUP($A55,'Data shares'!$C:$FM,106)</f>
        <v>35.68</v>
      </c>
      <c r="F55" s="50">
        <f>VLOOKUP($A55,'Data shares'!$C:$FM,108)</f>
        <v>-12.36</v>
      </c>
      <c r="G55" s="50">
        <f t="shared" si="1"/>
        <v>0.6535874439461884</v>
      </c>
    </row>
    <row r="56" spans="1:7" x14ac:dyDescent="0.25">
      <c r="A56" s="49" t="str">
        <f>'Data shares'!C51</f>
        <v>CYIENT</v>
      </c>
      <c r="B56" s="50">
        <f>VLOOKUP($A56,'Data shares'!$C:$FM,102)</f>
        <v>36.57</v>
      </c>
      <c r="C56" s="50">
        <f>VLOOKUP($A56,'Data shares'!$C:$FM,110)</f>
        <v>36.68</v>
      </c>
      <c r="D56" s="50">
        <f>VLOOKUP($A56,'Data shares'!$C:$FM,114)</f>
        <v>36.04</v>
      </c>
      <c r="E56" s="50">
        <f>VLOOKUP($A56,'Data shares'!$C:$FM,106)</f>
        <v>44.82</v>
      </c>
      <c r="F56" s="50">
        <f>VLOOKUP($A56,'Data shares'!$C:$FM,108)</f>
        <v>-8.25</v>
      </c>
      <c r="G56" s="50">
        <f t="shared" si="1"/>
        <v>0.81593038821954489</v>
      </c>
    </row>
    <row r="57" spans="1:7" x14ac:dyDescent="0.25">
      <c r="A57" s="49" t="str">
        <f>'Data shares'!C52</f>
        <v>DABUR</v>
      </c>
      <c r="B57" s="50">
        <f>VLOOKUP($A57,'Data shares'!$C:$FM,102)</f>
        <v>22.6</v>
      </c>
      <c r="C57" s="50">
        <f>VLOOKUP($A57,'Data shares'!$C:$FM,110)</f>
        <v>22.93</v>
      </c>
      <c r="D57" s="50">
        <f>VLOOKUP($A57,'Data shares'!$C:$FM,114)</f>
        <v>21.78</v>
      </c>
      <c r="E57" s="50">
        <f>VLOOKUP($A57,'Data shares'!$C:$FM,106)</f>
        <v>25.59</v>
      </c>
      <c r="F57" s="50">
        <f>VLOOKUP($A57,'Data shares'!$C:$FM,108)</f>
        <v>-2.99</v>
      </c>
      <c r="G57" s="50">
        <f t="shared" si="1"/>
        <v>0.88315748339194999</v>
      </c>
    </row>
    <row r="58" spans="1:7" x14ac:dyDescent="0.25">
      <c r="A58" s="49" t="str">
        <f>'Data shares'!C53</f>
        <v>DALBHARAT</v>
      </c>
      <c r="B58" s="50">
        <f>VLOOKUP($A58,'Data shares'!$C:$FM,102)</f>
        <v>25.37</v>
      </c>
      <c r="C58" s="50">
        <f>VLOOKUP($A58,'Data shares'!$C:$FM,110)</f>
        <v>25.35</v>
      </c>
      <c r="D58" s="50">
        <f>VLOOKUP($A58,'Data shares'!$C:$FM,114)</f>
        <v>25.47</v>
      </c>
      <c r="E58" s="50">
        <f>VLOOKUP($A58,'Data shares'!$C:$FM,106)</f>
        <v>30.65</v>
      </c>
      <c r="F58" s="50">
        <f>VLOOKUP($A58,'Data shares'!$C:$FM,108)</f>
        <v>-5.28</v>
      </c>
      <c r="G58" s="50">
        <f t="shared" si="1"/>
        <v>0.82773246329526928</v>
      </c>
    </row>
    <row r="59" spans="1:7" x14ac:dyDescent="0.25">
      <c r="A59" s="49" t="str">
        <f>'Data shares'!C54</f>
        <v>DELHIVERY</v>
      </c>
      <c r="B59" s="50">
        <f>VLOOKUP($A59,'Data shares'!$C:$FM,102)</f>
        <v>31.65</v>
      </c>
      <c r="C59" s="50">
        <f>VLOOKUP($A59,'Data shares'!$C:$FM,110)</f>
        <v>31.18</v>
      </c>
      <c r="D59" s="50">
        <f>VLOOKUP($A59,'Data shares'!$C:$FM,114)</f>
        <v>32.64</v>
      </c>
      <c r="E59" s="50">
        <f>VLOOKUP($A59,'Data shares'!$C:$FM,106)</f>
        <v>41.11</v>
      </c>
      <c r="F59" s="50">
        <f>VLOOKUP($A59,'Data shares'!$C:$FM,108)</f>
        <v>-9.4600000000000009</v>
      </c>
      <c r="G59" s="50">
        <f t="shared" si="1"/>
        <v>0.76988567258574558</v>
      </c>
    </row>
    <row r="60" spans="1:7" x14ac:dyDescent="0.25">
      <c r="A60" s="49" t="str">
        <f>'Data shares'!C55</f>
        <v>DIVISLAB</v>
      </c>
      <c r="B60" s="50">
        <f>VLOOKUP($A60,'Data shares'!$C:$FM,102)</f>
        <v>23.29</v>
      </c>
      <c r="C60" s="50">
        <f>VLOOKUP($A60,'Data shares'!$C:$FM,110)</f>
        <v>23.17</v>
      </c>
      <c r="D60" s="50">
        <f>VLOOKUP($A60,'Data shares'!$C:$FM,114)</f>
        <v>23.52</v>
      </c>
      <c r="E60" s="50">
        <f>VLOOKUP($A60,'Data shares'!$C:$FM,106)</f>
        <v>31.29</v>
      </c>
      <c r="F60" s="50">
        <f>VLOOKUP($A60,'Data shares'!$C:$FM,108)</f>
        <v>-8</v>
      </c>
      <c r="G60" s="50">
        <f t="shared" si="1"/>
        <v>0.74432726110578462</v>
      </c>
    </row>
    <row r="61" spans="1:7" x14ac:dyDescent="0.25">
      <c r="A61" s="49" t="str">
        <f>'Data shares'!C56</f>
        <v>DIXON</v>
      </c>
      <c r="B61" s="50">
        <f>VLOOKUP($A61,'Data shares'!$C:$FM,102)</f>
        <v>33.049999999999997</v>
      </c>
      <c r="C61" s="50">
        <f>VLOOKUP($A61,'Data shares'!$C:$FM,110)</f>
        <v>32.49</v>
      </c>
      <c r="D61" s="50">
        <f>VLOOKUP($A61,'Data shares'!$C:$FM,114)</f>
        <v>34.39</v>
      </c>
      <c r="E61" s="50">
        <f>VLOOKUP($A61,'Data shares'!$C:$FM,106)</f>
        <v>45.49</v>
      </c>
      <c r="F61" s="50">
        <f>VLOOKUP($A61,'Data shares'!$C:$FM,108)</f>
        <v>-12.44</v>
      </c>
      <c r="G61" s="50">
        <f t="shared" si="1"/>
        <v>0.72653330402286209</v>
      </c>
    </row>
    <row r="62" spans="1:7" x14ac:dyDescent="0.25">
      <c r="A62" s="49" t="str">
        <f>'Data shares'!C57</f>
        <v>DLF</v>
      </c>
      <c r="B62" s="50">
        <f>VLOOKUP($A62,'Data shares'!$C:$FM,102)</f>
        <v>27.19</v>
      </c>
      <c r="C62" s="50">
        <f>VLOOKUP($A62,'Data shares'!$C:$FM,110)</f>
        <v>27.02</v>
      </c>
      <c r="D62" s="50">
        <f>VLOOKUP($A62,'Data shares'!$C:$FM,114)</f>
        <v>27.77</v>
      </c>
      <c r="E62" s="50">
        <f>VLOOKUP($A62,'Data shares'!$C:$FM,106)</f>
        <v>37.42</v>
      </c>
      <c r="F62" s="50">
        <f>VLOOKUP($A62,'Data shares'!$C:$FM,108)</f>
        <v>-10.23</v>
      </c>
      <c r="G62" s="50">
        <f t="shared" si="1"/>
        <v>0.72661678246926775</v>
      </c>
    </row>
    <row r="63" spans="1:7" x14ac:dyDescent="0.25">
      <c r="A63" s="49" t="str">
        <f>'Data shares'!C58</f>
        <v>DMART</v>
      </c>
      <c r="B63" s="50">
        <f>VLOOKUP($A63,'Data shares'!$C:$FM,102)</f>
        <v>32.43</v>
      </c>
      <c r="C63" s="50">
        <f>VLOOKUP($A63,'Data shares'!$C:$FM,110)</f>
        <v>32.74</v>
      </c>
      <c r="D63" s="50">
        <f>VLOOKUP($A63,'Data shares'!$C:$FM,114)</f>
        <v>31.92</v>
      </c>
      <c r="E63" s="50">
        <f>VLOOKUP($A63,'Data shares'!$C:$FM,106)</f>
        <v>33.19</v>
      </c>
      <c r="F63" s="50">
        <f>VLOOKUP($A63,'Data shares'!$C:$FM,108)</f>
        <v>-0.76</v>
      </c>
      <c r="G63" s="50">
        <f t="shared" si="1"/>
        <v>0.97710153660741195</v>
      </c>
    </row>
    <row r="64" spans="1:7" x14ac:dyDescent="0.25">
      <c r="A64" s="49" t="str">
        <f>'Data shares'!C59</f>
        <v>DRREDDY</v>
      </c>
      <c r="B64" s="50">
        <f>VLOOKUP($A64,'Data shares'!$C:$FM,102)</f>
        <v>22.33</v>
      </c>
      <c r="C64" s="50">
        <f>VLOOKUP($A64,'Data shares'!$C:$FM,110)</f>
        <v>21.72</v>
      </c>
      <c r="D64" s="50">
        <f>VLOOKUP($A64,'Data shares'!$C:$FM,114)</f>
        <v>23.73</v>
      </c>
      <c r="E64" s="50">
        <f>VLOOKUP($A64,'Data shares'!$C:$FM,106)</f>
        <v>24.94</v>
      </c>
      <c r="F64" s="50">
        <f>VLOOKUP($A64,'Data shares'!$C:$FM,108)</f>
        <v>-2.61</v>
      </c>
      <c r="G64" s="50">
        <f t="shared" si="1"/>
        <v>0.89534883720930225</v>
      </c>
    </row>
    <row r="65" spans="1:7" x14ac:dyDescent="0.25">
      <c r="A65" s="49" t="str">
        <f>'Data shares'!C60</f>
        <v>EICHERMOT</v>
      </c>
      <c r="B65" s="50">
        <f>VLOOKUP($A65,'Data shares'!$C:$FM,102)</f>
        <v>21.41</v>
      </c>
      <c r="C65" s="50">
        <f>VLOOKUP($A65,'Data shares'!$C:$FM,110)</f>
        <v>21.51</v>
      </c>
      <c r="D65" s="50">
        <f>VLOOKUP($A65,'Data shares'!$C:$FM,114)</f>
        <v>21.19</v>
      </c>
      <c r="E65" s="50">
        <f>VLOOKUP($A65,'Data shares'!$C:$FM,106)</f>
        <v>28.41</v>
      </c>
      <c r="F65" s="50">
        <f>VLOOKUP($A65,'Data shares'!$C:$FM,108)</f>
        <v>-7</v>
      </c>
      <c r="G65" s="50">
        <f t="shared" si="1"/>
        <v>0.75360788454769445</v>
      </c>
    </row>
    <row r="66" spans="1:7" x14ac:dyDescent="0.25">
      <c r="A66" s="49" t="str">
        <f>'Data shares'!C61</f>
        <v>ETERNAL</v>
      </c>
      <c r="B66" s="50">
        <f>VLOOKUP($A66,'Data shares'!$C:$FM,102)</f>
        <v>32.130000000000003</v>
      </c>
      <c r="C66" s="50">
        <f>VLOOKUP($A66,'Data shares'!$C:$FM,110)</f>
        <v>31.13</v>
      </c>
      <c r="D66" s="50">
        <f>VLOOKUP($A66,'Data shares'!$C:$FM,114)</f>
        <v>34.06</v>
      </c>
      <c r="E66" s="50">
        <f>VLOOKUP($A66,'Data shares'!$C:$FM,106)</f>
        <v>46.41</v>
      </c>
      <c r="F66" s="50">
        <f>VLOOKUP($A66,'Data shares'!$C:$FM,108)</f>
        <v>-14.28</v>
      </c>
      <c r="G66" s="50">
        <f t="shared" si="1"/>
        <v>0.6923076923076924</v>
      </c>
    </row>
    <row r="67" spans="1:7" x14ac:dyDescent="0.25">
      <c r="A67" s="49" t="str">
        <f>'Data shares'!C62</f>
        <v>EXIDEIND</v>
      </c>
      <c r="B67" s="50">
        <f>VLOOKUP($A67,'Data shares'!$C:$FM,102)</f>
        <v>25.02</v>
      </c>
      <c r="C67" s="50">
        <f>VLOOKUP($A67,'Data shares'!$C:$FM,110)</f>
        <v>24.91</v>
      </c>
      <c r="D67" s="50">
        <f>VLOOKUP($A67,'Data shares'!$C:$FM,114)</f>
        <v>25.29</v>
      </c>
      <c r="E67" s="50">
        <f>VLOOKUP($A67,'Data shares'!$C:$FM,106)</f>
        <v>36.19</v>
      </c>
      <c r="F67" s="50">
        <f>VLOOKUP($A67,'Data shares'!$C:$FM,108)</f>
        <v>-11.17</v>
      </c>
      <c r="G67" s="50">
        <f t="shared" si="1"/>
        <v>0.69135120198949984</v>
      </c>
    </row>
    <row r="68" spans="1:7" x14ac:dyDescent="0.25">
      <c r="A68" s="49" t="str">
        <f>'Data shares'!C63</f>
        <v>FEDERALBNK</v>
      </c>
      <c r="B68" s="50">
        <f>VLOOKUP($A68,'Data shares'!$C:$FM,102)</f>
        <v>24.42</v>
      </c>
      <c r="C68" s="50">
        <f>VLOOKUP($A68,'Data shares'!$C:$FM,110)</f>
        <v>24.52</v>
      </c>
      <c r="D68" s="50">
        <f>VLOOKUP($A68,'Data shares'!$C:$FM,114)</f>
        <v>24.09</v>
      </c>
      <c r="E68" s="50">
        <f>VLOOKUP($A68,'Data shares'!$C:$FM,106)</f>
        <v>28.47</v>
      </c>
      <c r="F68" s="50">
        <f>VLOOKUP($A68,'Data shares'!$C:$FM,108)</f>
        <v>-4.05</v>
      </c>
      <c r="G68" s="50">
        <f t="shared" si="1"/>
        <v>0.85774499473129617</v>
      </c>
    </row>
    <row r="69" spans="1:7" x14ac:dyDescent="0.25">
      <c r="A69" s="49" t="str">
        <f>'Data shares'!C64</f>
        <v>FINNIFTY</v>
      </c>
      <c r="B69" s="50">
        <f>VLOOKUP($A69,'Data shares'!$C:$FM,102)</f>
        <v>11.29</v>
      </c>
      <c r="C69" s="50">
        <f>VLOOKUP($A69,'Data shares'!$C:$FM,110)</f>
        <v>10.78</v>
      </c>
      <c r="D69" s="50">
        <f>VLOOKUP($A69,'Data shares'!$C:$FM,114)</f>
        <v>12.12</v>
      </c>
      <c r="E69" s="50">
        <f>VLOOKUP($A69,'Data shares'!$C:$FM,106)</f>
        <v>17.920000000000002</v>
      </c>
      <c r="F69" s="50">
        <f>VLOOKUP($A69,'Data shares'!$C:$FM,108)</f>
        <v>-6.63</v>
      </c>
      <c r="G69" s="50">
        <f t="shared" si="1"/>
        <v>0.63002232142857129</v>
      </c>
    </row>
    <row r="70" spans="1:7" x14ac:dyDescent="0.25">
      <c r="A70" s="49" t="str">
        <f>'Data shares'!C65</f>
        <v>FORTIS</v>
      </c>
      <c r="B70" s="50">
        <f>VLOOKUP($A70,'Data shares'!$C:$FM,102)</f>
        <v>28.02</v>
      </c>
      <c r="C70" s="50">
        <f>VLOOKUP($A70,'Data shares'!$C:$FM,110)</f>
        <v>27.71</v>
      </c>
      <c r="D70" s="50">
        <f>VLOOKUP($A70,'Data shares'!$C:$FM,114)</f>
        <v>28.89</v>
      </c>
      <c r="E70" s="50">
        <f>VLOOKUP($A70,'Data shares'!$C:$FM,106)</f>
        <v>37.15</v>
      </c>
      <c r="F70" s="50">
        <f>VLOOKUP($A70,'Data shares'!$C:$FM,108)</f>
        <v>-9.1300000000000008</v>
      </c>
      <c r="G70" s="50">
        <f t="shared" si="1"/>
        <v>0.75423956931359359</v>
      </c>
    </row>
    <row r="71" spans="1:7" x14ac:dyDescent="0.25">
      <c r="A71" s="49" t="str">
        <f>'Data shares'!C66</f>
        <v>GAIL</v>
      </c>
      <c r="B71" s="50">
        <f>VLOOKUP($A71,'Data shares'!$C:$FM,102)</f>
        <v>26.29</v>
      </c>
      <c r="C71" s="50">
        <f>VLOOKUP($A71,'Data shares'!$C:$FM,110)</f>
        <v>26.54</v>
      </c>
      <c r="D71" s="50">
        <f>VLOOKUP($A71,'Data shares'!$C:$FM,114)</f>
        <v>25.31</v>
      </c>
      <c r="E71" s="50">
        <f>VLOOKUP($A71,'Data shares'!$C:$FM,106)</f>
        <v>36.78</v>
      </c>
      <c r="F71" s="50">
        <f>VLOOKUP($A71,'Data shares'!$C:$FM,108)</f>
        <v>-10.49</v>
      </c>
      <c r="G71" s="50">
        <f t="shared" ref="G71:G102" si="2">B71/E71</f>
        <v>0.71479064709081019</v>
      </c>
    </row>
    <row r="72" spans="1:7" x14ac:dyDescent="0.25">
      <c r="A72" s="49" t="str">
        <f>'Data shares'!C67</f>
        <v>GLENMARK</v>
      </c>
      <c r="B72" s="50">
        <f>VLOOKUP($A72,'Data shares'!$C:$FM,102)</f>
        <v>27.35</v>
      </c>
      <c r="C72" s="50">
        <f>VLOOKUP($A72,'Data shares'!$C:$FM,110)</f>
        <v>27.45</v>
      </c>
      <c r="D72" s="50">
        <f>VLOOKUP($A72,'Data shares'!$C:$FM,114)</f>
        <v>27.11</v>
      </c>
      <c r="E72" s="50">
        <f>VLOOKUP($A72,'Data shares'!$C:$FM,106)</f>
        <v>38.79</v>
      </c>
      <c r="F72" s="50">
        <f>VLOOKUP($A72,'Data shares'!$C:$FM,108)</f>
        <v>-11.44</v>
      </c>
      <c r="G72" s="50">
        <f t="shared" si="2"/>
        <v>0.70507862851250325</v>
      </c>
    </row>
    <row r="73" spans="1:7" x14ac:dyDescent="0.25">
      <c r="A73" s="49" t="str">
        <f>'Data shares'!C68</f>
        <v>GMRAIRPORT</v>
      </c>
      <c r="B73" s="50">
        <f>VLOOKUP($A73,'Data shares'!$C:$FM,102)</f>
        <v>27.14</v>
      </c>
      <c r="C73" s="50">
        <f>VLOOKUP($A73,'Data shares'!$C:$FM,110)</f>
        <v>27.57</v>
      </c>
      <c r="D73" s="50">
        <f>VLOOKUP($A73,'Data shares'!$C:$FM,114)</f>
        <v>25.98</v>
      </c>
      <c r="E73" s="50">
        <f>VLOOKUP($A73,'Data shares'!$C:$FM,106)</f>
        <v>37.61</v>
      </c>
      <c r="F73" s="50">
        <f>VLOOKUP($A73,'Data shares'!$C:$FM,108)</f>
        <v>-10.47</v>
      </c>
      <c r="G73" s="50">
        <f t="shared" si="2"/>
        <v>0.72161659133209255</v>
      </c>
    </row>
    <row r="74" spans="1:7" x14ac:dyDescent="0.25">
      <c r="A74" s="49" t="str">
        <f>'Data shares'!C69</f>
        <v>GODREJCP</v>
      </c>
      <c r="B74" s="50">
        <f>VLOOKUP($A74,'Data shares'!$C:$FM,102)</f>
        <v>26.62</v>
      </c>
      <c r="C74" s="50">
        <f>VLOOKUP($A74,'Data shares'!$C:$FM,110)</f>
        <v>26.24</v>
      </c>
      <c r="D74" s="50">
        <f>VLOOKUP($A74,'Data shares'!$C:$FM,114)</f>
        <v>27.37</v>
      </c>
      <c r="E74" s="50">
        <f>VLOOKUP($A74,'Data shares'!$C:$FM,106)</f>
        <v>30.24</v>
      </c>
      <c r="F74" s="50">
        <f>VLOOKUP($A74,'Data shares'!$C:$FM,108)</f>
        <v>-3.62</v>
      </c>
      <c r="G74" s="50">
        <f t="shared" si="2"/>
        <v>0.88029100529100535</v>
      </c>
    </row>
    <row r="75" spans="1:7" x14ac:dyDescent="0.25">
      <c r="A75" s="49" t="str">
        <f>'Data shares'!C70</f>
        <v>GODREJPROP</v>
      </c>
      <c r="B75" s="50">
        <f>VLOOKUP($A75,'Data shares'!$C:$FM,102)</f>
        <v>31.18</v>
      </c>
      <c r="C75" s="50">
        <f>VLOOKUP($A75,'Data shares'!$C:$FM,110)</f>
        <v>31.12</v>
      </c>
      <c r="D75" s="50">
        <f>VLOOKUP($A75,'Data shares'!$C:$FM,114)</f>
        <v>31.33</v>
      </c>
      <c r="E75" s="50">
        <f>VLOOKUP($A75,'Data shares'!$C:$FM,106)</f>
        <v>44.54</v>
      </c>
      <c r="F75" s="50">
        <f>VLOOKUP($A75,'Data shares'!$C:$FM,108)</f>
        <v>-13.36</v>
      </c>
      <c r="G75" s="50">
        <f t="shared" si="2"/>
        <v>0.7000449034575662</v>
      </c>
    </row>
    <row r="76" spans="1:7" x14ac:dyDescent="0.25">
      <c r="A76" s="49" t="str">
        <f>'Data shares'!C71</f>
        <v>GRASIM</v>
      </c>
      <c r="B76" s="50">
        <f>VLOOKUP($A76,'Data shares'!$C:$FM,102)</f>
        <v>19.25</v>
      </c>
      <c r="C76" s="50">
        <f>VLOOKUP($A76,'Data shares'!$C:$FM,110)</f>
        <v>19.29</v>
      </c>
      <c r="D76" s="50">
        <f>VLOOKUP($A76,'Data shares'!$C:$FM,114)</f>
        <v>19.170000000000002</v>
      </c>
      <c r="E76" s="50">
        <f>VLOOKUP($A76,'Data shares'!$C:$FM,106)</f>
        <v>25.78</v>
      </c>
      <c r="F76" s="50">
        <f>VLOOKUP($A76,'Data shares'!$C:$FM,108)</f>
        <v>-6.53</v>
      </c>
      <c r="G76" s="50">
        <f t="shared" si="2"/>
        <v>0.74670287044220318</v>
      </c>
    </row>
    <row r="77" spans="1:7" x14ac:dyDescent="0.25">
      <c r="A77" s="49" t="str">
        <f>'Data shares'!C72</f>
        <v>HAL</v>
      </c>
      <c r="B77" s="50">
        <f>VLOOKUP($A77,'Data shares'!$C:$FM,102)</f>
        <v>27.74</v>
      </c>
      <c r="C77" s="50">
        <f>VLOOKUP($A77,'Data shares'!$C:$FM,110)</f>
        <v>27.81</v>
      </c>
      <c r="D77" s="50">
        <f>VLOOKUP($A77,'Data shares'!$C:$FM,114)</f>
        <v>27.47</v>
      </c>
      <c r="E77" s="50">
        <f>VLOOKUP($A77,'Data shares'!$C:$FM,106)</f>
        <v>40.42</v>
      </c>
      <c r="F77" s="50">
        <f>VLOOKUP($A77,'Data shares'!$C:$FM,108)</f>
        <v>-12.68</v>
      </c>
      <c r="G77" s="50">
        <f t="shared" si="2"/>
        <v>0.68629391390400785</v>
      </c>
    </row>
    <row r="78" spans="1:7" x14ac:dyDescent="0.25">
      <c r="A78" s="49" t="str">
        <f>'Data shares'!C73</f>
        <v>HAVELLS</v>
      </c>
      <c r="B78" s="50">
        <f>VLOOKUP($A78,'Data shares'!$C:$FM,102)</f>
        <v>26.02</v>
      </c>
      <c r="C78" s="50">
        <f>VLOOKUP($A78,'Data shares'!$C:$FM,110)</f>
        <v>26.08</v>
      </c>
      <c r="D78" s="50">
        <f>VLOOKUP($A78,'Data shares'!$C:$FM,114)</f>
        <v>25.88</v>
      </c>
      <c r="E78" s="50">
        <f>VLOOKUP($A78,'Data shares'!$C:$FM,106)</f>
        <v>28.8</v>
      </c>
      <c r="F78" s="50">
        <f>VLOOKUP($A78,'Data shares'!$C:$FM,108)</f>
        <v>-2.78</v>
      </c>
      <c r="G78" s="50">
        <f t="shared" si="2"/>
        <v>0.90347222222222223</v>
      </c>
    </row>
    <row r="79" spans="1:7" x14ac:dyDescent="0.25">
      <c r="A79" s="49" t="str">
        <f>'Data shares'!C74</f>
        <v>HCLTECH</v>
      </c>
      <c r="B79" s="50">
        <f>VLOOKUP($A79,'Data shares'!$C:$FM,102)</f>
        <v>26</v>
      </c>
      <c r="C79" s="50">
        <f>VLOOKUP($A79,'Data shares'!$C:$FM,110)</f>
        <v>25.75</v>
      </c>
      <c r="D79" s="50">
        <f>VLOOKUP($A79,'Data shares'!$C:$FM,114)</f>
        <v>26.66</v>
      </c>
      <c r="E79" s="50">
        <f>VLOOKUP($A79,'Data shares'!$C:$FM,106)</f>
        <v>29.19</v>
      </c>
      <c r="F79" s="50">
        <f>VLOOKUP($A79,'Data shares'!$C:$FM,108)</f>
        <v>-3.19</v>
      </c>
      <c r="G79" s="50">
        <f t="shared" si="2"/>
        <v>0.89071599862966766</v>
      </c>
    </row>
    <row r="80" spans="1:7" x14ac:dyDescent="0.25">
      <c r="A80" s="49" t="str">
        <f>'Data shares'!C75</f>
        <v>HDFCAMC</v>
      </c>
      <c r="B80" s="50">
        <f>VLOOKUP($A80,'Data shares'!$C:$FM,102)</f>
        <v>25.71</v>
      </c>
      <c r="C80" s="50">
        <f>VLOOKUP($A80,'Data shares'!$C:$FM,110)</f>
        <v>25.52</v>
      </c>
      <c r="D80" s="50">
        <f>VLOOKUP($A80,'Data shares'!$C:$FM,114)</f>
        <v>26.24</v>
      </c>
      <c r="E80" s="50">
        <f>VLOOKUP($A80,'Data shares'!$C:$FM,106)</f>
        <v>35.14</v>
      </c>
      <c r="F80" s="50">
        <f>VLOOKUP($A80,'Data shares'!$C:$FM,108)</f>
        <v>-9.43</v>
      </c>
      <c r="G80" s="50">
        <f t="shared" si="2"/>
        <v>0.73164484917472972</v>
      </c>
    </row>
    <row r="81" spans="1:7" x14ac:dyDescent="0.25">
      <c r="A81" s="49" t="str">
        <f>'Data shares'!C76</f>
        <v>HDFCBANK</v>
      </c>
      <c r="B81" s="50">
        <f>VLOOKUP($A81,'Data shares'!$C:$FM,102)</f>
        <v>17.96</v>
      </c>
      <c r="C81" s="50">
        <f>VLOOKUP($A81,'Data shares'!$C:$FM,110)</f>
        <v>17.850000000000001</v>
      </c>
      <c r="D81" s="50">
        <f>VLOOKUP($A81,'Data shares'!$C:$FM,114)</f>
        <v>18.14</v>
      </c>
      <c r="E81" s="50">
        <f>VLOOKUP($A81,'Data shares'!$C:$FM,106)</f>
        <v>21.46</v>
      </c>
      <c r="F81" s="50">
        <f>VLOOKUP($A81,'Data shares'!$C:$FM,108)</f>
        <v>-3.5</v>
      </c>
      <c r="G81" s="50">
        <f t="shared" si="2"/>
        <v>0.83690587138863004</v>
      </c>
    </row>
    <row r="82" spans="1:7" x14ac:dyDescent="0.25">
      <c r="A82" s="49" t="str">
        <f>'Data shares'!C77</f>
        <v>HDFCLIFE</v>
      </c>
      <c r="B82" s="50">
        <f>VLOOKUP($A82,'Data shares'!$C:$FM,102)</f>
        <v>22.78</v>
      </c>
      <c r="C82" s="50">
        <f>VLOOKUP($A82,'Data shares'!$C:$FM,110)</f>
        <v>22.73</v>
      </c>
      <c r="D82" s="50">
        <f>VLOOKUP($A82,'Data shares'!$C:$FM,114)</f>
        <v>22.9</v>
      </c>
      <c r="E82" s="50">
        <f>VLOOKUP($A82,'Data shares'!$C:$FM,106)</f>
        <v>26.09</v>
      </c>
      <c r="F82" s="50">
        <f>VLOOKUP($A82,'Data shares'!$C:$FM,108)</f>
        <v>-3.31</v>
      </c>
      <c r="G82" s="50">
        <f t="shared" si="2"/>
        <v>0.87313146799540053</v>
      </c>
    </row>
    <row r="83" spans="1:7" x14ac:dyDescent="0.25">
      <c r="A83" s="49" t="str">
        <f>'Data shares'!C78</f>
        <v>HEROMOTOCO</v>
      </c>
      <c r="B83" s="50">
        <f>VLOOKUP($A83,'Data shares'!$C:$FM,102)</f>
        <v>25.1</v>
      </c>
      <c r="C83" s="50">
        <f>VLOOKUP($A83,'Data shares'!$C:$FM,110)</f>
        <v>24.66</v>
      </c>
      <c r="D83" s="50">
        <f>VLOOKUP($A83,'Data shares'!$C:$FM,114)</f>
        <v>25.96</v>
      </c>
      <c r="E83" s="50">
        <f>VLOOKUP($A83,'Data shares'!$C:$FM,106)</f>
        <v>31.16</v>
      </c>
      <c r="F83" s="50">
        <f>VLOOKUP($A83,'Data shares'!$C:$FM,108)</f>
        <v>-6.06</v>
      </c>
      <c r="G83" s="50">
        <f t="shared" si="2"/>
        <v>0.80551989730423623</v>
      </c>
    </row>
    <row r="84" spans="1:7" x14ac:dyDescent="0.25">
      <c r="A84" s="49" t="str">
        <f>'Data shares'!C79</f>
        <v>HFCL</v>
      </c>
      <c r="B84" s="50">
        <f>VLOOKUP($A84,'Data shares'!$C:$FM,102)</f>
        <v>41.64</v>
      </c>
      <c r="C84" s="50">
        <f>VLOOKUP($A84,'Data shares'!$C:$FM,110)</f>
        <v>41.76</v>
      </c>
      <c r="D84" s="50">
        <f>VLOOKUP($A84,'Data shares'!$C:$FM,114)</f>
        <v>41.19</v>
      </c>
      <c r="E84" s="50">
        <f>VLOOKUP($A84,'Data shares'!$C:$FM,106)</f>
        <v>55.33</v>
      </c>
      <c r="F84" s="50">
        <f>VLOOKUP($A84,'Data shares'!$C:$FM,108)</f>
        <v>-13.69</v>
      </c>
      <c r="G84" s="50">
        <f t="shared" si="2"/>
        <v>0.75257545635279233</v>
      </c>
    </row>
    <row r="85" spans="1:7" x14ac:dyDescent="0.25">
      <c r="A85" s="49" t="str">
        <f>'Data shares'!C80</f>
        <v>HINDALCO</v>
      </c>
      <c r="B85" s="50">
        <f>VLOOKUP($A85,'Data shares'!$C:$FM,102)</f>
        <v>24.41</v>
      </c>
      <c r="C85" s="50">
        <f>VLOOKUP($A85,'Data shares'!$C:$FM,110)</f>
        <v>24.12</v>
      </c>
      <c r="D85" s="50">
        <f>VLOOKUP($A85,'Data shares'!$C:$FM,114)</f>
        <v>24.97</v>
      </c>
      <c r="E85" s="50">
        <f>VLOOKUP($A85,'Data shares'!$C:$FM,106)</f>
        <v>33.54</v>
      </c>
      <c r="F85" s="50">
        <f>VLOOKUP($A85,'Data shares'!$C:$FM,108)</f>
        <v>-9.1300000000000008</v>
      </c>
      <c r="G85" s="50">
        <f t="shared" si="2"/>
        <v>0.72778771615980919</v>
      </c>
    </row>
    <row r="86" spans="1:7" x14ac:dyDescent="0.25">
      <c r="A86" s="49" t="str">
        <f>'Data shares'!C81</f>
        <v>HINDPETRO</v>
      </c>
      <c r="B86" s="50">
        <f>VLOOKUP($A86,'Data shares'!$C:$FM,102)</f>
        <v>32.159999999999997</v>
      </c>
      <c r="C86" s="50">
        <f>VLOOKUP($A86,'Data shares'!$C:$FM,110)</f>
        <v>32.15</v>
      </c>
      <c r="D86" s="50">
        <f>VLOOKUP($A86,'Data shares'!$C:$FM,114)</f>
        <v>32.17</v>
      </c>
      <c r="E86" s="50">
        <f>VLOOKUP($A86,'Data shares'!$C:$FM,106)</f>
        <v>41.34</v>
      </c>
      <c r="F86" s="50">
        <f>VLOOKUP($A86,'Data shares'!$C:$FM,108)</f>
        <v>-9.18</v>
      </c>
      <c r="G86" s="50">
        <f t="shared" si="2"/>
        <v>0.77793904208998532</v>
      </c>
    </row>
    <row r="87" spans="1:7" x14ac:dyDescent="0.25">
      <c r="A87" s="49" t="str">
        <f>'Data shares'!C82</f>
        <v>HINDUNILVR</v>
      </c>
      <c r="B87" s="50">
        <f>VLOOKUP($A87,'Data shares'!$C:$FM,102)</f>
        <v>18.579999999999998</v>
      </c>
      <c r="C87" s="50">
        <f>VLOOKUP($A87,'Data shares'!$C:$FM,110)</f>
        <v>18.489999999999998</v>
      </c>
      <c r="D87" s="50">
        <f>VLOOKUP($A87,'Data shares'!$C:$FM,114)</f>
        <v>18.72</v>
      </c>
      <c r="E87" s="50">
        <f>VLOOKUP($A87,'Data shares'!$C:$FM,106)</f>
        <v>22.81</v>
      </c>
      <c r="F87" s="50">
        <f>VLOOKUP($A87,'Data shares'!$C:$FM,108)</f>
        <v>-4.2300000000000004</v>
      </c>
      <c r="G87" s="50">
        <f t="shared" si="2"/>
        <v>0.81455501972818933</v>
      </c>
    </row>
    <row r="88" spans="1:7" x14ac:dyDescent="0.25">
      <c r="A88" s="49" t="str">
        <f>'Data shares'!C83</f>
        <v>HINDZINC</v>
      </c>
      <c r="B88" s="50">
        <f>VLOOKUP($A88,'Data shares'!$C:$FM,102)</f>
        <v>34.130000000000003</v>
      </c>
      <c r="C88" s="50">
        <f>VLOOKUP($A88,'Data shares'!$C:$FM,110)</f>
        <v>34.340000000000003</v>
      </c>
      <c r="D88" s="50">
        <f>VLOOKUP($A88,'Data shares'!$C:$FM,114)</f>
        <v>33.51</v>
      </c>
      <c r="E88" s="50">
        <f>VLOOKUP($A88,'Data shares'!$C:$FM,106)</f>
        <v>44.73</v>
      </c>
      <c r="F88" s="50">
        <f>VLOOKUP($A88,'Data shares'!$C:$FM,108)</f>
        <v>-10.6</v>
      </c>
      <c r="G88" s="50">
        <f t="shared" si="2"/>
        <v>0.76302257992398848</v>
      </c>
    </row>
    <row r="89" spans="1:7" x14ac:dyDescent="0.25">
      <c r="A89" s="49" t="str">
        <f>'Data shares'!C84</f>
        <v>HUDCO</v>
      </c>
      <c r="B89" s="50">
        <f>VLOOKUP($A89,'Data shares'!$C:$FM,102)</f>
        <v>32.18</v>
      </c>
      <c r="C89" s="50">
        <f>VLOOKUP($A89,'Data shares'!$C:$FM,110)</f>
        <v>32.479999999999997</v>
      </c>
      <c r="D89" s="50">
        <f>VLOOKUP($A89,'Data shares'!$C:$FM,114)</f>
        <v>31.47</v>
      </c>
      <c r="E89" s="50">
        <f>VLOOKUP($A89,'Data shares'!$C:$FM,106)</f>
        <v>54.1</v>
      </c>
      <c r="F89" s="50">
        <f>VLOOKUP($A89,'Data shares'!$C:$FM,108)</f>
        <v>-21.92</v>
      </c>
      <c r="G89" s="50">
        <f t="shared" si="2"/>
        <v>0.59482439926062847</v>
      </c>
    </row>
    <row r="90" spans="1:7" x14ac:dyDescent="0.25">
      <c r="A90" s="49" t="str">
        <f>'Data shares'!C85</f>
        <v>ICICIBANK</v>
      </c>
      <c r="B90" s="50">
        <f>VLOOKUP($A90,'Data shares'!$C:$FM,102)</f>
        <v>18.760000000000002</v>
      </c>
      <c r="C90" s="50">
        <f>VLOOKUP($A90,'Data shares'!$C:$FM,110)</f>
        <v>18.72</v>
      </c>
      <c r="D90" s="50">
        <f>VLOOKUP($A90,'Data shares'!$C:$FM,114)</f>
        <v>18.84</v>
      </c>
      <c r="E90" s="50">
        <f>VLOOKUP($A90,'Data shares'!$C:$FM,106)</f>
        <v>21.13</v>
      </c>
      <c r="F90" s="50">
        <f>VLOOKUP($A90,'Data shares'!$C:$FM,108)</f>
        <v>-2.37</v>
      </c>
      <c r="G90" s="50">
        <f t="shared" si="2"/>
        <v>0.8878371982962614</v>
      </c>
    </row>
    <row r="91" spans="1:7" x14ac:dyDescent="0.25">
      <c r="A91" s="49" t="str">
        <f>'Data shares'!C86</f>
        <v>ICICIGI</v>
      </c>
      <c r="B91" s="50">
        <f>VLOOKUP($A91,'Data shares'!$C:$FM,102)</f>
        <v>25.55</v>
      </c>
      <c r="C91" s="50">
        <f>VLOOKUP($A91,'Data shares'!$C:$FM,110)</f>
        <v>25.44</v>
      </c>
      <c r="D91" s="50">
        <f>VLOOKUP($A91,'Data shares'!$C:$FM,114)</f>
        <v>25.94</v>
      </c>
      <c r="E91" s="50">
        <f>VLOOKUP($A91,'Data shares'!$C:$FM,106)</f>
        <v>28.28</v>
      </c>
      <c r="F91" s="50">
        <f>VLOOKUP($A91,'Data shares'!$C:$FM,108)</f>
        <v>-2.73</v>
      </c>
      <c r="G91" s="50">
        <f t="shared" si="2"/>
        <v>0.90346534653465349</v>
      </c>
    </row>
    <row r="92" spans="1:7" x14ac:dyDescent="0.25">
      <c r="A92" s="49" t="str">
        <f>'Data shares'!C87</f>
        <v>ICICIPRULI</v>
      </c>
      <c r="B92" s="50">
        <f>VLOOKUP($A92,'Data shares'!$C:$FM,102)</f>
        <v>27.62</v>
      </c>
      <c r="C92" s="50">
        <f>VLOOKUP($A92,'Data shares'!$C:$FM,110)</f>
        <v>27.38</v>
      </c>
      <c r="D92" s="50">
        <f>VLOOKUP($A92,'Data shares'!$C:$FM,114)</f>
        <v>28.12</v>
      </c>
      <c r="E92" s="50">
        <f>VLOOKUP($A92,'Data shares'!$C:$FM,106)</f>
        <v>28.44</v>
      </c>
      <c r="F92" s="50">
        <f>VLOOKUP($A92,'Data shares'!$C:$FM,108)</f>
        <v>-0.82</v>
      </c>
      <c r="G92" s="50">
        <f t="shared" si="2"/>
        <v>0.97116736990154706</v>
      </c>
    </row>
    <row r="93" spans="1:7" x14ac:dyDescent="0.25">
      <c r="A93" s="49" t="str">
        <f>'Data shares'!C88</f>
        <v>IDEA</v>
      </c>
      <c r="B93" s="50">
        <f>VLOOKUP($A93,'Data shares'!$C:$FM,102)</f>
        <v>83.96</v>
      </c>
      <c r="C93" s="50">
        <f>VLOOKUP($A93,'Data shares'!$C:$FM,110)</f>
        <v>84.72</v>
      </c>
      <c r="D93" s="50">
        <f>VLOOKUP($A93,'Data shares'!$C:$FM,114)</f>
        <v>81.52</v>
      </c>
      <c r="E93" s="50">
        <f>VLOOKUP($A93,'Data shares'!$C:$FM,106)</f>
        <v>68.040000000000006</v>
      </c>
      <c r="F93" s="50">
        <f>VLOOKUP($A93,'Data shares'!$C:$FM,108)</f>
        <v>15.92</v>
      </c>
      <c r="G93" s="50">
        <f t="shared" si="2"/>
        <v>1.2339800117577893</v>
      </c>
    </row>
    <row r="94" spans="1:7" x14ac:dyDescent="0.25">
      <c r="A94" s="49" t="str">
        <f>'Data shares'!C89</f>
        <v>IDFCFIRSTB</v>
      </c>
      <c r="B94" s="50">
        <f>VLOOKUP($A94,'Data shares'!$C:$FM,102)</f>
        <v>29.27</v>
      </c>
      <c r="C94" s="50">
        <f>VLOOKUP($A94,'Data shares'!$C:$FM,110)</f>
        <v>28.95</v>
      </c>
      <c r="D94" s="50">
        <f>VLOOKUP($A94,'Data shares'!$C:$FM,114)</f>
        <v>29.93</v>
      </c>
      <c r="E94" s="50">
        <f>VLOOKUP($A94,'Data shares'!$C:$FM,106)</f>
        <v>34.07</v>
      </c>
      <c r="F94" s="50">
        <f>VLOOKUP($A94,'Data shares'!$C:$FM,108)</f>
        <v>-4.8</v>
      </c>
      <c r="G94" s="50">
        <f t="shared" si="2"/>
        <v>0.85911358966832985</v>
      </c>
    </row>
    <row r="95" spans="1:7" x14ac:dyDescent="0.25">
      <c r="A95" s="49" t="str">
        <f>'Data shares'!C90</f>
        <v>IEX</v>
      </c>
      <c r="B95" s="50">
        <f>VLOOKUP($A95,'Data shares'!$C:$FM,102)</f>
        <v>31.67</v>
      </c>
      <c r="C95" s="50">
        <f>VLOOKUP($A95,'Data shares'!$C:$FM,110)</f>
        <v>31.44</v>
      </c>
      <c r="D95" s="50">
        <f>VLOOKUP($A95,'Data shares'!$C:$FM,114)</f>
        <v>32.270000000000003</v>
      </c>
      <c r="E95" s="50">
        <f>VLOOKUP($A95,'Data shares'!$C:$FM,106)</f>
        <v>58.16</v>
      </c>
      <c r="F95" s="50">
        <f>VLOOKUP($A95,'Data shares'!$C:$FM,108)</f>
        <v>-26.49</v>
      </c>
      <c r="G95" s="50">
        <f t="shared" si="2"/>
        <v>0.54453232462173318</v>
      </c>
    </row>
    <row r="96" spans="1:7" x14ac:dyDescent="0.25">
      <c r="A96" s="49" t="str">
        <f>'Data shares'!C91</f>
        <v>IGL</v>
      </c>
      <c r="B96" s="50">
        <f>VLOOKUP($A96,'Data shares'!$C:$FM,102)</f>
        <v>28.41</v>
      </c>
      <c r="C96" s="50">
        <f>VLOOKUP($A96,'Data shares'!$C:$FM,110)</f>
        <v>28.22</v>
      </c>
      <c r="D96" s="50">
        <f>VLOOKUP($A96,'Data shares'!$C:$FM,114)</f>
        <v>28.8</v>
      </c>
      <c r="E96" s="50">
        <f>VLOOKUP($A96,'Data shares'!$C:$FM,106)</f>
        <v>41.91</v>
      </c>
      <c r="F96" s="50">
        <f>VLOOKUP($A96,'Data shares'!$C:$FM,108)</f>
        <v>-13.5</v>
      </c>
      <c r="G96" s="50">
        <f t="shared" si="2"/>
        <v>0.67788117394416614</v>
      </c>
    </row>
    <row r="97" spans="1:7" x14ac:dyDescent="0.25">
      <c r="A97" s="49" t="str">
        <f>'Data shares'!C92</f>
        <v>IIFL</v>
      </c>
      <c r="B97" s="50">
        <f>VLOOKUP($A97,'Data shares'!$C:$FM,102)</f>
        <v>34.950000000000003</v>
      </c>
      <c r="C97" s="50">
        <f>VLOOKUP($A97,'Data shares'!$C:$FM,110)</f>
        <v>34.619999999999997</v>
      </c>
      <c r="D97" s="50">
        <f>VLOOKUP($A97,'Data shares'!$C:$FM,114)</f>
        <v>36.630000000000003</v>
      </c>
      <c r="E97" s="50">
        <f>VLOOKUP($A97,'Data shares'!$C:$FM,106)</f>
        <v>52.96</v>
      </c>
      <c r="F97" s="50">
        <f>VLOOKUP($A97,'Data shares'!$C:$FM,108)</f>
        <v>-18.010000000000002</v>
      </c>
      <c r="G97" s="50">
        <f t="shared" si="2"/>
        <v>0.65993202416918428</v>
      </c>
    </row>
    <row r="98" spans="1:7" x14ac:dyDescent="0.25">
      <c r="A98" s="49" t="str">
        <f>'Data shares'!C93</f>
        <v>INDHOTEL</v>
      </c>
      <c r="B98" s="50">
        <f>VLOOKUP($A98,'Data shares'!$C:$FM,102)</f>
        <v>24.55</v>
      </c>
      <c r="C98" s="50">
        <f>VLOOKUP($A98,'Data shares'!$C:$FM,110)</f>
        <v>24.77</v>
      </c>
      <c r="D98" s="50">
        <f>VLOOKUP($A98,'Data shares'!$C:$FM,114)</f>
        <v>23.53</v>
      </c>
      <c r="E98" s="50">
        <f>VLOOKUP($A98,'Data shares'!$C:$FM,106)</f>
        <v>36.07</v>
      </c>
      <c r="F98" s="50">
        <f>VLOOKUP($A98,'Data shares'!$C:$FM,108)</f>
        <v>-11.52</v>
      </c>
      <c r="G98" s="50">
        <f t="shared" si="2"/>
        <v>0.68062101469365122</v>
      </c>
    </row>
    <row r="99" spans="1:7" x14ac:dyDescent="0.25">
      <c r="A99" s="49" t="str">
        <f>'Data shares'!C94</f>
        <v>INDIANB</v>
      </c>
      <c r="B99" s="50">
        <f>VLOOKUP($A99,'Data shares'!$C:$FM,102)</f>
        <v>28.37</v>
      </c>
      <c r="C99" s="50">
        <f>VLOOKUP($A99,'Data shares'!$C:$FM,110)</f>
        <v>28.2</v>
      </c>
      <c r="D99" s="50">
        <f>VLOOKUP($A99,'Data shares'!$C:$FM,114)</f>
        <v>28.83</v>
      </c>
      <c r="E99" s="50">
        <f>VLOOKUP($A99,'Data shares'!$C:$FM,106)</f>
        <v>38.799999999999997</v>
      </c>
      <c r="F99" s="50">
        <f>VLOOKUP($A99,'Data shares'!$C:$FM,108)</f>
        <v>-10.43</v>
      </c>
      <c r="G99" s="50">
        <f t="shared" si="2"/>
        <v>0.73118556701030935</v>
      </c>
    </row>
    <row r="100" spans="1:7" x14ac:dyDescent="0.25">
      <c r="A100" s="49" t="str">
        <f>'Data shares'!C95</f>
        <v>INDIAVIX</v>
      </c>
      <c r="B100" s="50">
        <f>VLOOKUP($A100,'Data shares'!$C:$FM,102)</f>
        <v>0</v>
      </c>
      <c r="C100" s="50">
        <f>VLOOKUP($A100,'Data shares'!$C:$FM,110)</f>
        <v>0</v>
      </c>
      <c r="D100" s="50">
        <f>VLOOKUP($A100,'Data shares'!$C:$FM,114)</f>
        <v>0</v>
      </c>
      <c r="E100" s="50">
        <f>VLOOKUP($A100,'Data shares'!$C:$FM,106)</f>
        <v>0</v>
      </c>
      <c r="F100" s="50">
        <f>VLOOKUP($A100,'Data shares'!$C:$FM,108)</f>
        <v>0</v>
      </c>
      <c r="G100" s="50" t="e">
        <f t="shared" si="2"/>
        <v>#DIV/0!</v>
      </c>
    </row>
    <row r="101" spans="1:7" x14ac:dyDescent="0.25">
      <c r="A101" s="49" t="str">
        <f>'Data shares'!C96</f>
        <v>INDIGO</v>
      </c>
      <c r="B101" s="50">
        <f>VLOOKUP($A101,'Data shares'!$C:$FM,102)</f>
        <v>20.41</v>
      </c>
      <c r="C101" s="50">
        <f>VLOOKUP($A101,'Data shares'!$C:$FM,110)</f>
        <v>19.82</v>
      </c>
      <c r="D101" s="50">
        <f>VLOOKUP($A101,'Data shares'!$C:$FM,114)</f>
        <v>21.64</v>
      </c>
      <c r="E101" s="50">
        <f>VLOOKUP($A101,'Data shares'!$C:$FM,106)</f>
        <v>33.15</v>
      </c>
      <c r="F101" s="50">
        <f>VLOOKUP($A101,'Data shares'!$C:$FM,108)</f>
        <v>-12.74</v>
      </c>
      <c r="G101" s="50">
        <f t="shared" si="2"/>
        <v>0.61568627450980395</v>
      </c>
    </row>
    <row r="102" spans="1:7" x14ac:dyDescent="0.25">
      <c r="A102" s="49" t="str">
        <f>'Data shares'!C97</f>
        <v>INDUSINDBK</v>
      </c>
      <c r="B102" s="50">
        <f>VLOOKUP($A102,'Data shares'!$C:$FM,102)</f>
        <v>28.97</v>
      </c>
      <c r="C102" s="50">
        <f>VLOOKUP($A102,'Data shares'!$C:$FM,110)</f>
        <v>28.96</v>
      </c>
      <c r="D102" s="50">
        <f>VLOOKUP($A102,'Data shares'!$C:$FM,114)</f>
        <v>28.98</v>
      </c>
      <c r="E102" s="50">
        <f>VLOOKUP($A102,'Data shares'!$C:$FM,106)</f>
        <v>47.94</v>
      </c>
      <c r="F102" s="50">
        <f>VLOOKUP($A102,'Data shares'!$C:$FM,108)</f>
        <v>-18.97</v>
      </c>
      <c r="G102" s="50">
        <f t="shared" si="2"/>
        <v>0.60429703796412182</v>
      </c>
    </row>
    <row r="103" spans="1:7" x14ac:dyDescent="0.25">
      <c r="A103" s="49" t="str">
        <f>'Data shares'!C98</f>
        <v>INDUSTOWER</v>
      </c>
      <c r="B103" s="50">
        <f>VLOOKUP($A103,'Data shares'!$C:$FM,102)</f>
        <v>31.28</v>
      </c>
      <c r="C103" s="50">
        <f>VLOOKUP($A103,'Data shares'!$C:$FM,110)</f>
        <v>31.04</v>
      </c>
      <c r="D103" s="50">
        <f>VLOOKUP($A103,'Data shares'!$C:$FM,114)</f>
        <v>31.89</v>
      </c>
      <c r="E103" s="50">
        <f>VLOOKUP($A103,'Data shares'!$C:$FM,106)</f>
        <v>40.200000000000003</v>
      </c>
      <c r="F103" s="50">
        <f>VLOOKUP($A103,'Data shares'!$C:$FM,108)</f>
        <v>-8.92</v>
      </c>
      <c r="G103" s="50">
        <f t="shared" ref="G103:G134" si="3">B103/E103</f>
        <v>0.77810945273631837</v>
      </c>
    </row>
    <row r="104" spans="1:7" x14ac:dyDescent="0.25">
      <c r="A104" s="49" t="str">
        <f>'Data shares'!C99</f>
        <v>INFY</v>
      </c>
      <c r="B104" s="50">
        <f>VLOOKUP($A104,'Data shares'!$C:$FM,102)</f>
        <v>27.34</v>
      </c>
      <c r="C104" s="50">
        <f>VLOOKUP($A104,'Data shares'!$C:$FM,110)</f>
        <v>27</v>
      </c>
      <c r="D104" s="50">
        <f>VLOOKUP($A104,'Data shares'!$C:$FM,114)</f>
        <v>28.03</v>
      </c>
      <c r="E104" s="50">
        <f>VLOOKUP($A104,'Data shares'!$C:$FM,106)</f>
        <v>29.51</v>
      </c>
      <c r="F104" s="50">
        <f>VLOOKUP($A104,'Data shares'!$C:$FM,108)</f>
        <v>-2.17</v>
      </c>
      <c r="G104" s="50">
        <f t="shared" si="3"/>
        <v>0.92646560487970175</v>
      </c>
    </row>
    <row r="105" spans="1:7" x14ac:dyDescent="0.25">
      <c r="A105" s="49" t="str">
        <f>'Data shares'!C100</f>
        <v>INOXWIND</v>
      </c>
      <c r="B105" s="50">
        <f>VLOOKUP($A105,'Data shares'!$C:$FM,102)</f>
        <v>36.31</v>
      </c>
      <c r="C105" s="50">
        <f>VLOOKUP($A105,'Data shares'!$C:$FM,110)</f>
        <v>36.630000000000003</v>
      </c>
      <c r="D105" s="50">
        <f>VLOOKUP($A105,'Data shares'!$C:$FM,114)</f>
        <v>35.380000000000003</v>
      </c>
      <c r="E105" s="50">
        <f>VLOOKUP($A105,'Data shares'!$C:$FM,106)</f>
        <v>57.47</v>
      </c>
      <c r="F105" s="50">
        <f>VLOOKUP($A105,'Data shares'!$C:$FM,108)</f>
        <v>-21.16</v>
      </c>
      <c r="G105" s="50">
        <f t="shared" si="3"/>
        <v>0.63180789977379503</v>
      </c>
    </row>
    <row r="106" spans="1:7" x14ac:dyDescent="0.25">
      <c r="A106" s="49" t="str">
        <f>'Data shares'!C101</f>
        <v>IOC</v>
      </c>
      <c r="B106" s="50">
        <f>VLOOKUP($A106,'Data shares'!$C:$FM,102)</f>
        <v>23.35</v>
      </c>
      <c r="C106" s="50">
        <f>VLOOKUP($A106,'Data shares'!$C:$FM,110)</f>
        <v>23.1</v>
      </c>
      <c r="D106" s="50">
        <f>VLOOKUP($A106,'Data shares'!$C:$FM,114)</f>
        <v>23.85</v>
      </c>
      <c r="E106" s="50">
        <f>VLOOKUP($A106,'Data shares'!$C:$FM,106)</f>
        <v>32.42</v>
      </c>
      <c r="F106" s="50">
        <f>VLOOKUP($A106,'Data shares'!$C:$FM,108)</f>
        <v>-9.07</v>
      </c>
      <c r="G106" s="50">
        <f t="shared" si="3"/>
        <v>0.7202344231955583</v>
      </c>
    </row>
    <row r="107" spans="1:7" x14ac:dyDescent="0.25">
      <c r="A107" s="49" t="str">
        <f>'Data shares'!C102</f>
        <v>IRCTC</v>
      </c>
      <c r="B107" s="50">
        <f>VLOOKUP($A107,'Data shares'!$C:$FM,102)</f>
        <v>20.16</v>
      </c>
      <c r="C107" s="50">
        <f>VLOOKUP($A107,'Data shares'!$C:$FM,110)</f>
        <v>20.37</v>
      </c>
      <c r="D107" s="50">
        <f>VLOOKUP($A107,'Data shares'!$C:$FM,114)</f>
        <v>19.559999999999999</v>
      </c>
      <c r="E107" s="50">
        <f>VLOOKUP($A107,'Data shares'!$C:$FM,106)</f>
        <v>31.43</v>
      </c>
      <c r="F107" s="50">
        <f>VLOOKUP($A107,'Data shares'!$C:$FM,108)</f>
        <v>-11.27</v>
      </c>
      <c r="G107" s="50">
        <f t="shared" si="3"/>
        <v>0.64142538975501118</v>
      </c>
    </row>
    <row r="108" spans="1:7" x14ac:dyDescent="0.25">
      <c r="A108" s="49" t="str">
        <f>'Data shares'!C103</f>
        <v>IREDA</v>
      </c>
      <c r="B108" s="50">
        <f>VLOOKUP($A108,'Data shares'!$C:$FM,102)</f>
        <v>38</v>
      </c>
      <c r="C108" s="50">
        <f>VLOOKUP($A108,'Data shares'!$C:$FM,110)</f>
        <v>38.39</v>
      </c>
      <c r="D108" s="50">
        <f>VLOOKUP($A108,'Data shares'!$C:$FM,114)</f>
        <v>36.549999999999997</v>
      </c>
      <c r="E108" s="50">
        <f>VLOOKUP($A108,'Data shares'!$C:$FM,106)</f>
        <v>53.04</v>
      </c>
      <c r="F108" s="50">
        <f>VLOOKUP($A108,'Data shares'!$C:$FM,108)</f>
        <v>-15.04</v>
      </c>
      <c r="G108" s="50">
        <f t="shared" si="3"/>
        <v>0.71644042232277527</v>
      </c>
    </row>
    <row r="109" spans="1:7" x14ac:dyDescent="0.25">
      <c r="A109" s="49" t="str">
        <f>'Data shares'!C104</f>
        <v>IRFC</v>
      </c>
      <c r="B109" s="50">
        <f>VLOOKUP($A109,'Data shares'!$C:$FM,102)</f>
        <v>30.41</v>
      </c>
      <c r="C109" s="50">
        <f>VLOOKUP($A109,'Data shares'!$C:$FM,110)</f>
        <v>30.59</v>
      </c>
      <c r="D109" s="50">
        <f>VLOOKUP($A109,'Data shares'!$C:$FM,114)</f>
        <v>29.85</v>
      </c>
      <c r="E109" s="50">
        <f>VLOOKUP($A109,'Data shares'!$C:$FM,106)</f>
        <v>48.24</v>
      </c>
      <c r="F109" s="50">
        <f>VLOOKUP($A109,'Data shares'!$C:$FM,108)</f>
        <v>-17.829999999999998</v>
      </c>
      <c r="G109" s="50">
        <f t="shared" si="3"/>
        <v>0.63038971807628519</v>
      </c>
    </row>
    <row r="110" spans="1:7" x14ac:dyDescent="0.25">
      <c r="A110" s="49" t="str">
        <f>'Data shares'!C105</f>
        <v>ITC</v>
      </c>
      <c r="B110" s="50">
        <f>VLOOKUP($A110,'Data shares'!$C:$FM,102)</f>
        <v>15.61</v>
      </c>
      <c r="C110" s="50">
        <f>VLOOKUP($A110,'Data shares'!$C:$FM,110)</f>
        <v>15.75</v>
      </c>
      <c r="D110" s="50">
        <f>VLOOKUP($A110,'Data shares'!$C:$FM,114)</f>
        <v>15.33</v>
      </c>
      <c r="E110" s="50">
        <f>VLOOKUP($A110,'Data shares'!$C:$FM,106)</f>
        <v>19.86</v>
      </c>
      <c r="F110" s="50">
        <f>VLOOKUP($A110,'Data shares'!$C:$FM,108)</f>
        <v>-4.25</v>
      </c>
      <c r="G110" s="50">
        <f t="shared" si="3"/>
        <v>0.78600201409869086</v>
      </c>
    </row>
    <row r="111" spans="1:7" x14ac:dyDescent="0.25">
      <c r="A111" s="49" t="str">
        <f>'Data shares'!C106</f>
        <v>JINDALSTEL</v>
      </c>
      <c r="B111" s="50">
        <f>VLOOKUP($A111,'Data shares'!$C:$FM,102)</f>
        <v>27.02</v>
      </c>
      <c r="C111" s="50">
        <f>VLOOKUP($A111,'Data shares'!$C:$FM,110)</f>
        <v>27.19</v>
      </c>
      <c r="D111" s="50">
        <f>VLOOKUP($A111,'Data shares'!$C:$FM,114)</f>
        <v>26.72</v>
      </c>
      <c r="E111" s="50">
        <f>VLOOKUP($A111,'Data shares'!$C:$FM,106)</f>
        <v>36.299999999999997</v>
      </c>
      <c r="F111" s="50">
        <f>VLOOKUP($A111,'Data shares'!$C:$FM,108)</f>
        <v>-9.2799999999999994</v>
      </c>
      <c r="G111" s="50">
        <f t="shared" si="3"/>
        <v>0.74435261707988987</v>
      </c>
    </row>
    <row r="112" spans="1:7" x14ac:dyDescent="0.25">
      <c r="A112" s="49" t="str">
        <f>'Data shares'!C107</f>
        <v>JIOFIN</v>
      </c>
      <c r="B112" s="50">
        <f>VLOOKUP($A112,'Data shares'!$C:$FM,102)</f>
        <v>25.71</v>
      </c>
      <c r="C112" s="50">
        <f>VLOOKUP($A112,'Data shares'!$C:$FM,110)</f>
        <v>25.6</v>
      </c>
      <c r="D112" s="50">
        <f>VLOOKUP($A112,'Data shares'!$C:$FM,114)</f>
        <v>26.01</v>
      </c>
      <c r="E112" s="50">
        <f>VLOOKUP($A112,'Data shares'!$C:$FM,106)</f>
        <v>36.56</v>
      </c>
      <c r="F112" s="50">
        <f>VLOOKUP($A112,'Data shares'!$C:$FM,108)</f>
        <v>-10.85</v>
      </c>
      <c r="G112" s="50">
        <f t="shared" si="3"/>
        <v>0.70322757111597367</v>
      </c>
    </row>
    <row r="113" spans="1:7" x14ac:dyDescent="0.25">
      <c r="A113" s="49" t="str">
        <f>'Data shares'!C108</f>
        <v>JSWENERGY</v>
      </c>
      <c r="B113" s="50">
        <f>VLOOKUP($A113,'Data shares'!$C:$FM,102)</f>
        <v>27.64</v>
      </c>
      <c r="C113" s="50">
        <f>VLOOKUP($A113,'Data shares'!$C:$FM,110)</f>
        <v>27.56</v>
      </c>
      <c r="D113" s="50">
        <f>VLOOKUP($A113,'Data shares'!$C:$FM,114)</f>
        <v>27.86</v>
      </c>
      <c r="E113" s="50">
        <f>VLOOKUP($A113,'Data shares'!$C:$FM,106)</f>
        <v>45.89</v>
      </c>
      <c r="F113" s="50">
        <f>VLOOKUP($A113,'Data shares'!$C:$FM,108)</f>
        <v>-18.25</v>
      </c>
      <c r="G113" s="50">
        <f t="shared" si="3"/>
        <v>0.60230987143168446</v>
      </c>
    </row>
    <row r="114" spans="1:7" x14ac:dyDescent="0.25">
      <c r="A114" s="49" t="str">
        <f>'Data shares'!C109</f>
        <v>JSWSTEEL</v>
      </c>
      <c r="B114" s="50">
        <f>VLOOKUP($A114,'Data shares'!$C:$FM,102)</f>
        <v>24.09</v>
      </c>
      <c r="C114" s="50">
        <f>VLOOKUP($A114,'Data shares'!$C:$FM,110)</f>
        <v>24.12</v>
      </c>
      <c r="D114" s="50">
        <f>VLOOKUP($A114,'Data shares'!$C:$FM,114)</f>
        <v>24.03</v>
      </c>
      <c r="E114" s="50">
        <f>VLOOKUP($A114,'Data shares'!$C:$FM,106)</f>
        <v>29.73</v>
      </c>
      <c r="F114" s="50">
        <f>VLOOKUP($A114,'Data shares'!$C:$FM,108)</f>
        <v>-5.64</v>
      </c>
      <c r="G114" s="50">
        <f t="shared" si="3"/>
        <v>0.81029263370332993</v>
      </c>
    </row>
    <row r="115" spans="1:7" x14ac:dyDescent="0.25">
      <c r="A115" s="49" t="str">
        <f>'Data shares'!C110</f>
        <v>JUBLFOOD</v>
      </c>
      <c r="B115" s="50">
        <f>VLOOKUP($A115,'Data shares'!$C:$FM,102)</f>
        <v>26.01</v>
      </c>
      <c r="C115" s="50">
        <f>VLOOKUP($A115,'Data shares'!$C:$FM,110)</f>
        <v>26.02</v>
      </c>
      <c r="D115" s="50">
        <f>VLOOKUP($A115,'Data shares'!$C:$FM,114)</f>
        <v>26</v>
      </c>
      <c r="E115" s="50">
        <f>VLOOKUP($A115,'Data shares'!$C:$FM,106)</f>
        <v>34.28</v>
      </c>
      <c r="F115" s="50">
        <f>VLOOKUP($A115,'Data shares'!$C:$FM,108)</f>
        <v>-8.27</v>
      </c>
      <c r="G115" s="50">
        <f t="shared" si="3"/>
        <v>0.75875145857642945</v>
      </c>
    </row>
    <row r="116" spans="1:7" x14ac:dyDescent="0.25">
      <c r="A116" s="49" t="str">
        <f>'Data shares'!C111</f>
        <v>KALYANKJIL</v>
      </c>
      <c r="B116" s="50">
        <f>VLOOKUP($A116,'Data shares'!$C:$FM,102)</f>
        <v>36.42</v>
      </c>
      <c r="C116" s="50">
        <f>VLOOKUP($A116,'Data shares'!$C:$FM,110)</f>
        <v>36.75</v>
      </c>
      <c r="D116" s="50">
        <f>VLOOKUP($A116,'Data shares'!$C:$FM,114)</f>
        <v>35.58</v>
      </c>
      <c r="E116" s="50">
        <f>VLOOKUP($A116,'Data shares'!$C:$FM,106)</f>
        <v>52.57</v>
      </c>
      <c r="F116" s="50">
        <f>VLOOKUP($A116,'Data shares'!$C:$FM,108)</f>
        <v>-16.149999999999999</v>
      </c>
      <c r="G116" s="50">
        <f t="shared" si="3"/>
        <v>0.69279056496100444</v>
      </c>
    </row>
    <row r="117" spans="1:7" x14ac:dyDescent="0.25">
      <c r="A117" s="49" t="str">
        <f>'Data shares'!C112</f>
        <v>KAYNES</v>
      </c>
      <c r="B117" s="50">
        <f>VLOOKUP($A117,'Data shares'!$C:$FM,102)</f>
        <v>36.409999999999997</v>
      </c>
      <c r="C117" s="50">
        <f>VLOOKUP($A117,'Data shares'!$C:$FM,110)</f>
        <v>36.15</v>
      </c>
      <c r="D117" s="50">
        <f>VLOOKUP($A117,'Data shares'!$C:$FM,114)</f>
        <v>37.659999999999997</v>
      </c>
      <c r="E117" s="50">
        <f>VLOOKUP($A117,'Data shares'!$C:$FM,106)</f>
        <v>55.96</v>
      </c>
      <c r="F117" s="50">
        <f>VLOOKUP($A117,'Data shares'!$C:$FM,108)</f>
        <v>-19.55</v>
      </c>
      <c r="G117" s="50">
        <f t="shared" si="3"/>
        <v>0.65064331665475328</v>
      </c>
    </row>
    <row r="118" spans="1:7" x14ac:dyDescent="0.25">
      <c r="A118" s="49" t="str">
        <f>'Data shares'!C113</f>
        <v>KEI</v>
      </c>
      <c r="B118" s="50">
        <f>VLOOKUP($A118,'Data shares'!$C:$FM,102)</f>
        <v>32.46</v>
      </c>
      <c r="C118" s="50">
        <f>VLOOKUP($A118,'Data shares'!$C:$FM,110)</f>
        <v>32.479999999999997</v>
      </c>
      <c r="D118" s="50">
        <f>VLOOKUP($A118,'Data shares'!$C:$FM,114)</f>
        <v>32.409999999999997</v>
      </c>
      <c r="E118" s="50">
        <f>VLOOKUP($A118,'Data shares'!$C:$FM,106)</f>
        <v>48.99</v>
      </c>
      <c r="F118" s="50">
        <f>VLOOKUP($A118,'Data shares'!$C:$FM,108)</f>
        <v>-16.53</v>
      </c>
      <c r="G118" s="50">
        <f t="shared" si="3"/>
        <v>0.66258420085731784</v>
      </c>
    </row>
    <row r="119" spans="1:7" x14ac:dyDescent="0.25">
      <c r="A119" s="49" t="str">
        <f>'Data shares'!C114</f>
        <v>KFINTECH</v>
      </c>
      <c r="B119" s="50">
        <f>VLOOKUP($A119,'Data shares'!$C:$FM,102)</f>
        <v>37.01</v>
      </c>
      <c r="C119" s="50">
        <f>VLOOKUP($A119,'Data shares'!$C:$FM,110)</f>
        <v>36.770000000000003</v>
      </c>
      <c r="D119" s="50">
        <f>VLOOKUP($A119,'Data shares'!$C:$FM,114)</f>
        <v>38.26</v>
      </c>
      <c r="E119" s="50">
        <f>VLOOKUP($A119,'Data shares'!$C:$FM,106)</f>
        <v>56.21</v>
      </c>
      <c r="F119" s="50">
        <f>VLOOKUP($A119,'Data shares'!$C:$FM,108)</f>
        <v>-19.2</v>
      </c>
      <c r="G119" s="50">
        <f t="shared" si="3"/>
        <v>0.65842376801280911</v>
      </c>
    </row>
    <row r="120" spans="1:7" x14ac:dyDescent="0.25">
      <c r="A120" s="49" t="str">
        <f>'Data shares'!C115</f>
        <v>KOTAKBANK</v>
      </c>
      <c r="B120" s="50">
        <f>VLOOKUP($A120,'Data shares'!$C:$FM,102)</f>
        <v>20.79</v>
      </c>
      <c r="C120" s="50">
        <f>VLOOKUP($A120,'Data shares'!$C:$FM,110)</f>
        <v>19.97</v>
      </c>
      <c r="D120" s="50">
        <f>VLOOKUP($A120,'Data shares'!$C:$FM,114)</f>
        <v>22.17</v>
      </c>
      <c r="E120" s="50">
        <f>VLOOKUP($A120,'Data shares'!$C:$FM,106)</f>
        <v>27.86</v>
      </c>
      <c r="F120" s="50">
        <f>VLOOKUP($A120,'Data shares'!$C:$FM,108)</f>
        <v>-7.07</v>
      </c>
      <c r="G120" s="50">
        <f t="shared" si="3"/>
        <v>0.74623115577889443</v>
      </c>
    </row>
    <row r="121" spans="1:7" x14ac:dyDescent="0.25">
      <c r="A121" s="49" t="str">
        <f>'Data shares'!C116</f>
        <v>KPITTECH</v>
      </c>
      <c r="B121" s="50">
        <f>VLOOKUP($A121,'Data shares'!$C:$FM,102)</f>
        <v>30.75</v>
      </c>
      <c r="C121" s="50">
        <f>VLOOKUP($A121,'Data shares'!$C:$FM,110)</f>
        <v>30.4</v>
      </c>
      <c r="D121" s="50">
        <f>VLOOKUP($A121,'Data shares'!$C:$FM,114)</f>
        <v>31.22</v>
      </c>
      <c r="E121" s="50">
        <f>VLOOKUP($A121,'Data shares'!$C:$FM,106)</f>
        <v>45.72</v>
      </c>
      <c r="F121" s="50">
        <f>VLOOKUP($A121,'Data shares'!$C:$FM,108)</f>
        <v>-14.97</v>
      </c>
      <c r="G121" s="50">
        <f t="shared" si="3"/>
        <v>0.67257217847769035</v>
      </c>
    </row>
    <row r="122" spans="1:7" x14ac:dyDescent="0.25">
      <c r="A122" s="49" t="str">
        <f>'Data shares'!C117</f>
        <v>LAURUSLABS</v>
      </c>
      <c r="B122" s="50">
        <f>VLOOKUP($A122,'Data shares'!$C:$FM,102)</f>
        <v>32.97</v>
      </c>
      <c r="C122" s="50">
        <f>VLOOKUP($A122,'Data shares'!$C:$FM,110)</f>
        <v>32.950000000000003</v>
      </c>
      <c r="D122" s="50">
        <f>VLOOKUP($A122,'Data shares'!$C:$FM,114)</f>
        <v>33.01</v>
      </c>
      <c r="E122" s="50">
        <f>VLOOKUP($A122,'Data shares'!$C:$FM,106)</f>
        <v>41.53</v>
      </c>
      <c r="F122" s="50">
        <f>VLOOKUP($A122,'Data shares'!$C:$FM,108)</f>
        <v>-8.56</v>
      </c>
      <c r="G122" s="50">
        <f t="shared" si="3"/>
        <v>0.79388393932097279</v>
      </c>
    </row>
    <row r="123" spans="1:7" x14ac:dyDescent="0.25">
      <c r="A123" s="49" t="str">
        <f>'Data shares'!C118</f>
        <v>LICHSGFIN</v>
      </c>
      <c r="B123" s="50">
        <f>VLOOKUP($A123,'Data shares'!$C:$FM,102)</f>
        <v>21.05</v>
      </c>
      <c r="C123" s="50">
        <f>VLOOKUP($A123,'Data shares'!$C:$FM,110)</f>
        <v>21</v>
      </c>
      <c r="D123" s="50">
        <f>VLOOKUP($A123,'Data shares'!$C:$FM,114)</f>
        <v>21.24</v>
      </c>
      <c r="E123" s="50">
        <f>VLOOKUP($A123,'Data shares'!$C:$FM,106)</f>
        <v>35.07</v>
      </c>
      <c r="F123" s="50">
        <f>VLOOKUP($A123,'Data shares'!$C:$FM,108)</f>
        <v>-14.02</v>
      </c>
      <c r="G123" s="50">
        <f t="shared" si="3"/>
        <v>0.60022811519817509</v>
      </c>
    </row>
    <row r="124" spans="1:7" x14ac:dyDescent="0.25">
      <c r="A124" s="49" t="str">
        <f>'Data shares'!C119</f>
        <v>LICI</v>
      </c>
      <c r="B124" s="50">
        <f>VLOOKUP($A124,'Data shares'!$C:$FM,102)</f>
        <v>23.09</v>
      </c>
      <c r="C124" s="50">
        <f>VLOOKUP($A124,'Data shares'!$C:$FM,110)</f>
        <v>23.07</v>
      </c>
      <c r="D124" s="50">
        <f>VLOOKUP($A124,'Data shares'!$C:$FM,114)</f>
        <v>23.17</v>
      </c>
      <c r="E124" s="50">
        <f>VLOOKUP($A124,'Data shares'!$C:$FM,106)</f>
        <v>32.619999999999997</v>
      </c>
      <c r="F124" s="50">
        <f>VLOOKUP($A124,'Data shares'!$C:$FM,108)</f>
        <v>-9.5299999999999994</v>
      </c>
      <c r="G124" s="50">
        <f t="shared" si="3"/>
        <v>0.70784794604537093</v>
      </c>
    </row>
    <row r="125" spans="1:7" x14ac:dyDescent="0.25">
      <c r="A125" s="49" t="str">
        <f>'Data shares'!C120</f>
        <v>LODHA</v>
      </c>
      <c r="B125" s="50">
        <f>VLOOKUP($A125,'Data shares'!$C:$FM,102)</f>
        <v>34.49</v>
      </c>
      <c r="C125" s="50">
        <f>VLOOKUP($A125,'Data shares'!$C:$FM,110)</f>
        <v>34.6</v>
      </c>
      <c r="D125" s="50">
        <f>VLOOKUP($A125,'Data shares'!$C:$FM,114)</f>
        <v>34.090000000000003</v>
      </c>
      <c r="E125" s="50">
        <f>VLOOKUP($A125,'Data shares'!$C:$FM,106)</f>
        <v>48.03</v>
      </c>
      <c r="F125" s="50">
        <f>VLOOKUP($A125,'Data shares'!$C:$FM,108)</f>
        <v>-13.54</v>
      </c>
      <c r="G125" s="50">
        <f t="shared" si="3"/>
        <v>0.71809285863002292</v>
      </c>
    </row>
    <row r="126" spans="1:7" x14ac:dyDescent="0.25">
      <c r="A126" s="49" t="str">
        <f>'Data shares'!C121</f>
        <v>LT</v>
      </c>
      <c r="B126" s="50">
        <f>VLOOKUP($A126,'Data shares'!$C:$FM,102)</f>
        <v>19.47</v>
      </c>
      <c r="C126" s="50">
        <f>VLOOKUP($A126,'Data shares'!$C:$FM,110)</f>
        <v>19.48</v>
      </c>
      <c r="D126" s="50">
        <f>VLOOKUP($A126,'Data shares'!$C:$FM,114)</f>
        <v>19.43</v>
      </c>
      <c r="E126" s="50">
        <f>VLOOKUP($A126,'Data shares'!$C:$FM,106)</f>
        <v>28.33</v>
      </c>
      <c r="F126" s="50">
        <f>VLOOKUP($A126,'Data shares'!$C:$FM,108)</f>
        <v>-8.86</v>
      </c>
      <c r="G126" s="50">
        <f t="shared" si="3"/>
        <v>0.68725732439110487</v>
      </c>
    </row>
    <row r="127" spans="1:7" x14ac:dyDescent="0.25">
      <c r="A127" s="49" t="str">
        <f>'Data shares'!C122</f>
        <v>LTF</v>
      </c>
      <c r="B127" s="50">
        <f>VLOOKUP($A127,'Data shares'!$C:$FM,102)</f>
        <v>32.97</v>
      </c>
      <c r="C127" s="50">
        <f>VLOOKUP($A127,'Data shares'!$C:$FM,110)</f>
        <v>31.88</v>
      </c>
      <c r="D127" s="50">
        <f>VLOOKUP($A127,'Data shares'!$C:$FM,114)</f>
        <v>34.97</v>
      </c>
      <c r="E127" s="50">
        <f>VLOOKUP($A127,'Data shares'!$C:$FM,106)</f>
        <v>38.83</v>
      </c>
      <c r="F127" s="50">
        <f>VLOOKUP($A127,'Data shares'!$C:$FM,108)</f>
        <v>-5.86</v>
      </c>
      <c r="G127" s="50">
        <f t="shared" si="3"/>
        <v>0.84908575843420042</v>
      </c>
    </row>
    <row r="128" spans="1:7" x14ac:dyDescent="0.25">
      <c r="A128" s="49" t="str">
        <f>'Data shares'!C123</f>
        <v>LTIM</v>
      </c>
      <c r="B128" s="50">
        <f>VLOOKUP($A128,'Data shares'!$C:$FM,102)</f>
        <v>30.49</v>
      </c>
      <c r="C128" s="50">
        <f>VLOOKUP($A128,'Data shares'!$C:$FM,110)</f>
        <v>30.33</v>
      </c>
      <c r="D128" s="50">
        <f>VLOOKUP($A128,'Data shares'!$C:$FM,114)</f>
        <v>31.14</v>
      </c>
      <c r="E128" s="50">
        <f>VLOOKUP($A128,'Data shares'!$C:$FM,106)</f>
        <v>34.19</v>
      </c>
      <c r="F128" s="50">
        <f>VLOOKUP($A128,'Data shares'!$C:$FM,108)</f>
        <v>-3.7</v>
      </c>
      <c r="G128" s="50">
        <f t="shared" si="3"/>
        <v>0.89178122257970172</v>
      </c>
    </row>
    <row r="129" spans="1:7" x14ac:dyDescent="0.25">
      <c r="A129" s="49" t="str">
        <f>'Data shares'!C124</f>
        <v>LUPIN</v>
      </c>
      <c r="B129" s="50">
        <f>VLOOKUP($A129,'Data shares'!$C:$FM,102)</f>
        <v>22.98</v>
      </c>
      <c r="C129" s="50">
        <f>VLOOKUP($A129,'Data shares'!$C:$FM,110)</f>
        <v>23.13</v>
      </c>
      <c r="D129" s="50">
        <f>VLOOKUP($A129,'Data shares'!$C:$FM,114)</f>
        <v>22.74</v>
      </c>
      <c r="E129" s="50">
        <f>VLOOKUP($A129,'Data shares'!$C:$FM,106)</f>
        <v>32.700000000000003</v>
      </c>
      <c r="F129" s="50">
        <f>VLOOKUP($A129,'Data shares'!$C:$FM,108)</f>
        <v>-9.7200000000000006</v>
      </c>
      <c r="G129" s="50">
        <f t="shared" si="3"/>
        <v>0.70275229357798163</v>
      </c>
    </row>
    <row r="130" spans="1:7" x14ac:dyDescent="0.25">
      <c r="A130" s="49" t="str">
        <f>'Data shares'!C125</f>
        <v>M&amp;M</v>
      </c>
      <c r="B130" s="50">
        <f>VLOOKUP($A130,'Data shares'!$C:$FM,102)</f>
        <v>24.32</v>
      </c>
      <c r="C130" s="50">
        <f>VLOOKUP($A130,'Data shares'!$C:$FM,110)</f>
        <v>24.23</v>
      </c>
      <c r="D130" s="50">
        <f>VLOOKUP($A130,'Data shares'!$C:$FM,114)</f>
        <v>24.53</v>
      </c>
      <c r="E130" s="50">
        <f>VLOOKUP($A130,'Data shares'!$C:$FM,106)</f>
        <v>34.69</v>
      </c>
      <c r="F130" s="50">
        <f>VLOOKUP($A130,'Data shares'!$C:$FM,108)</f>
        <v>-10.37</v>
      </c>
      <c r="G130" s="50">
        <f t="shared" si="3"/>
        <v>0.7010665897953301</v>
      </c>
    </row>
    <row r="131" spans="1:7" x14ac:dyDescent="0.25">
      <c r="A131" s="49" t="str">
        <f>'Data shares'!C126</f>
        <v>MANAPPURAM</v>
      </c>
      <c r="B131" s="50">
        <f>VLOOKUP($A131,'Data shares'!$C:$FM,102)</f>
        <v>32.19</v>
      </c>
      <c r="C131" s="50">
        <f>VLOOKUP($A131,'Data shares'!$C:$FM,110)</f>
        <v>32.01</v>
      </c>
      <c r="D131" s="50">
        <f>VLOOKUP($A131,'Data shares'!$C:$FM,114)</f>
        <v>32.78</v>
      </c>
      <c r="E131" s="50">
        <f>VLOOKUP($A131,'Data shares'!$C:$FM,106)</f>
        <v>43.78</v>
      </c>
      <c r="F131" s="50">
        <f>VLOOKUP($A131,'Data shares'!$C:$FM,108)</f>
        <v>-11.59</v>
      </c>
      <c r="G131" s="50">
        <f t="shared" si="3"/>
        <v>0.73526724531749654</v>
      </c>
    </row>
    <row r="132" spans="1:7" x14ac:dyDescent="0.25">
      <c r="A132" s="49" t="str">
        <f>'Data shares'!C127</f>
        <v>MANKIND</v>
      </c>
      <c r="B132" s="50">
        <f>VLOOKUP($A132,'Data shares'!$C:$FM,102)</f>
        <v>27.84</v>
      </c>
      <c r="C132" s="50">
        <f>VLOOKUP($A132,'Data shares'!$C:$FM,110)</f>
        <v>27.52</v>
      </c>
      <c r="D132" s="50">
        <f>VLOOKUP($A132,'Data shares'!$C:$FM,114)</f>
        <v>28.46</v>
      </c>
      <c r="E132" s="50">
        <f>VLOOKUP($A132,'Data shares'!$C:$FM,106)</f>
        <v>35.03</v>
      </c>
      <c r="F132" s="50">
        <f>VLOOKUP($A132,'Data shares'!$C:$FM,108)</f>
        <v>-7.19</v>
      </c>
      <c r="G132" s="50">
        <f t="shared" si="3"/>
        <v>0.79474735940622321</v>
      </c>
    </row>
    <row r="133" spans="1:7" x14ac:dyDescent="0.25">
      <c r="A133" s="49" t="str">
        <f>'Data shares'!C128</f>
        <v>MARICO</v>
      </c>
      <c r="B133" s="50">
        <f>VLOOKUP($A133,'Data shares'!$C:$FM,102)</f>
        <v>20.27</v>
      </c>
      <c r="C133" s="50">
        <f>VLOOKUP($A133,'Data shares'!$C:$FM,110)</f>
        <v>20.13</v>
      </c>
      <c r="D133" s="50">
        <f>VLOOKUP($A133,'Data shares'!$C:$FM,114)</f>
        <v>20.55</v>
      </c>
      <c r="E133" s="50">
        <f>VLOOKUP($A133,'Data shares'!$C:$FM,106)</f>
        <v>26.15</v>
      </c>
      <c r="F133" s="50">
        <f>VLOOKUP($A133,'Data shares'!$C:$FM,108)</f>
        <v>-5.88</v>
      </c>
      <c r="G133" s="50">
        <f t="shared" si="3"/>
        <v>0.77514340344168264</v>
      </c>
    </row>
    <row r="134" spans="1:7" x14ac:dyDescent="0.25">
      <c r="A134" s="49" t="str">
        <f>'Data shares'!C129</f>
        <v>MARUTI</v>
      </c>
      <c r="B134" s="50">
        <f>VLOOKUP($A134,'Data shares'!$C:$FM,102)</f>
        <v>19.559999999999999</v>
      </c>
      <c r="C134" s="50">
        <f>VLOOKUP($A134,'Data shares'!$C:$FM,110)</f>
        <v>19.38</v>
      </c>
      <c r="D134" s="50">
        <f>VLOOKUP($A134,'Data shares'!$C:$FM,114)</f>
        <v>19.989999999999998</v>
      </c>
      <c r="E134" s="50">
        <f>VLOOKUP($A134,'Data shares'!$C:$FM,106)</f>
        <v>26.09</v>
      </c>
      <c r="F134" s="50">
        <f>VLOOKUP($A134,'Data shares'!$C:$FM,108)</f>
        <v>-6.53</v>
      </c>
      <c r="G134" s="50">
        <f t="shared" si="3"/>
        <v>0.74971253353775391</v>
      </c>
    </row>
    <row r="135" spans="1:7" x14ac:dyDescent="0.25">
      <c r="A135" s="49" t="str">
        <f>'Data shares'!C130</f>
        <v>MAXHEALTH</v>
      </c>
      <c r="B135" s="50">
        <f>VLOOKUP($A135,'Data shares'!$C:$FM,102)</f>
        <v>28.43</v>
      </c>
      <c r="C135" s="50">
        <f>VLOOKUP($A135,'Data shares'!$C:$FM,110)</f>
        <v>27.7</v>
      </c>
      <c r="D135" s="50">
        <f>VLOOKUP($A135,'Data shares'!$C:$FM,114)</f>
        <v>30</v>
      </c>
      <c r="E135" s="50">
        <f>VLOOKUP($A135,'Data shares'!$C:$FM,106)</f>
        <v>41.77</v>
      </c>
      <c r="F135" s="50">
        <f>VLOOKUP($A135,'Data shares'!$C:$FM,108)</f>
        <v>-13.34</v>
      </c>
      <c r="G135" s="50">
        <f t="shared" ref="G135:G166" si="4">B135/E135</f>
        <v>0.68063203255925298</v>
      </c>
    </row>
    <row r="136" spans="1:7" x14ac:dyDescent="0.25">
      <c r="A136" s="49" t="str">
        <f>'Data shares'!C131</f>
        <v>MAZDOCK</v>
      </c>
      <c r="B136" s="50">
        <f>VLOOKUP($A136,'Data shares'!$C:$FM,102)</f>
        <v>36.130000000000003</v>
      </c>
      <c r="C136" s="50">
        <f>VLOOKUP($A136,'Data shares'!$C:$FM,110)</f>
        <v>36.19</v>
      </c>
      <c r="D136" s="50">
        <f>VLOOKUP($A136,'Data shares'!$C:$FM,114)</f>
        <v>35.96</v>
      </c>
      <c r="E136" s="50">
        <f>VLOOKUP($A136,'Data shares'!$C:$FM,106)</f>
        <v>60.65</v>
      </c>
      <c r="F136" s="50">
        <f>VLOOKUP($A136,'Data shares'!$C:$FM,108)</f>
        <v>-24.52</v>
      </c>
      <c r="G136" s="50">
        <f t="shared" si="4"/>
        <v>0.59571310799670241</v>
      </c>
    </row>
    <row r="137" spans="1:7" x14ac:dyDescent="0.25">
      <c r="A137" s="49" t="str">
        <f>'Data shares'!C132</f>
        <v>MCX</v>
      </c>
      <c r="B137" s="50">
        <f>VLOOKUP($A137,'Data shares'!$C:$FM,102)</f>
        <v>33.130000000000003</v>
      </c>
      <c r="C137" s="50">
        <f>VLOOKUP($A137,'Data shares'!$C:$FM,110)</f>
        <v>32.869999999999997</v>
      </c>
      <c r="D137" s="50">
        <f>VLOOKUP($A137,'Data shares'!$C:$FM,114)</f>
        <v>33.68</v>
      </c>
      <c r="E137" s="50">
        <f>VLOOKUP($A137,'Data shares'!$C:$FM,106)</f>
        <v>46.94</v>
      </c>
      <c r="F137" s="50">
        <f>VLOOKUP($A137,'Data shares'!$C:$FM,108)</f>
        <v>-13.81</v>
      </c>
      <c r="G137" s="50">
        <f t="shared" si="4"/>
        <v>0.70579463144439725</v>
      </c>
    </row>
    <row r="138" spans="1:7" x14ac:dyDescent="0.25">
      <c r="A138" s="49" t="str">
        <f>'Data shares'!C133</f>
        <v>MFSL</v>
      </c>
      <c r="B138" s="50">
        <f>VLOOKUP($A138,'Data shares'!$C:$FM,102)</f>
        <v>25.53</v>
      </c>
      <c r="C138" s="50">
        <f>VLOOKUP($A138,'Data shares'!$C:$FM,110)</f>
        <v>25.36</v>
      </c>
      <c r="D138" s="50">
        <f>VLOOKUP($A138,'Data shares'!$C:$FM,114)</f>
        <v>26.14</v>
      </c>
      <c r="E138" s="50">
        <f>VLOOKUP($A138,'Data shares'!$C:$FM,106)</f>
        <v>30.64</v>
      </c>
      <c r="F138" s="50">
        <f>VLOOKUP($A138,'Data shares'!$C:$FM,108)</f>
        <v>-5.1100000000000003</v>
      </c>
      <c r="G138" s="50">
        <f t="shared" si="4"/>
        <v>0.83322454308093996</v>
      </c>
    </row>
    <row r="139" spans="1:7" x14ac:dyDescent="0.25">
      <c r="A139" s="49" t="str">
        <f>'Data shares'!C134</f>
        <v>MIDCPNIFTY</v>
      </c>
      <c r="B139" s="50">
        <f>VLOOKUP($A139,'Data shares'!$C:$FM,102)</f>
        <v>16.53</v>
      </c>
      <c r="C139" s="50">
        <f>VLOOKUP($A139,'Data shares'!$C:$FM,110)</f>
        <v>14.84</v>
      </c>
      <c r="D139" s="50">
        <f>VLOOKUP($A139,'Data shares'!$C:$FM,114)</f>
        <v>17.87</v>
      </c>
      <c r="E139" s="50">
        <f>VLOOKUP($A139,'Data shares'!$C:$FM,106)</f>
        <v>23.08</v>
      </c>
      <c r="F139" s="50">
        <f>VLOOKUP($A139,'Data shares'!$C:$FM,108)</f>
        <v>-6.55</v>
      </c>
      <c r="G139" s="50">
        <f t="shared" si="4"/>
        <v>0.71620450606585795</v>
      </c>
    </row>
    <row r="140" spans="1:7" x14ac:dyDescent="0.25">
      <c r="A140" s="49" t="str">
        <f>'Data shares'!C135</f>
        <v>MOTHERSON</v>
      </c>
      <c r="B140" s="50">
        <f>VLOOKUP($A140,'Data shares'!$C:$FM,102)</f>
        <v>32.450000000000003</v>
      </c>
      <c r="C140" s="50">
        <f>VLOOKUP($A140,'Data shares'!$C:$FM,110)</f>
        <v>32.86</v>
      </c>
      <c r="D140" s="50">
        <f>VLOOKUP($A140,'Data shares'!$C:$FM,114)</f>
        <v>31.59</v>
      </c>
      <c r="E140" s="50">
        <f>VLOOKUP($A140,'Data shares'!$C:$FM,106)</f>
        <v>41.38</v>
      </c>
      <c r="F140" s="50">
        <f>VLOOKUP($A140,'Data shares'!$C:$FM,108)</f>
        <v>-8.93</v>
      </c>
      <c r="G140" s="50">
        <f t="shared" si="4"/>
        <v>0.78419526341227652</v>
      </c>
    </row>
    <row r="141" spans="1:7" x14ac:dyDescent="0.25">
      <c r="A141" s="49" t="str">
        <f>'Data shares'!C136</f>
        <v>MPHASIS</v>
      </c>
      <c r="B141" s="50">
        <f>VLOOKUP($A141,'Data shares'!$C:$FM,102)</f>
        <v>29.81</v>
      </c>
      <c r="C141" s="50">
        <f>VLOOKUP($A141,'Data shares'!$C:$FM,110)</f>
        <v>29.48</v>
      </c>
      <c r="D141" s="50">
        <f>VLOOKUP($A141,'Data shares'!$C:$FM,114)</f>
        <v>30.71</v>
      </c>
      <c r="E141" s="50">
        <f>VLOOKUP($A141,'Data shares'!$C:$FM,106)</f>
        <v>38.15</v>
      </c>
      <c r="F141" s="50">
        <f>VLOOKUP($A141,'Data shares'!$C:$FM,108)</f>
        <v>-8.34</v>
      </c>
      <c r="G141" s="50">
        <f t="shared" si="4"/>
        <v>0.78138925294888595</v>
      </c>
    </row>
    <row r="142" spans="1:7" x14ac:dyDescent="0.25">
      <c r="A142" s="49" t="str">
        <f>'Data shares'!C137</f>
        <v>MUTHOOTFIN</v>
      </c>
      <c r="B142" s="50">
        <f>VLOOKUP($A142,'Data shares'!$C:$FM,102)</f>
        <v>26.66</v>
      </c>
      <c r="C142" s="50">
        <f>VLOOKUP($A142,'Data shares'!$C:$FM,110)</f>
        <v>26.16</v>
      </c>
      <c r="D142" s="50">
        <f>VLOOKUP($A142,'Data shares'!$C:$FM,114)</f>
        <v>27.84</v>
      </c>
      <c r="E142" s="50">
        <f>VLOOKUP($A142,'Data shares'!$C:$FM,106)</f>
        <v>36.479999999999997</v>
      </c>
      <c r="F142" s="50">
        <f>VLOOKUP($A142,'Data shares'!$C:$FM,108)</f>
        <v>-9.82</v>
      </c>
      <c r="G142" s="50">
        <f t="shared" si="4"/>
        <v>0.73081140350877205</v>
      </c>
    </row>
    <row r="143" spans="1:7" x14ac:dyDescent="0.25">
      <c r="A143" s="49" t="str">
        <f>'Data shares'!C138</f>
        <v>NATIONALUM</v>
      </c>
      <c r="B143" s="50">
        <f>VLOOKUP($A143,'Data shares'!$C:$FM,102)</f>
        <v>33.479999999999997</v>
      </c>
      <c r="C143" s="50">
        <f>VLOOKUP($A143,'Data shares'!$C:$FM,110)</f>
        <v>33.75</v>
      </c>
      <c r="D143" s="50">
        <f>VLOOKUP($A143,'Data shares'!$C:$FM,114)</f>
        <v>32.9</v>
      </c>
      <c r="E143" s="50">
        <f>VLOOKUP($A143,'Data shares'!$C:$FM,106)</f>
        <v>48.15</v>
      </c>
      <c r="F143" s="50">
        <f>VLOOKUP($A143,'Data shares'!$C:$FM,108)</f>
        <v>-14.67</v>
      </c>
      <c r="G143" s="50">
        <f t="shared" si="4"/>
        <v>0.69532710280373833</v>
      </c>
    </row>
    <row r="144" spans="1:7" x14ac:dyDescent="0.25">
      <c r="A144" s="49" t="str">
        <f>'Data shares'!C139</f>
        <v>NAUKRI</v>
      </c>
      <c r="B144" s="50">
        <f>VLOOKUP($A144,'Data shares'!$C:$FM,102)</f>
        <v>27.84</v>
      </c>
      <c r="C144" s="50">
        <f>VLOOKUP($A144,'Data shares'!$C:$FM,110)</f>
        <v>27.64</v>
      </c>
      <c r="D144" s="50">
        <f>VLOOKUP($A144,'Data shares'!$C:$FM,114)</f>
        <v>28.32</v>
      </c>
      <c r="E144" s="50">
        <f>VLOOKUP($A144,'Data shares'!$C:$FM,106)</f>
        <v>38.69</v>
      </c>
      <c r="F144" s="50">
        <f>VLOOKUP($A144,'Data shares'!$C:$FM,108)</f>
        <v>-10.85</v>
      </c>
      <c r="G144" s="50">
        <f t="shared" si="4"/>
        <v>0.71956577927112952</v>
      </c>
    </row>
    <row r="145" spans="1:7" x14ac:dyDescent="0.25">
      <c r="A145" s="49" t="str">
        <f>'Data shares'!C140</f>
        <v>NBCC</v>
      </c>
      <c r="B145" s="50">
        <f>VLOOKUP($A145,'Data shares'!$C:$FM,102)</f>
        <v>35.630000000000003</v>
      </c>
      <c r="C145" s="50">
        <f>VLOOKUP($A145,'Data shares'!$C:$FM,110)</f>
        <v>35.65</v>
      </c>
      <c r="D145" s="50">
        <f>VLOOKUP($A145,'Data shares'!$C:$FM,114)</f>
        <v>35.549999999999997</v>
      </c>
      <c r="E145" s="50">
        <f>VLOOKUP($A145,'Data shares'!$C:$FM,106)</f>
        <v>53.34</v>
      </c>
      <c r="F145" s="50">
        <f>VLOOKUP($A145,'Data shares'!$C:$FM,108)</f>
        <v>-17.71</v>
      </c>
      <c r="G145" s="50">
        <f t="shared" si="4"/>
        <v>0.66797900262467191</v>
      </c>
    </row>
    <row r="146" spans="1:7" x14ac:dyDescent="0.25">
      <c r="A146" s="49" t="str">
        <f>'Data shares'!C141</f>
        <v>NCC</v>
      </c>
      <c r="B146" s="50">
        <f>VLOOKUP($A146,'Data shares'!$C:$FM,102)</f>
        <v>29.72</v>
      </c>
      <c r="C146" s="50">
        <f>VLOOKUP($A146,'Data shares'!$C:$FM,110)</f>
        <v>29.75</v>
      </c>
      <c r="D146" s="50">
        <f>VLOOKUP($A146,'Data shares'!$C:$FM,114)</f>
        <v>29.65</v>
      </c>
      <c r="E146" s="50">
        <f>VLOOKUP($A146,'Data shares'!$C:$FM,106)</f>
        <v>47.67</v>
      </c>
      <c r="F146" s="50">
        <f>VLOOKUP($A146,'Data shares'!$C:$FM,108)</f>
        <v>-17.95</v>
      </c>
      <c r="G146" s="50">
        <f t="shared" si="4"/>
        <v>0.62345290539123133</v>
      </c>
    </row>
    <row r="147" spans="1:7" x14ac:dyDescent="0.25">
      <c r="A147" s="49" t="str">
        <f>'Data shares'!C142</f>
        <v>NESTLEIND</v>
      </c>
      <c r="B147" s="50">
        <f>VLOOKUP($A147,'Data shares'!$C:$FM,102)</f>
        <v>17.47</v>
      </c>
      <c r="C147" s="50">
        <f>VLOOKUP($A147,'Data shares'!$C:$FM,110)</f>
        <v>17.16</v>
      </c>
      <c r="D147" s="50">
        <f>VLOOKUP($A147,'Data shares'!$C:$FM,114)</f>
        <v>18.16</v>
      </c>
      <c r="E147" s="50">
        <f>VLOOKUP($A147,'Data shares'!$C:$FM,106)</f>
        <v>23.58</v>
      </c>
      <c r="F147" s="50">
        <f>VLOOKUP($A147,'Data shares'!$C:$FM,108)</f>
        <v>-6.11</v>
      </c>
      <c r="G147" s="50">
        <f t="shared" si="4"/>
        <v>0.74088210347752337</v>
      </c>
    </row>
    <row r="148" spans="1:7" x14ac:dyDescent="0.25">
      <c r="A148" s="49" t="str">
        <f>'Data shares'!C143</f>
        <v>NHPC</v>
      </c>
      <c r="B148" s="50">
        <f>VLOOKUP($A148,'Data shares'!$C:$FM,102)</f>
        <v>29.26</v>
      </c>
      <c r="C148" s="50">
        <f>VLOOKUP($A148,'Data shares'!$C:$FM,110)</f>
        <v>29.18</v>
      </c>
      <c r="D148" s="50">
        <f>VLOOKUP($A148,'Data shares'!$C:$FM,114)</f>
        <v>29.59</v>
      </c>
      <c r="E148" s="50">
        <f>VLOOKUP($A148,'Data shares'!$C:$FM,106)</f>
        <v>40.22</v>
      </c>
      <c r="F148" s="50">
        <f>VLOOKUP($A148,'Data shares'!$C:$FM,108)</f>
        <v>-10.96</v>
      </c>
      <c r="G148" s="50">
        <f t="shared" si="4"/>
        <v>0.7274987568373944</v>
      </c>
    </row>
    <row r="149" spans="1:7" x14ac:dyDescent="0.25">
      <c r="A149" s="49" t="str">
        <f>'Data shares'!C144</f>
        <v>NIFTY</v>
      </c>
      <c r="B149" s="50">
        <f>VLOOKUP($A149,'Data shares'!$C:$FM,102)</f>
        <v>10.210000000000001</v>
      </c>
      <c r="C149" s="50">
        <f>VLOOKUP($A149,'Data shares'!$C:$FM,110)</f>
        <v>9</v>
      </c>
      <c r="D149" s="50">
        <f>VLOOKUP($A149,'Data shares'!$C:$FM,114)</f>
        <v>11.56</v>
      </c>
      <c r="E149" s="50">
        <f>VLOOKUP($A149,'Data shares'!$C:$FM,106)</f>
        <v>15.25</v>
      </c>
      <c r="F149" s="50">
        <f>VLOOKUP($A149,'Data shares'!$C:$FM,108)</f>
        <v>-5.04</v>
      </c>
      <c r="G149" s="50">
        <f t="shared" si="4"/>
        <v>0.66950819672131157</v>
      </c>
    </row>
    <row r="150" spans="1:7" x14ac:dyDescent="0.25">
      <c r="A150" s="49" t="str">
        <f>'Data shares'!C145</f>
        <v>NIFTYNXT50</v>
      </c>
      <c r="B150" s="50">
        <f>VLOOKUP($A150,'Data shares'!$C:$FM,102)</f>
        <v>13.24</v>
      </c>
      <c r="C150" s="50">
        <f>VLOOKUP($A150,'Data shares'!$C:$FM,110)</f>
        <v>12.55</v>
      </c>
      <c r="D150" s="50">
        <f>VLOOKUP($A150,'Data shares'!$C:$FM,114)</f>
        <v>14.12</v>
      </c>
      <c r="E150" s="50">
        <f>VLOOKUP($A150,'Data shares'!$C:$FM,106)</f>
        <v>21.56</v>
      </c>
      <c r="F150" s="50">
        <f>VLOOKUP($A150,'Data shares'!$C:$FM,108)</f>
        <v>-8.32</v>
      </c>
      <c r="G150" s="50">
        <f t="shared" si="4"/>
        <v>0.614100185528757</v>
      </c>
    </row>
    <row r="151" spans="1:7" x14ac:dyDescent="0.25">
      <c r="A151" s="49" t="str">
        <f>'Data shares'!C146</f>
        <v>NMDC</v>
      </c>
      <c r="B151" s="50">
        <f>VLOOKUP($A151,'Data shares'!$C:$FM,102)</f>
        <v>28.34</v>
      </c>
      <c r="C151" s="50">
        <f>VLOOKUP($A151,'Data shares'!$C:$FM,110)</f>
        <v>28.44</v>
      </c>
      <c r="D151" s="50">
        <f>VLOOKUP($A151,'Data shares'!$C:$FM,114)</f>
        <v>28.09</v>
      </c>
      <c r="E151" s="50">
        <f>VLOOKUP($A151,'Data shares'!$C:$FM,106)</f>
        <v>39.92</v>
      </c>
      <c r="F151" s="50">
        <f>VLOOKUP($A151,'Data shares'!$C:$FM,108)</f>
        <v>-11.58</v>
      </c>
      <c r="G151" s="50">
        <f t="shared" si="4"/>
        <v>0.70991983967935868</v>
      </c>
    </row>
    <row r="152" spans="1:7" x14ac:dyDescent="0.25">
      <c r="A152" s="49" t="str">
        <f>'Data shares'!C147</f>
        <v>NTPC</v>
      </c>
      <c r="B152" s="50">
        <f>VLOOKUP($A152,'Data shares'!$C:$FM,102)</f>
        <v>18.829999999999998</v>
      </c>
      <c r="C152" s="50">
        <f>VLOOKUP($A152,'Data shares'!$C:$FM,110)</f>
        <v>18.78</v>
      </c>
      <c r="D152" s="50">
        <f>VLOOKUP($A152,'Data shares'!$C:$FM,114)</f>
        <v>18.96</v>
      </c>
      <c r="E152" s="50">
        <f>VLOOKUP($A152,'Data shares'!$C:$FM,106)</f>
        <v>29.08</v>
      </c>
      <c r="F152" s="50">
        <f>VLOOKUP($A152,'Data shares'!$C:$FM,108)</f>
        <v>-10.25</v>
      </c>
      <c r="G152" s="50">
        <f t="shared" si="4"/>
        <v>0.64752407152682256</v>
      </c>
    </row>
    <row r="153" spans="1:7" x14ac:dyDescent="0.25">
      <c r="A153" s="49" t="str">
        <f>'Data shares'!C148</f>
        <v>NUVAMA</v>
      </c>
      <c r="B153" s="50">
        <f>VLOOKUP($A153,'Data shares'!$C:$FM,102)</f>
        <v>32.69</v>
      </c>
      <c r="C153" s="50">
        <f>VLOOKUP($A153,'Data shares'!$C:$FM,110)</f>
        <v>31.29</v>
      </c>
      <c r="D153" s="50">
        <f>VLOOKUP($A153,'Data shares'!$C:$FM,114)</f>
        <v>36.24</v>
      </c>
      <c r="E153" s="50">
        <f>VLOOKUP($A153,'Data shares'!$C:$FM,106)</f>
        <v>52.97</v>
      </c>
      <c r="F153" s="50">
        <f>VLOOKUP($A153,'Data shares'!$C:$FM,108)</f>
        <v>-20.28</v>
      </c>
      <c r="G153" s="50">
        <f t="shared" si="4"/>
        <v>0.6171417783651123</v>
      </c>
    </row>
    <row r="154" spans="1:7" x14ac:dyDescent="0.25">
      <c r="A154" s="49" t="str">
        <f>'Data shares'!C149</f>
        <v>NYKAA</v>
      </c>
      <c r="B154" s="50">
        <f>VLOOKUP($A154,'Data shares'!$C:$FM,102)</f>
        <v>30.53</v>
      </c>
      <c r="C154" s="50">
        <f>VLOOKUP($A154,'Data shares'!$C:$FM,110)</f>
        <v>30.32</v>
      </c>
      <c r="D154" s="50">
        <f>VLOOKUP($A154,'Data shares'!$C:$FM,114)</f>
        <v>31.12</v>
      </c>
      <c r="E154" s="50">
        <f>VLOOKUP($A154,'Data shares'!$C:$FM,106)</f>
        <v>37.479999999999997</v>
      </c>
      <c r="F154" s="50">
        <f>VLOOKUP($A154,'Data shares'!$C:$FM,108)</f>
        <v>-6.95</v>
      </c>
      <c r="G154" s="50">
        <f t="shared" si="4"/>
        <v>0.81456776947705456</v>
      </c>
    </row>
    <row r="155" spans="1:7" x14ac:dyDescent="0.25">
      <c r="A155" s="49" t="str">
        <f>'Data shares'!C150</f>
        <v>OBEROIRLTY</v>
      </c>
      <c r="B155" s="50">
        <f>VLOOKUP($A155,'Data shares'!$C:$FM,102)</f>
        <v>29.85</v>
      </c>
      <c r="C155" s="50">
        <f>VLOOKUP($A155,'Data shares'!$C:$FM,110)</f>
        <v>29.77</v>
      </c>
      <c r="D155" s="50">
        <f>VLOOKUP($A155,'Data shares'!$C:$FM,114)</f>
        <v>30.19</v>
      </c>
      <c r="E155" s="50">
        <f>VLOOKUP($A155,'Data shares'!$C:$FM,106)</f>
        <v>38.409999999999997</v>
      </c>
      <c r="F155" s="50">
        <f>VLOOKUP($A155,'Data shares'!$C:$FM,108)</f>
        <v>-8.56</v>
      </c>
      <c r="G155" s="50">
        <f t="shared" si="4"/>
        <v>0.77714136943504308</v>
      </c>
    </row>
    <row r="156" spans="1:7" x14ac:dyDescent="0.25">
      <c r="A156" s="49" t="str">
        <f>'Data shares'!C151</f>
        <v>OFSS</v>
      </c>
      <c r="B156" s="50">
        <f>VLOOKUP($A156,'Data shares'!$C:$FM,102)</f>
        <v>31.08</v>
      </c>
      <c r="C156" s="50">
        <f>VLOOKUP($A156,'Data shares'!$C:$FM,110)</f>
        <v>30.94</v>
      </c>
      <c r="D156" s="50">
        <f>VLOOKUP($A156,'Data shares'!$C:$FM,114)</f>
        <v>31.51</v>
      </c>
      <c r="E156" s="50">
        <f>VLOOKUP($A156,'Data shares'!$C:$FM,106)</f>
        <v>42.14</v>
      </c>
      <c r="F156" s="50">
        <f>VLOOKUP($A156,'Data shares'!$C:$FM,108)</f>
        <v>-11.06</v>
      </c>
      <c r="G156" s="50">
        <f t="shared" si="4"/>
        <v>0.7375415282392026</v>
      </c>
    </row>
    <row r="157" spans="1:7" x14ac:dyDescent="0.25">
      <c r="A157" s="49" t="str">
        <f>'Data shares'!C152</f>
        <v>OIL</v>
      </c>
      <c r="B157" s="50">
        <f>VLOOKUP($A157,'Data shares'!$C:$FM,102)</f>
        <v>31.69</v>
      </c>
      <c r="C157" s="50">
        <f>VLOOKUP($A157,'Data shares'!$C:$FM,110)</f>
        <v>31.71</v>
      </c>
      <c r="D157" s="50">
        <f>VLOOKUP($A157,'Data shares'!$C:$FM,114)</f>
        <v>31.61</v>
      </c>
      <c r="E157" s="50">
        <f>VLOOKUP($A157,'Data shares'!$C:$FM,106)</f>
        <v>45.19</v>
      </c>
      <c r="F157" s="50">
        <f>VLOOKUP($A157,'Data shares'!$C:$FM,108)</f>
        <v>-13.5</v>
      </c>
      <c r="G157" s="50">
        <f t="shared" si="4"/>
        <v>0.7012613410046471</v>
      </c>
    </row>
    <row r="158" spans="1:7" x14ac:dyDescent="0.25">
      <c r="A158" s="49" t="str">
        <f>'Data shares'!C153</f>
        <v>ONGC</v>
      </c>
      <c r="B158" s="50">
        <f>VLOOKUP($A158,'Data shares'!$C:$FM,102)</f>
        <v>19.420000000000002</v>
      </c>
      <c r="C158" s="50">
        <f>VLOOKUP($A158,'Data shares'!$C:$FM,110)</f>
        <v>19.190000000000001</v>
      </c>
      <c r="D158" s="50">
        <f>VLOOKUP($A158,'Data shares'!$C:$FM,114)</f>
        <v>19.96</v>
      </c>
      <c r="E158" s="50">
        <f>VLOOKUP($A158,'Data shares'!$C:$FM,106)</f>
        <v>32.71</v>
      </c>
      <c r="F158" s="50">
        <f>VLOOKUP($A158,'Data shares'!$C:$FM,108)</f>
        <v>-13.29</v>
      </c>
      <c r="G158" s="50">
        <f t="shared" si="4"/>
        <v>0.59370223173341485</v>
      </c>
    </row>
    <row r="159" spans="1:7" x14ac:dyDescent="0.25">
      <c r="A159" s="49" t="str">
        <f>'Data shares'!C154</f>
        <v>PAGEIND</v>
      </c>
      <c r="B159" s="50">
        <f>VLOOKUP($A159,'Data shares'!$C:$FM,102)</f>
        <v>25.61</v>
      </c>
      <c r="C159" s="50">
        <f>VLOOKUP($A159,'Data shares'!$C:$FM,110)</f>
        <v>25.78</v>
      </c>
      <c r="D159" s="50">
        <f>VLOOKUP($A159,'Data shares'!$C:$FM,114)</f>
        <v>24.47</v>
      </c>
      <c r="E159" s="50">
        <f>VLOOKUP($A159,'Data shares'!$C:$FM,106)</f>
        <v>29.88</v>
      </c>
      <c r="F159" s="50">
        <f>VLOOKUP($A159,'Data shares'!$C:$FM,108)</f>
        <v>-4.2699999999999996</v>
      </c>
      <c r="G159" s="50">
        <f t="shared" si="4"/>
        <v>0.857095046854083</v>
      </c>
    </row>
    <row r="160" spans="1:7" x14ac:dyDescent="0.25">
      <c r="A160" s="49" t="str">
        <f>'Data shares'!C155</f>
        <v>PATANJALI</v>
      </c>
      <c r="B160" s="50">
        <f>VLOOKUP($A160,'Data shares'!$C:$FM,102)</f>
        <v>28.78</v>
      </c>
      <c r="C160" s="50">
        <f>VLOOKUP($A160,'Data shares'!$C:$FM,110)</f>
        <v>28.65</v>
      </c>
      <c r="D160" s="50">
        <f>VLOOKUP($A160,'Data shares'!$C:$FM,114)</f>
        <v>29.15</v>
      </c>
      <c r="E160" s="50">
        <f>VLOOKUP($A160,'Data shares'!$C:$FM,106)</f>
        <v>34.82</v>
      </c>
      <c r="F160" s="50">
        <f>VLOOKUP($A160,'Data shares'!$C:$FM,108)</f>
        <v>-6.04</v>
      </c>
      <c r="G160" s="50">
        <f t="shared" si="4"/>
        <v>0.82653647329121194</v>
      </c>
    </row>
    <row r="161" spans="1:7" x14ac:dyDescent="0.25">
      <c r="A161" s="49" t="str">
        <f>'Data shares'!C156</f>
        <v>PAYTM</v>
      </c>
      <c r="B161" s="50">
        <f>VLOOKUP($A161,'Data shares'!$C:$FM,102)</f>
        <v>36.229999999999997</v>
      </c>
      <c r="C161" s="50">
        <f>VLOOKUP($A161,'Data shares'!$C:$FM,110)</f>
        <v>35.6</v>
      </c>
      <c r="D161" s="50">
        <f>VLOOKUP($A161,'Data shares'!$C:$FM,114)</f>
        <v>37.479999999999997</v>
      </c>
      <c r="E161" s="50">
        <f>VLOOKUP($A161,'Data shares'!$C:$FM,106)</f>
        <v>56.87</v>
      </c>
      <c r="F161" s="50">
        <f>VLOOKUP($A161,'Data shares'!$C:$FM,108)</f>
        <v>-20.64</v>
      </c>
      <c r="G161" s="50">
        <f t="shared" si="4"/>
        <v>0.63706699490065055</v>
      </c>
    </row>
    <row r="162" spans="1:7" x14ac:dyDescent="0.25">
      <c r="A162" s="49" t="str">
        <f>'Data shares'!C157</f>
        <v>PERSISTENT</v>
      </c>
      <c r="B162" s="50">
        <f>VLOOKUP($A162,'Data shares'!$C:$FM,102)</f>
        <v>36.229999999999997</v>
      </c>
      <c r="C162" s="50">
        <f>VLOOKUP($A162,'Data shares'!$C:$FM,110)</f>
        <v>35.979999999999997</v>
      </c>
      <c r="D162" s="50">
        <f>VLOOKUP($A162,'Data shares'!$C:$FM,114)</f>
        <v>36.79</v>
      </c>
      <c r="E162" s="50">
        <f>VLOOKUP($A162,'Data shares'!$C:$FM,106)</f>
        <v>42.02</v>
      </c>
      <c r="F162" s="50">
        <f>VLOOKUP($A162,'Data shares'!$C:$FM,108)</f>
        <v>-5.79</v>
      </c>
      <c r="G162" s="50">
        <f t="shared" si="4"/>
        <v>0.86220847215611596</v>
      </c>
    </row>
    <row r="163" spans="1:7" x14ac:dyDescent="0.25">
      <c r="A163" s="49" t="str">
        <f>'Data shares'!C158</f>
        <v>PETRONET</v>
      </c>
      <c r="B163" s="50">
        <f>VLOOKUP($A163,'Data shares'!$C:$FM,102)</f>
        <v>25.45</v>
      </c>
      <c r="C163" s="50">
        <f>VLOOKUP($A163,'Data shares'!$C:$FM,110)</f>
        <v>25.16</v>
      </c>
      <c r="D163" s="50">
        <f>VLOOKUP($A163,'Data shares'!$C:$FM,114)</f>
        <v>26.71</v>
      </c>
      <c r="E163" s="50">
        <f>VLOOKUP($A163,'Data shares'!$C:$FM,106)</f>
        <v>33.22</v>
      </c>
      <c r="F163" s="50">
        <f>VLOOKUP($A163,'Data shares'!$C:$FM,108)</f>
        <v>-7.77</v>
      </c>
      <c r="G163" s="50">
        <f t="shared" si="4"/>
        <v>0.76610475617098139</v>
      </c>
    </row>
    <row r="164" spans="1:7" x14ac:dyDescent="0.25">
      <c r="A164" s="49" t="str">
        <f>'Data shares'!C159</f>
        <v>PFC</v>
      </c>
      <c r="B164" s="50">
        <f>VLOOKUP($A164,'Data shares'!$C:$FM,102)</f>
        <v>26.31</v>
      </c>
      <c r="C164" s="50">
        <f>VLOOKUP($A164,'Data shares'!$C:$FM,110)</f>
        <v>26.5</v>
      </c>
      <c r="D164" s="50">
        <f>VLOOKUP($A164,'Data shares'!$C:$FM,114)</f>
        <v>25.91</v>
      </c>
      <c r="E164" s="50">
        <f>VLOOKUP($A164,'Data shares'!$C:$FM,106)</f>
        <v>45.2</v>
      </c>
      <c r="F164" s="50">
        <f>VLOOKUP($A164,'Data shares'!$C:$FM,108)</f>
        <v>-18.89</v>
      </c>
      <c r="G164" s="50">
        <f t="shared" si="4"/>
        <v>0.58207964601769902</v>
      </c>
    </row>
    <row r="165" spans="1:7" x14ac:dyDescent="0.25">
      <c r="A165" s="49" t="str">
        <f>'Data shares'!C160</f>
        <v>PGEL</v>
      </c>
      <c r="B165" s="50">
        <f>VLOOKUP($A165,'Data shares'!$C:$FM,102)</f>
        <v>39.36</v>
      </c>
      <c r="C165" s="50">
        <f>VLOOKUP($A165,'Data shares'!$C:$FM,110)</f>
        <v>39.29</v>
      </c>
      <c r="D165" s="50">
        <f>VLOOKUP($A165,'Data shares'!$C:$FM,114)</f>
        <v>39.53</v>
      </c>
      <c r="E165" s="50">
        <f>VLOOKUP($A165,'Data shares'!$C:$FM,106)</f>
        <v>70.010000000000005</v>
      </c>
      <c r="F165" s="50">
        <f>VLOOKUP($A165,'Data shares'!$C:$FM,108)</f>
        <v>-30.65</v>
      </c>
      <c r="G165" s="50">
        <f t="shared" si="4"/>
        <v>0.56220539922868151</v>
      </c>
    </row>
    <row r="166" spans="1:7" x14ac:dyDescent="0.25">
      <c r="A166" s="49" t="str">
        <f>'Data shares'!C161</f>
        <v>PHOENIXLTD</v>
      </c>
      <c r="B166" s="50">
        <f>VLOOKUP($A166,'Data shares'!$C:$FM,102)</f>
        <v>29.9</v>
      </c>
      <c r="C166" s="50">
        <f>VLOOKUP($A166,'Data shares'!$C:$FM,110)</f>
        <v>29.79</v>
      </c>
      <c r="D166" s="50">
        <f>VLOOKUP($A166,'Data shares'!$C:$FM,114)</f>
        <v>30.37</v>
      </c>
      <c r="E166" s="50">
        <f>VLOOKUP($A166,'Data shares'!$C:$FM,106)</f>
        <v>45.08</v>
      </c>
      <c r="F166" s="50">
        <f>VLOOKUP($A166,'Data shares'!$C:$FM,108)</f>
        <v>-15.18</v>
      </c>
      <c r="G166" s="50">
        <f t="shared" si="4"/>
        <v>0.66326530612244894</v>
      </c>
    </row>
    <row r="167" spans="1:7" x14ac:dyDescent="0.25">
      <c r="A167" s="49" t="str">
        <f>'Data shares'!C162</f>
        <v>PIDILITIND</v>
      </c>
      <c r="B167" s="50">
        <f>VLOOKUP($A167,'Data shares'!$C:$FM,102)</f>
        <v>18.73</v>
      </c>
      <c r="C167" s="50">
        <f>VLOOKUP($A167,'Data shares'!$C:$FM,110)</f>
        <v>18.600000000000001</v>
      </c>
      <c r="D167" s="50">
        <f>VLOOKUP($A167,'Data shares'!$C:$FM,114)</f>
        <v>18.97</v>
      </c>
      <c r="E167" s="50">
        <f>VLOOKUP($A167,'Data shares'!$C:$FM,106)</f>
        <v>22.17</v>
      </c>
      <c r="F167" s="50">
        <f>VLOOKUP($A167,'Data shares'!$C:$FM,108)</f>
        <v>-3.44</v>
      </c>
      <c r="G167" s="50">
        <f t="shared" ref="G167:G189" si="5">B167/E167</f>
        <v>0.84483536310329266</v>
      </c>
    </row>
    <row r="168" spans="1:7" x14ac:dyDescent="0.25">
      <c r="A168" s="49" t="str">
        <f>'Data shares'!C163</f>
        <v>PIIND</v>
      </c>
      <c r="B168" s="50">
        <f>VLOOKUP($A168,'Data shares'!$C:$FM,102)</f>
        <v>23.56</v>
      </c>
      <c r="C168" s="50">
        <f>VLOOKUP($A168,'Data shares'!$C:$FM,110)</f>
        <v>23.43</v>
      </c>
      <c r="D168" s="50">
        <f>VLOOKUP($A168,'Data shares'!$C:$FM,114)</f>
        <v>23.83</v>
      </c>
      <c r="E168" s="50">
        <f>VLOOKUP($A168,'Data shares'!$C:$FM,106)</f>
        <v>30.43</v>
      </c>
      <c r="F168" s="50">
        <f>VLOOKUP($A168,'Data shares'!$C:$FM,108)</f>
        <v>-6.87</v>
      </c>
      <c r="G168" s="50">
        <f t="shared" si="5"/>
        <v>0.77423595136378576</v>
      </c>
    </row>
    <row r="169" spans="1:7" x14ac:dyDescent="0.25">
      <c r="A169" s="49" t="str">
        <f>'Data shares'!C164</f>
        <v>PNB</v>
      </c>
      <c r="B169" s="50">
        <f>VLOOKUP($A169,'Data shares'!$C:$FM,102)</f>
        <v>26.57</v>
      </c>
      <c r="C169" s="50">
        <f>VLOOKUP($A169,'Data shares'!$C:$FM,110)</f>
        <v>26.39</v>
      </c>
      <c r="D169" s="50">
        <f>VLOOKUP($A169,'Data shares'!$C:$FM,114)</f>
        <v>26.99</v>
      </c>
      <c r="E169" s="50">
        <f>VLOOKUP($A169,'Data shares'!$C:$FM,106)</f>
        <v>37.49</v>
      </c>
      <c r="F169" s="50">
        <f>VLOOKUP($A169,'Data shares'!$C:$FM,108)</f>
        <v>-10.92</v>
      </c>
      <c r="G169" s="50">
        <f t="shared" si="5"/>
        <v>0.70872232595358764</v>
      </c>
    </row>
    <row r="170" spans="1:7" x14ac:dyDescent="0.25">
      <c r="A170" s="49" t="str">
        <f>'Data shares'!C165</f>
        <v>PNBHOUSING</v>
      </c>
      <c r="B170" s="50">
        <f>VLOOKUP($A170,'Data shares'!$C:$FM,102)</f>
        <v>36.520000000000003</v>
      </c>
      <c r="C170" s="50">
        <f>VLOOKUP($A170,'Data shares'!$C:$FM,110)</f>
        <v>36.46</v>
      </c>
      <c r="D170" s="50">
        <f>VLOOKUP($A170,'Data shares'!$C:$FM,114)</f>
        <v>36.64</v>
      </c>
      <c r="E170" s="50">
        <f>VLOOKUP($A170,'Data shares'!$C:$FM,106)</f>
        <v>49.82</v>
      </c>
      <c r="F170" s="50">
        <f>VLOOKUP($A170,'Data shares'!$C:$FM,108)</f>
        <v>-13.3</v>
      </c>
      <c r="G170" s="50">
        <f t="shared" si="5"/>
        <v>0.73303894018466487</v>
      </c>
    </row>
    <row r="171" spans="1:7" x14ac:dyDescent="0.25">
      <c r="A171" s="49" t="str">
        <f>'Data shares'!C166</f>
        <v>POLICYBZR</v>
      </c>
      <c r="B171" s="50">
        <f>VLOOKUP($A171,'Data shares'!$C:$FM,102)</f>
        <v>32.68</v>
      </c>
      <c r="C171" s="50">
        <f>VLOOKUP($A171,'Data shares'!$C:$FM,110)</f>
        <v>31.31</v>
      </c>
      <c r="D171" s="50">
        <f>VLOOKUP($A171,'Data shares'!$C:$FM,114)</f>
        <v>34.6</v>
      </c>
      <c r="E171" s="50">
        <f>VLOOKUP($A171,'Data shares'!$C:$FM,106)</f>
        <v>48.18</v>
      </c>
      <c r="F171" s="50">
        <f>VLOOKUP($A171,'Data shares'!$C:$FM,108)</f>
        <v>-15.5</v>
      </c>
      <c r="G171" s="50">
        <f t="shared" si="5"/>
        <v>0.67828974678289744</v>
      </c>
    </row>
    <row r="172" spans="1:7" x14ac:dyDescent="0.25">
      <c r="A172" s="49" t="str">
        <f>'Data shares'!C167</f>
        <v>POLYCAB</v>
      </c>
      <c r="B172" s="50">
        <f>VLOOKUP($A172,'Data shares'!$C:$FM,102)</f>
        <v>29.91</v>
      </c>
      <c r="C172" s="50">
        <f>VLOOKUP($A172,'Data shares'!$C:$FM,110)</f>
        <v>29.5</v>
      </c>
      <c r="D172" s="50">
        <f>VLOOKUP($A172,'Data shares'!$C:$FM,114)</f>
        <v>31.01</v>
      </c>
      <c r="E172" s="50">
        <f>VLOOKUP($A172,'Data shares'!$C:$FM,106)</f>
        <v>41.52</v>
      </c>
      <c r="F172" s="50">
        <f>VLOOKUP($A172,'Data shares'!$C:$FM,108)</f>
        <v>-11.61</v>
      </c>
      <c r="G172" s="50">
        <f t="shared" si="5"/>
        <v>0.72037572254335258</v>
      </c>
    </row>
    <row r="173" spans="1:7" x14ac:dyDescent="0.25">
      <c r="A173" s="49" t="str">
        <f>'Data shares'!C168</f>
        <v>POWERGRID</v>
      </c>
      <c r="B173" s="50">
        <f>VLOOKUP($A173,'Data shares'!$C:$FM,102)</f>
        <v>19.25</v>
      </c>
      <c r="C173" s="50">
        <f>VLOOKUP($A173,'Data shares'!$C:$FM,110)</f>
        <v>19.43</v>
      </c>
      <c r="D173" s="50">
        <f>VLOOKUP($A173,'Data shares'!$C:$FM,114)</f>
        <v>18.87</v>
      </c>
      <c r="E173" s="50">
        <f>VLOOKUP($A173,'Data shares'!$C:$FM,106)</f>
        <v>29.79</v>
      </c>
      <c r="F173" s="50">
        <f>VLOOKUP($A173,'Data shares'!$C:$FM,108)</f>
        <v>-10.54</v>
      </c>
      <c r="G173" s="50">
        <f t="shared" si="5"/>
        <v>0.6461899966431689</v>
      </c>
    </row>
    <row r="174" spans="1:7" x14ac:dyDescent="0.25">
      <c r="A174" s="49" t="str">
        <f>'Data shares'!C169</f>
        <v>POWERINDIA</v>
      </c>
      <c r="B174" s="50">
        <f>VLOOKUP($A174,'Data shares'!$C:$FM,102)</f>
        <v>36.130000000000003</v>
      </c>
      <c r="C174" s="50">
        <f>VLOOKUP($A174,'Data shares'!$C:$FM,110)</f>
        <v>36.340000000000003</v>
      </c>
      <c r="D174" s="50">
        <f>VLOOKUP($A174,'Data shares'!$C:$FM,114)</f>
        <v>35.42</v>
      </c>
      <c r="E174" s="50">
        <f>VLOOKUP($A174,'Data shares'!$C:$FM,106)</f>
        <v>58.81</v>
      </c>
      <c r="F174" s="50">
        <f>VLOOKUP($A174,'Data shares'!$C:$FM,108)</f>
        <v>-22.68</v>
      </c>
      <c r="G174" s="50">
        <f t="shared" si="5"/>
        <v>0.61435130079918387</v>
      </c>
    </row>
    <row r="175" spans="1:7" x14ac:dyDescent="0.25">
      <c r="A175" s="49" t="str">
        <f>'Data shares'!C170</f>
        <v>PPLPHARMA</v>
      </c>
      <c r="B175" s="50">
        <f>VLOOKUP($A175,'Data shares'!$C:$FM,102)</f>
        <v>34.11</v>
      </c>
      <c r="C175" s="50">
        <f>VLOOKUP($A175,'Data shares'!$C:$FM,110)</f>
        <v>33.86</v>
      </c>
      <c r="D175" s="50">
        <f>VLOOKUP($A175,'Data shares'!$C:$FM,114)</f>
        <v>34.53</v>
      </c>
      <c r="E175" s="50">
        <f>VLOOKUP($A175,'Data shares'!$C:$FM,106)</f>
        <v>47.56</v>
      </c>
      <c r="F175" s="50">
        <f>VLOOKUP($A175,'Data shares'!$C:$FM,108)</f>
        <v>-13.45</v>
      </c>
      <c r="G175" s="50">
        <f t="shared" si="5"/>
        <v>0.71719932716568535</v>
      </c>
    </row>
    <row r="176" spans="1:7" x14ac:dyDescent="0.25">
      <c r="A176" s="49" t="str">
        <f>'Data shares'!C171</f>
        <v>PRESTIGE</v>
      </c>
      <c r="B176" s="50">
        <f>VLOOKUP($A176,'Data shares'!$C:$FM,102)</f>
        <v>32.36</v>
      </c>
      <c r="C176" s="50">
        <f>VLOOKUP($A176,'Data shares'!$C:$FM,110)</f>
        <v>32.01</v>
      </c>
      <c r="D176" s="50">
        <f>VLOOKUP($A176,'Data shares'!$C:$FM,114)</f>
        <v>33.090000000000003</v>
      </c>
      <c r="E176" s="50">
        <f>VLOOKUP($A176,'Data shares'!$C:$FM,106)</f>
        <v>47.37</v>
      </c>
      <c r="F176" s="50">
        <f>VLOOKUP($A176,'Data shares'!$C:$FM,108)</f>
        <v>-15.01</v>
      </c>
      <c r="G176" s="50">
        <f t="shared" si="5"/>
        <v>0.68313278446274017</v>
      </c>
    </row>
    <row r="177" spans="1:7" x14ac:dyDescent="0.25">
      <c r="A177" s="49" t="str">
        <f>'Data shares'!C172</f>
        <v>RBLBANK</v>
      </c>
      <c r="B177" s="50">
        <f>VLOOKUP($A177,'Data shares'!$C:$FM,102)</f>
        <v>44.14</v>
      </c>
      <c r="C177" s="50">
        <f>VLOOKUP($A177,'Data shares'!$C:$FM,110)</f>
        <v>43.31</v>
      </c>
      <c r="D177" s="50">
        <f>VLOOKUP($A177,'Data shares'!$C:$FM,114)</f>
        <v>46.52</v>
      </c>
      <c r="E177" s="50">
        <f>VLOOKUP($A177,'Data shares'!$C:$FM,106)</f>
        <v>46.82</v>
      </c>
      <c r="F177" s="50">
        <f>VLOOKUP($A177,'Data shares'!$C:$FM,108)</f>
        <v>-2.68</v>
      </c>
      <c r="G177" s="50">
        <f t="shared" si="5"/>
        <v>0.94275950448526269</v>
      </c>
    </row>
    <row r="178" spans="1:7" x14ac:dyDescent="0.25">
      <c r="A178" s="49" t="str">
        <f>'Data shares'!C173</f>
        <v>RECLTD</v>
      </c>
      <c r="B178" s="50">
        <f>VLOOKUP($A178,'Data shares'!$C:$FM,102)</f>
        <v>28.29</v>
      </c>
      <c r="C178" s="50">
        <f>VLOOKUP($A178,'Data shares'!$C:$FM,110)</f>
        <v>27.55</v>
      </c>
      <c r="D178" s="50">
        <f>VLOOKUP($A178,'Data shares'!$C:$FM,114)</f>
        <v>29.47</v>
      </c>
      <c r="E178" s="50">
        <f>VLOOKUP($A178,'Data shares'!$C:$FM,106)</f>
        <v>45.76</v>
      </c>
      <c r="F178" s="50">
        <f>VLOOKUP($A178,'Data shares'!$C:$FM,108)</f>
        <v>-17.47</v>
      </c>
      <c r="G178" s="50">
        <f t="shared" si="5"/>
        <v>0.61822552447552448</v>
      </c>
    </row>
    <row r="179" spans="1:7" x14ac:dyDescent="0.25">
      <c r="A179" s="49" t="str">
        <f>'Data shares'!C174</f>
        <v>RELIANCE</v>
      </c>
      <c r="B179" s="50">
        <f>VLOOKUP($A179,'Data shares'!$C:$FM,102)</f>
        <v>18.920000000000002</v>
      </c>
      <c r="C179" s="50">
        <f>VLOOKUP($A179,'Data shares'!$C:$FM,110)</f>
        <v>18.760000000000002</v>
      </c>
      <c r="D179" s="50">
        <f>VLOOKUP($A179,'Data shares'!$C:$FM,114)</f>
        <v>19.239999999999998</v>
      </c>
      <c r="E179" s="50">
        <f>VLOOKUP($A179,'Data shares'!$C:$FM,106)</f>
        <v>24.53</v>
      </c>
      <c r="F179" s="50">
        <f>VLOOKUP($A179,'Data shares'!$C:$FM,108)</f>
        <v>-5.61</v>
      </c>
      <c r="G179" s="50">
        <f t="shared" si="5"/>
        <v>0.77130044843049328</v>
      </c>
    </row>
    <row r="180" spans="1:7" x14ac:dyDescent="0.25">
      <c r="A180" s="49" t="str">
        <f>'Data shares'!C175</f>
        <v>RVNL</v>
      </c>
      <c r="B180" s="50">
        <f>VLOOKUP($A180,'Data shares'!$C:$FM,102)</f>
        <v>37.24</v>
      </c>
      <c r="C180" s="50">
        <f>VLOOKUP($A180,'Data shares'!$C:$FM,110)</f>
        <v>37.659999999999997</v>
      </c>
      <c r="D180" s="50">
        <f>VLOOKUP($A180,'Data shares'!$C:$FM,114)</f>
        <v>35.159999999999997</v>
      </c>
      <c r="E180" s="50">
        <f>VLOOKUP($A180,'Data shares'!$C:$FM,106)</f>
        <v>58.3</v>
      </c>
      <c r="F180" s="50">
        <f>VLOOKUP($A180,'Data shares'!$C:$FM,108)</f>
        <v>-21.06</v>
      </c>
      <c r="G180" s="50">
        <f t="shared" si="5"/>
        <v>0.63876500857632945</v>
      </c>
    </row>
    <row r="181" spans="1:7" x14ac:dyDescent="0.25">
      <c r="A181" s="49" t="str">
        <f>'Data shares'!C176</f>
        <v>SAIL</v>
      </c>
      <c r="B181" s="50">
        <f>VLOOKUP($A181,'Data shares'!$C:$FM,102)</f>
        <v>34.21</v>
      </c>
      <c r="C181" s="50">
        <f>VLOOKUP($A181,'Data shares'!$C:$FM,110)</f>
        <v>34.25</v>
      </c>
      <c r="D181" s="50">
        <f>VLOOKUP($A181,'Data shares'!$C:$FM,114)</f>
        <v>34.130000000000003</v>
      </c>
      <c r="E181" s="50">
        <f>VLOOKUP($A181,'Data shares'!$C:$FM,106)</f>
        <v>45.55</v>
      </c>
      <c r="F181" s="50">
        <f>VLOOKUP($A181,'Data shares'!$C:$FM,108)</f>
        <v>-11.34</v>
      </c>
      <c r="G181" s="50">
        <f t="shared" si="5"/>
        <v>0.75104281009879259</v>
      </c>
    </row>
    <row r="182" spans="1:7" x14ac:dyDescent="0.25">
      <c r="A182" s="49" t="str">
        <f>'Data shares'!C177</f>
        <v>SAMMAANCAP</v>
      </c>
      <c r="B182" s="50">
        <f>VLOOKUP($A182,'Data shares'!$C:$FM,102)</f>
        <v>41.33</v>
      </c>
      <c r="C182" s="50">
        <f>VLOOKUP($A182,'Data shares'!$C:$FM,110)</f>
        <v>40.799999999999997</v>
      </c>
      <c r="D182" s="50">
        <f>VLOOKUP($A182,'Data shares'!$C:$FM,114)</f>
        <v>42.08</v>
      </c>
      <c r="E182" s="50">
        <f>VLOOKUP($A182,'Data shares'!$C:$FM,106)</f>
        <v>58.24</v>
      </c>
      <c r="F182" s="50">
        <f>VLOOKUP($A182,'Data shares'!$C:$FM,108)</f>
        <v>-16.91</v>
      </c>
      <c r="G182" s="50">
        <f t="shared" si="5"/>
        <v>0.70964972527472525</v>
      </c>
    </row>
    <row r="183" spans="1:7" x14ac:dyDescent="0.25">
      <c r="A183" s="49" t="str">
        <f>'Data shares'!C178</f>
        <v>SBICARD</v>
      </c>
      <c r="B183" s="50">
        <f>VLOOKUP($A183,'Data shares'!$C:$FM,102)</f>
        <v>27.74</v>
      </c>
      <c r="C183" s="50">
        <f>VLOOKUP($A183,'Data shares'!$C:$FM,110)</f>
        <v>27.67</v>
      </c>
      <c r="D183" s="50">
        <f>VLOOKUP($A183,'Data shares'!$C:$FM,114)</f>
        <v>27.92</v>
      </c>
      <c r="E183" s="50">
        <f>VLOOKUP($A183,'Data shares'!$C:$FM,106)</f>
        <v>30.69</v>
      </c>
      <c r="F183" s="50">
        <f>VLOOKUP($A183,'Data shares'!$C:$FM,108)</f>
        <v>-2.95</v>
      </c>
      <c r="G183" s="50">
        <f t="shared" si="5"/>
        <v>0.90387748452264571</v>
      </c>
    </row>
    <row r="184" spans="1:7" x14ac:dyDescent="0.25">
      <c r="A184" s="49" t="str">
        <f>'Data shares'!C179</f>
        <v>SBILIFE</v>
      </c>
      <c r="B184" s="50">
        <f>VLOOKUP($A184,'Data shares'!$C:$FM,102)</f>
        <v>21.4</v>
      </c>
      <c r="C184" s="50">
        <f>VLOOKUP($A184,'Data shares'!$C:$FM,110)</f>
        <v>21.36</v>
      </c>
      <c r="D184" s="50">
        <f>VLOOKUP($A184,'Data shares'!$C:$FM,114)</f>
        <v>21.49</v>
      </c>
      <c r="E184" s="50">
        <f>VLOOKUP($A184,'Data shares'!$C:$FM,106)</f>
        <v>25.92</v>
      </c>
      <c r="F184" s="50">
        <f>VLOOKUP($A184,'Data shares'!$C:$FM,108)</f>
        <v>-4.5199999999999996</v>
      </c>
      <c r="G184" s="50">
        <f t="shared" si="5"/>
        <v>0.82561728395061718</v>
      </c>
    </row>
    <row r="185" spans="1:7" x14ac:dyDescent="0.25">
      <c r="A185" s="49" t="str">
        <f>'Data shares'!C180</f>
        <v>SBIN</v>
      </c>
      <c r="B185" s="50">
        <f>VLOOKUP($A185,'Data shares'!$C:$FM,102)</f>
        <v>18.559999999999999</v>
      </c>
      <c r="C185" s="50">
        <f>VLOOKUP($A185,'Data shares'!$C:$FM,110)</f>
        <v>18.489999999999998</v>
      </c>
      <c r="D185" s="50">
        <f>VLOOKUP($A185,'Data shares'!$C:$FM,114)</f>
        <v>18.670000000000002</v>
      </c>
      <c r="E185" s="50">
        <f>VLOOKUP($A185,'Data shares'!$C:$FM,106)</f>
        <v>26.53</v>
      </c>
      <c r="F185" s="50">
        <f>VLOOKUP($A185,'Data shares'!$C:$FM,108)</f>
        <v>-7.97</v>
      </c>
      <c r="G185" s="50">
        <f t="shared" si="5"/>
        <v>0.69958537504711638</v>
      </c>
    </row>
    <row r="186" spans="1:7" x14ac:dyDescent="0.25">
      <c r="A186" s="49" t="str">
        <f>'Data shares'!C181</f>
        <v>SHREECEM</v>
      </c>
      <c r="B186" s="50">
        <f>VLOOKUP($A186,'Data shares'!$C:$FM,102)</f>
        <v>20.93</v>
      </c>
      <c r="C186" s="50">
        <f>VLOOKUP($A186,'Data shares'!$C:$FM,110)</f>
        <v>21.03</v>
      </c>
      <c r="D186" s="50">
        <f>VLOOKUP($A186,'Data shares'!$C:$FM,114)</f>
        <v>20.59</v>
      </c>
      <c r="E186" s="50">
        <f>VLOOKUP($A186,'Data shares'!$C:$FM,106)</f>
        <v>26.1</v>
      </c>
      <c r="F186" s="50">
        <f>VLOOKUP($A186,'Data shares'!$C:$FM,108)</f>
        <v>-5.17</v>
      </c>
      <c r="G186" s="50">
        <f t="shared" si="5"/>
        <v>0.80191570881226049</v>
      </c>
    </row>
    <row r="187" spans="1:7" x14ac:dyDescent="0.25">
      <c r="A187" s="49" t="str">
        <f>'Data shares'!C182</f>
        <v>SHRIRAMFIN</v>
      </c>
      <c r="B187" s="50">
        <f>VLOOKUP($A187,'Data shares'!$C:$FM,102)</f>
        <v>31.79</v>
      </c>
      <c r="C187" s="50">
        <f>VLOOKUP($A187,'Data shares'!$C:$FM,110)</f>
        <v>31.42</v>
      </c>
      <c r="D187" s="50">
        <f>VLOOKUP($A187,'Data shares'!$C:$FM,114)</f>
        <v>32.630000000000003</v>
      </c>
      <c r="E187" s="50">
        <f>VLOOKUP($A187,'Data shares'!$C:$FM,106)</f>
        <v>41.39</v>
      </c>
      <c r="F187" s="50">
        <f>VLOOKUP($A187,'Data shares'!$C:$FM,108)</f>
        <v>-9.6</v>
      </c>
      <c r="G187" s="50">
        <f t="shared" si="5"/>
        <v>0.76805991785455419</v>
      </c>
    </row>
    <row r="188" spans="1:7" x14ac:dyDescent="0.25">
      <c r="A188" s="49" t="str">
        <f>'Data shares'!C183</f>
        <v>SIEMENS</v>
      </c>
      <c r="B188" s="50">
        <f>VLOOKUP($A188,'Data shares'!$C:$FM,102)</f>
        <v>26.51</v>
      </c>
      <c r="C188" s="50">
        <f>VLOOKUP($A188,'Data shares'!$C:$FM,110)</f>
        <v>26.46</v>
      </c>
      <c r="D188" s="50">
        <f>VLOOKUP($A188,'Data shares'!$C:$FM,114)</f>
        <v>26.68</v>
      </c>
      <c r="E188" s="50">
        <f>VLOOKUP($A188,'Data shares'!$C:$FM,106)</f>
        <v>40.32</v>
      </c>
      <c r="F188" s="50">
        <f>VLOOKUP($A188,'Data shares'!$C:$FM,108)</f>
        <v>-13.81</v>
      </c>
      <c r="G188" s="50">
        <f t="shared" si="5"/>
        <v>0.65749007936507942</v>
      </c>
    </row>
    <row r="189" spans="1:7" x14ac:dyDescent="0.25">
      <c r="A189" s="49" t="str">
        <f>'Data shares'!C216</f>
        <v>ZYDUSLIFE</v>
      </c>
      <c r="B189" s="50">
        <f>VLOOKUP($A189,'Data shares'!$C:$FM,102)</f>
        <v>23.05</v>
      </c>
      <c r="C189" s="50">
        <f>VLOOKUP($A189,'Data shares'!$C:$FM,110)</f>
        <v>22.75</v>
      </c>
      <c r="D189" s="50">
        <f>VLOOKUP($A189,'Data shares'!$C:$FM,114)</f>
        <v>23.88</v>
      </c>
      <c r="E189" s="50">
        <f>VLOOKUP($A189,'Data shares'!$C:$FM,106)</f>
        <v>30.36</v>
      </c>
      <c r="F189" s="50">
        <f>VLOOKUP($A189,'Data shares'!$C:$FM,108)</f>
        <v>-7.31</v>
      </c>
      <c r="G189" s="50">
        <f t="shared" si="5"/>
        <v>0.75922266139657446</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5" activePane="bottomLeft" state="frozen"/>
      <selection pane="bottomLeft" activeCell="K9" sqref="K9"/>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684</v>
      </c>
      <c r="B5" s="49">
        <v>44660948</v>
      </c>
      <c r="C5" s="49">
        <v>3590000</v>
      </c>
      <c r="D5" s="49">
        <v>2301317.9052050002</v>
      </c>
      <c r="E5" s="50">
        <f>VLOOKUP($A5,'Data shares'!$C:$FA,154)*100</f>
        <v>8.3000000000000007</v>
      </c>
      <c r="F5" s="173">
        <f>C5/B5</f>
        <v>8.0383425806366676E-2</v>
      </c>
    </row>
    <row r="6" spans="1:6" x14ac:dyDescent="0.25">
      <c r="A6" s="99" t="s">
        <v>553</v>
      </c>
      <c r="B6" s="49">
        <v>7946564</v>
      </c>
      <c r="C6" s="49">
        <v>3748875</v>
      </c>
      <c r="D6" s="49">
        <v>2346562.53626</v>
      </c>
      <c r="E6" s="50">
        <f>VLOOKUP($A6,'Data shares'!$C:$FA,154)*100</f>
        <v>47.910000000000004</v>
      </c>
      <c r="F6" s="173">
        <f>C6/B6</f>
        <v>0.47176049925477226</v>
      </c>
    </row>
    <row r="7" spans="1:6" x14ac:dyDescent="0.25">
      <c r="A7" s="99" t="s">
        <v>544</v>
      </c>
      <c r="B7" s="49">
        <v>122316423</v>
      </c>
      <c r="C7" s="49">
        <v>93263500</v>
      </c>
      <c r="D7" s="49">
        <v>66088652.865457997</v>
      </c>
      <c r="E7" s="50">
        <f>VLOOKUP($A7,'Data shares'!$C:$FA,154)*100</f>
        <v>77.180000000000007</v>
      </c>
      <c r="F7" s="173">
        <f>C7/B7</f>
        <v>0.76247733307243626</v>
      </c>
    </row>
    <row r="8" spans="1:6" x14ac:dyDescent="0.25">
      <c r="A8" s="99" t="s">
        <v>580</v>
      </c>
      <c r="B8" s="49">
        <v>51907388</v>
      </c>
      <c r="C8" s="49">
        <v>23099175</v>
      </c>
      <c r="D8" s="49">
        <v>16561735.6838197</v>
      </c>
      <c r="E8" s="50">
        <f>VLOOKUP($A8,'Data shares'!$C:$FA,154)*100</f>
        <v>45.07</v>
      </c>
      <c r="F8" s="173">
        <f>C8/B8</f>
        <v>0.44500746213621845</v>
      </c>
    </row>
    <row r="9" spans="1:6" x14ac:dyDescent="0.25">
      <c r="A9" s="99" t="s">
        <v>159</v>
      </c>
      <c r="B9" s="49">
        <v>30040977</v>
      </c>
      <c r="C9" s="49">
        <v>23782800</v>
      </c>
      <c r="D9" s="49">
        <v>13027151.01657</v>
      </c>
      <c r="E9" s="50">
        <f>VLOOKUP($A9,'Data shares'!$C:$FA,154)*100</f>
        <v>81.03</v>
      </c>
      <c r="F9" s="173">
        <f>C9/B9</f>
        <v>0.79167864613724115</v>
      </c>
    </row>
    <row r="10" spans="1:6" x14ac:dyDescent="0.25">
      <c r="A10" s="99" t="s">
        <v>607</v>
      </c>
      <c r="B10" s="49">
        <v>61877951</v>
      </c>
      <c r="C10" s="49">
        <v>32608800</v>
      </c>
      <c r="D10" s="49">
        <v>17793621.460188001</v>
      </c>
      <c r="E10" s="50">
        <f>VLOOKUP($A10,'Data shares'!$C:$FA,154)*100</f>
        <v>53.879999999999995</v>
      </c>
      <c r="F10" s="173">
        <f>C10/B10</f>
        <v>0.52698577559557525</v>
      </c>
    </row>
    <row r="11" spans="1:6" x14ac:dyDescent="0.25">
      <c r="A11" s="99" t="s">
        <v>160</v>
      </c>
      <c r="B11" s="49">
        <v>73799006</v>
      </c>
      <c r="C11" s="49">
        <v>33049550</v>
      </c>
      <c r="D11" s="49">
        <v>21750864.774098501</v>
      </c>
      <c r="E11" s="50">
        <f>VLOOKUP($A11,'Data shares'!$C:$FA,154)*100</f>
        <v>45.69</v>
      </c>
      <c r="F11" s="173">
        <f>C11/B11</f>
        <v>0.44783191253280563</v>
      </c>
    </row>
    <row r="12" spans="1:6" x14ac:dyDescent="0.25">
      <c r="A12" s="99" t="s">
        <v>497</v>
      </c>
      <c r="B12" s="49">
        <v>6130387</v>
      </c>
      <c r="C12" s="49">
        <v>1731750</v>
      </c>
      <c r="D12" s="49">
        <v>1476671.5008362499</v>
      </c>
      <c r="E12" s="50">
        <f>VLOOKUP($A12,'Data shares'!$C:$FA,154)*100</f>
        <v>28.42</v>
      </c>
      <c r="F12" s="173">
        <f>C12/B12</f>
        <v>0.28248624434313852</v>
      </c>
    </row>
    <row r="13" spans="1:6" x14ac:dyDescent="0.25">
      <c r="A13" s="99" t="s">
        <v>683</v>
      </c>
      <c r="B13" s="49">
        <v>3067454</v>
      </c>
      <c r="C13" s="49">
        <v>978200</v>
      </c>
      <c r="D13" s="49">
        <v>456495.47605699999</v>
      </c>
      <c r="E13" s="50">
        <f>VLOOKUP($A13,'Data shares'!$C:$FA,154)*100</f>
        <v>33.17</v>
      </c>
      <c r="F13" s="173">
        <f>C13/B13</f>
        <v>0.31889638768829132</v>
      </c>
    </row>
    <row r="14" spans="1:6" x14ac:dyDescent="0.25">
      <c r="A14" s="99" t="s">
        <v>164</v>
      </c>
      <c r="B14" s="49">
        <v>119762774</v>
      </c>
      <c r="C14" s="49">
        <v>56852250</v>
      </c>
      <c r="D14" s="49">
        <v>36931783.142887503</v>
      </c>
      <c r="E14" s="50">
        <f>VLOOKUP($A14,'Data shares'!$C:$FA,154)*100</f>
        <v>48.309999999999995</v>
      </c>
      <c r="F14" s="173">
        <f>C14/B14</f>
        <v>0.4747071907335747</v>
      </c>
    </row>
    <row r="15" spans="1:6" x14ac:dyDescent="0.25">
      <c r="A15" s="99" t="s">
        <v>610</v>
      </c>
      <c r="B15" s="49">
        <v>9647634</v>
      </c>
      <c r="C15" s="49">
        <v>6436500</v>
      </c>
      <c r="D15" s="49">
        <v>3447235.732235</v>
      </c>
      <c r="E15" s="50">
        <f>VLOOKUP($A15,'Data shares'!$C:$FA,154)*100</f>
        <v>67.739999999999995</v>
      </c>
      <c r="F15" s="173">
        <f>C15/B15</f>
        <v>0.66715839344651751</v>
      </c>
    </row>
    <row r="16" spans="1:6" x14ac:dyDescent="0.25">
      <c r="A16" s="99" t="s">
        <v>599</v>
      </c>
      <c r="B16" s="49">
        <v>27232196</v>
      </c>
      <c r="C16" s="49">
        <v>11124400</v>
      </c>
      <c r="D16" s="49">
        <v>8918711.0084205009</v>
      </c>
      <c r="E16" s="50">
        <f>VLOOKUP($A16,'Data shares'!$C:$FA,154)*100</f>
        <v>41.04</v>
      </c>
      <c r="F16" s="173">
        <f>C16/B16</f>
        <v>0.40850176019590928</v>
      </c>
    </row>
    <row r="17" spans="1:6" x14ac:dyDescent="0.25">
      <c r="A17" s="99" t="s">
        <v>165</v>
      </c>
      <c r="B17" s="49">
        <v>15240043</v>
      </c>
      <c r="C17" s="49">
        <v>3783875</v>
      </c>
      <c r="D17" s="49">
        <v>2812750.53546625</v>
      </c>
      <c r="E17" s="50">
        <f>VLOOKUP($A17,'Data shares'!$C:$FA,154)*100</f>
        <v>25.040000000000003</v>
      </c>
      <c r="F17" s="173">
        <f>C17/B17</f>
        <v>0.24828506061301794</v>
      </c>
    </row>
    <row r="18" spans="1:6" x14ac:dyDescent="0.25">
      <c r="A18" s="99" t="s">
        <v>167</v>
      </c>
      <c r="B18" s="49">
        <v>409181558</v>
      </c>
      <c r="C18" s="49">
        <v>216470000</v>
      </c>
      <c r="D18" s="49">
        <v>119662705.45045</v>
      </c>
      <c r="E18" s="50">
        <f>VLOOKUP($A18,'Data shares'!$C:$FA,154)*100</f>
        <v>54.21</v>
      </c>
      <c r="F18" s="173">
        <f>C18/B18</f>
        <v>0.52903166276130165</v>
      </c>
    </row>
    <row r="19" spans="1:6" x14ac:dyDescent="0.25">
      <c r="A19" s="99" t="s">
        <v>169</v>
      </c>
      <c r="B19" s="49">
        <v>52357280</v>
      </c>
      <c r="C19" s="49">
        <v>21377750</v>
      </c>
      <c r="D19" s="49">
        <v>12815684.7083975</v>
      </c>
      <c r="E19" s="50">
        <f>VLOOKUP($A19,'Data shares'!$C:$FA,154)*100</f>
        <v>41.410000000000004</v>
      </c>
      <c r="F19" s="173">
        <f>C19/B19</f>
        <v>0.40830520607640425</v>
      </c>
    </row>
    <row r="20" spans="1:6" x14ac:dyDescent="0.25">
      <c r="A20" s="99" t="s">
        <v>503</v>
      </c>
      <c r="B20" s="49">
        <v>18495534</v>
      </c>
      <c r="C20" s="49">
        <v>11211925</v>
      </c>
      <c r="D20" s="49">
        <v>6947200.6041134996</v>
      </c>
      <c r="E20" s="50">
        <f>VLOOKUP($A20,'Data shares'!$C:$FA,154)*100</f>
        <v>60.929999999999993</v>
      </c>
      <c r="F20" s="173">
        <f>C20/B20</f>
        <v>0.6061963390729892</v>
      </c>
    </row>
    <row r="21" spans="1:6" x14ac:dyDescent="0.25">
      <c r="A21" s="99" t="s">
        <v>495</v>
      </c>
      <c r="B21" s="49">
        <v>86234186</v>
      </c>
      <c r="C21" s="49">
        <v>29864000</v>
      </c>
      <c r="D21" s="49">
        <v>22050606.434250001</v>
      </c>
      <c r="E21" s="50">
        <f>VLOOKUP($A21,'Data shares'!$C:$FA,154)*100</f>
        <v>35.28</v>
      </c>
      <c r="F21" s="173">
        <f>C21/B21</f>
        <v>0.34631277206002731</v>
      </c>
    </row>
    <row r="22" spans="1:6" x14ac:dyDescent="0.25">
      <c r="A22" s="99" t="s">
        <v>171</v>
      </c>
      <c r="B22" s="49">
        <v>41977935</v>
      </c>
      <c r="C22" s="49">
        <v>23948650</v>
      </c>
      <c r="D22" s="49">
        <v>18954663.181662999</v>
      </c>
      <c r="E22" s="50">
        <f>VLOOKUP($A22,'Data shares'!$C:$FA,154)*100</f>
        <v>57.320000000000007</v>
      </c>
      <c r="F22" s="173">
        <f>C22/B22</f>
        <v>0.57050567161057353</v>
      </c>
    </row>
    <row r="23" spans="1:6" x14ac:dyDescent="0.25">
      <c r="A23" s="99" t="s">
        <v>173</v>
      </c>
      <c r="B23" s="49">
        <v>316147681</v>
      </c>
      <c r="C23" s="49">
        <v>117737500</v>
      </c>
      <c r="D23" s="49">
        <v>87385337.455449998</v>
      </c>
      <c r="E23" s="50"/>
      <c r="F23" s="173">
        <f>C23/B23</f>
        <v>0.37241297999588996</v>
      </c>
    </row>
    <row r="24" spans="1:6" x14ac:dyDescent="0.25">
      <c r="A24" s="99" t="s">
        <v>174</v>
      </c>
      <c r="B24" s="49">
        <v>12547731</v>
      </c>
      <c r="C24" s="49">
        <v>5514975</v>
      </c>
      <c r="D24" s="49">
        <v>3014279.2668630001</v>
      </c>
      <c r="E24" s="50">
        <f>VLOOKUP($A24,'Data shares'!$C:$FA,154)*100</f>
        <v>45</v>
      </c>
      <c r="F24" s="173">
        <f>C24/B24</f>
        <v>0.43951970280523228</v>
      </c>
    </row>
    <row r="25" spans="1:6" x14ac:dyDescent="0.25">
      <c r="A25" s="99" t="s">
        <v>176</v>
      </c>
      <c r="B25" s="49">
        <v>65659712</v>
      </c>
      <c r="C25" s="49">
        <v>23156000</v>
      </c>
      <c r="D25" s="49">
        <v>17254853.66759</v>
      </c>
      <c r="E25" s="50">
        <f>VLOOKUP($A25,'Data shares'!$C:$FA,154)*100</f>
        <v>35.79</v>
      </c>
      <c r="F25" s="173">
        <f>C25/B25</f>
        <v>0.35266679208096435</v>
      </c>
    </row>
    <row r="26" spans="1:6" x14ac:dyDescent="0.25">
      <c r="A26" s="99" t="s">
        <v>177</v>
      </c>
      <c r="B26" s="49">
        <v>281116345</v>
      </c>
      <c r="C26" s="49">
        <v>117468000</v>
      </c>
      <c r="D26" s="49">
        <v>91567195.132837504</v>
      </c>
      <c r="E26" s="50">
        <f>VLOOKUP($A26,'Data shares'!$C:$FA,154)*100</f>
        <v>42.88</v>
      </c>
      <c r="F26" s="173">
        <f>C26/B26</f>
        <v>0.41786257572465235</v>
      </c>
    </row>
    <row r="27" spans="1:6" x14ac:dyDescent="0.25">
      <c r="A27" s="99" t="s">
        <v>179</v>
      </c>
      <c r="B27" s="49">
        <v>142752962</v>
      </c>
      <c r="C27" s="49">
        <v>139910400</v>
      </c>
      <c r="D27" s="49">
        <v>88322864.469551995</v>
      </c>
      <c r="E27" s="50">
        <f>VLOOKUP($A27,'Data shares'!$C:$FA,154)*100</f>
        <v>99.77000000000001</v>
      </c>
      <c r="F27" s="173">
        <f>C27/B27</f>
        <v>0.98008754452324431</v>
      </c>
    </row>
    <row r="28" spans="1:6" x14ac:dyDescent="0.25">
      <c r="A28" s="99" t="s">
        <v>180</v>
      </c>
      <c r="B28" s="49">
        <v>257509827</v>
      </c>
      <c r="C28" s="49">
        <v>190788975</v>
      </c>
      <c r="D28" s="49">
        <v>131815552.14474</v>
      </c>
      <c r="E28" s="50">
        <f>VLOOKUP($A28,'Data shares'!$C:$FA,154)*100</f>
        <v>75.14</v>
      </c>
      <c r="F28" s="173">
        <f>C28/B28</f>
        <v>0.74089978321487515</v>
      </c>
    </row>
    <row r="29" spans="1:6" x14ac:dyDescent="0.25">
      <c r="A29" s="99" t="s">
        <v>603</v>
      </c>
      <c r="B29" s="49">
        <v>181770921</v>
      </c>
      <c r="C29" s="49">
        <v>98332000</v>
      </c>
      <c r="D29" s="49">
        <v>66568948.823519997</v>
      </c>
      <c r="E29" s="50">
        <f>VLOOKUP($A29,'Data shares'!$C:$FA,154)*100</f>
        <v>55.120000000000005</v>
      </c>
      <c r="F29" s="173">
        <f>C29/B29</f>
        <v>0.54096661588681727</v>
      </c>
    </row>
    <row r="30" spans="1:6" x14ac:dyDescent="0.25">
      <c r="A30" s="99" t="s">
        <v>673</v>
      </c>
      <c r="B30" s="49">
        <v>13786716</v>
      </c>
      <c r="C30" s="49">
        <v>8414250</v>
      </c>
      <c r="D30" s="49">
        <v>4218425.2472992502</v>
      </c>
      <c r="E30" s="50">
        <f>VLOOKUP($A30,'Data shares'!$C:$FA,154)*100</f>
        <v>61.970000000000006</v>
      </c>
      <c r="F30" s="173">
        <f>C30/B30</f>
        <v>0.61031575612350319</v>
      </c>
    </row>
    <row r="31" spans="1:6" x14ac:dyDescent="0.25">
      <c r="A31" s="99" t="s">
        <v>185</v>
      </c>
      <c r="B31" s="49">
        <v>535778534</v>
      </c>
      <c r="C31" s="49">
        <v>187381800</v>
      </c>
      <c r="D31" s="49">
        <v>104718380.643273</v>
      </c>
      <c r="E31" s="50">
        <f>VLOOKUP($A31,'Data shares'!$C:$FA,154)*100</f>
        <v>35.730000000000004</v>
      </c>
      <c r="F31" s="173">
        <f>C31/B31</f>
        <v>0.34973741594507407</v>
      </c>
    </row>
    <row r="32" spans="1:6" x14ac:dyDescent="0.25">
      <c r="A32" s="99" t="s">
        <v>187</v>
      </c>
      <c r="B32" s="49">
        <v>35155737</v>
      </c>
      <c r="C32" s="49">
        <v>14282500</v>
      </c>
      <c r="D32" s="49">
        <v>9709111.6105450001</v>
      </c>
      <c r="E32" s="50">
        <f>VLOOKUP($A32,'Data shares'!$C:$FA,154)*100</f>
        <v>41.260000000000005</v>
      </c>
      <c r="F32" s="173">
        <f>C32/B32</f>
        <v>0.40626370597777539</v>
      </c>
    </row>
    <row r="33" spans="1:6" x14ac:dyDescent="0.25">
      <c r="A33" s="99" t="s">
        <v>189</v>
      </c>
      <c r="B33" s="49">
        <v>314058656</v>
      </c>
      <c r="C33" s="49">
        <v>61452650</v>
      </c>
      <c r="D33" s="49">
        <v>48484467.952302203</v>
      </c>
      <c r="E33" s="50">
        <f>VLOOKUP($A33,'Data shares'!$C:$FA,154)*100</f>
        <v>19.79</v>
      </c>
      <c r="F33" s="173">
        <f>C33/B33</f>
        <v>0.19567252430705173</v>
      </c>
    </row>
    <row r="34" spans="1:6" x14ac:dyDescent="0.25">
      <c r="A34" s="99" t="s">
        <v>190</v>
      </c>
      <c r="B34" s="49">
        <v>169029877</v>
      </c>
      <c r="C34" s="49">
        <v>89192250</v>
      </c>
      <c r="D34" s="49">
        <v>55254338.065605</v>
      </c>
      <c r="E34" s="50">
        <f>VLOOKUP($A34,'Data shares'!$C:$FA,154)*100</f>
        <v>53.890000000000008</v>
      </c>
      <c r="F34" s="173">
        <f>C34/B34</f>
        <v>0.52767150744598834</v>
      </c>
    </row>
    <row r="35" spans="1:6" x14ac:dyDescent="0.25">
      <c r="A35" s="99" t="s">
        <v>191</v>
      </c>
      <c r="B35" s="49">
        <v>90981174</v>
      </c>
      <c r="C35" s="49">
        <v>60135000</v>
      </c>
      <c r="D35" s="49">
        <v>32919883.445925001</v>
      </c>
      <c r="E35" s="50">
        <f>VLOOKUP($A35,'Data shares'!$C:$FA,154)*100</f>
        <v>67.03</v>
      </c>
      <c r="F35" s="173">
        <f>C35/B35</f>
        <v>0.66096091483717279</v>
      </c>
    </row>
    <row r="36" spans="1:6" x14ac:dyDescent="0.25">
      <c r="A36" s="99" t="s">
        <v>681</v>
      </c>
      <c r="B36" s="49">
        <v>19584741</v>
      </c>
      <c r="C36" s="49">
        <v>2280525</v>
      </c>
      <c r="D36" s="49">
        <v>1668027.9167175</v>
      </c>
      <c r="E36" s="50">
        <f>VLOOKUP($A36,'Data shares'!$C:$FA,154)*100</f>
        <v>11.92</v>
      </c>
      <c r="F36" s="173">
        <f>C36/B36</f>
        <v>0.11644397033384307</v>
      </c>
    </row>
    <row r="37" spans="1:6" x14ac:dyDescent="0.25">
      <c r="A37" s="99" t="s">
        <v>192</v>
      </c>
      <c r="B37" s="49">
        <v>982526</v>
      </c>
      <c r="C37" s="49">
        <v>312750</v>
      </c>
      <c r="D37" s="49">
        <v>233945.22440400001</v>
      </c>
      <c r="E37" s="50">
        <f>VLOOKUP($A37,'Data shares'!$C:$FA,154)*100</f>
        <v>31.96</v>
      </c>
      <c r="F37" s="173">
        <f>C37/B37</f>
        <v>0.31831218715840598</v>
      </c>
    </row>
    <row r="38" spans="1:6" x14ac:dyDescent="0.25">
      <c r="A38" s="99" t="s">
        <v>194</v>
      </c>
      <c r="B38" s="49">
        <v>281577339</v>
      </c>
      <c r="C38" s="49">
        <v>57381650</v>
      </c>
      <c r="D38" s="49">
        <v>36202012.983712196</v>
      </c>
      <c r="E38" s="50">
        <f>VLOOKUP($A38,'Data shares'!$C:$FA,154)*100</f>
        <v>20.65</v>
      </c>
      <c r="F38" s="173">
        <f>C38/B38</f>
        <v>0.20378646308607953</v>
      </c>
    </row>
    <row r="39" spans="1:6" x14ac:dyDescent="0.25">
      <c r="A39" s="99" t="s">
        <v>195</v>
      </c>
      <c r="B39" s="49">
        <v>13082978</v>
      </c>
      <c r="C39" s="49">
        <v>4691125</v>
      </c>
      <c r="D39" s="49">
        <v>3626414.20223625</v>
      </c>
      <c r="E39" s="50"/>
      <c r="F39" s="173">
        <f>C39/B39</f>
        <v>0.35856706324813814</v>
      </c>
    </row>
    <row r="40" spans="1:6" x14ac:dyDescent="0.25">
      <c r="A40" s="99" t="s">
        <v>585</v>
      </c>
      <c r="B40" s="49">
        <v>48385387</v>
      </c>
      <c r="C40" s="49">
        <v>26827125</v>
      </c>
      <c r="D40" s="49">
        <v>12970581.276614999</v>
      </c>
      <c r="E40" s="50">
        <f>VLOOKUP($A40,'Data shares'!$C:$FA,154)*100</f>
        <v>58.41</v>
      </c>
      <c r="F40" s="173">
        <f>C40/B40</f>
        <v>0.55444684156396229</v>
      </c>
    </row>
    <row r="41" spans="1:6" x14ac:dyDescent="0.25">
      <c r="A41" s="99" t="s">
        <v>612</v>
      </c>
      <c r="B41" s="49">
        <v>7421215</v>
      </c>
      <c r="C41" s="49">
        <v>2922750</v>
      </c>
      <c r="D41" s="49">
        <v>1879969.4212845</v>
      </c>
      <c r="E41" s="50">
        <f>VLOOKUP($A41,'Data shares'!$C:$FA,154)*100</f>
        <v>39.900000000000006</v>
      </c>
      <c r="F41" s="173">
        <f>C41/B41</f>
        <v>0.39383712774794966</v>
      </c>
    </row>
    <row r="42" spans="1:6" x14ac:dyDescent="0.25">
      <c r="A42" s="99" t="s">
        <v>196</v>
      </c>
      <c r="B42" s="49">
        <v>504315430</v>
      </c>
      <c r="C42" s="49">
        <v>405789750</v>
      </c>
      <c r="D42" s="49">
        <v>267276140.60969201</v>
      </c>
      <c r="E42" s="50">
        <f>VLOOKUP($A42,'Data shares'!$C:$FA,154)*100</f>
        <v>81.910000000000011</v>
      </c>
      <c r="F42" s="173">
        <f>C42/B42</f>
        <v>0.80463480960715394</v>
      </c>
    </row>
    <row r="43" spans="1:6" x14ac:dyDescent="0.25">
      <c r="A43" s="99" t="s">
        <v>598</v>
      </c>
      <c r="B43" s="49">
        <v>26647500</v>
      </c>
      <c r="C43" s="49">
        <v>16096325</v>
      </c>
      <c r="D43" s="49">
        <v>7759765.08534275</v>
      </c>
      <c r="E43" s="50">
        <f>VLOOKUP($A43,'Data shares'!$C:$FA,154)*100</f>
        <v>61.360000000000007</v>
      </c>
      <c r="F43" s="173">
        <f>C43/B43</f>
        <v>0.60404634581105165</v>
      </c>
    </row>
    <row r="44" spans="1:6" x14ac:dyDescent="0.25">
      <c r="A44" s="99" t="s">
        <v>613</v>
      </c>
      <c r="B44" s="49">
        <v>100245792</v>
      </c>
      <c r="C44" s="49">
        <v>24116200</v>
      </c>
      <c r="D44" s="49">
        <v>17044980.373210501</v>
      </c>
      <c r="E44" s="50">
        <f>VLOOKUP($A44,'Data shares'!$C:$FA,154)*100</f>
        <v>24.25</v>
      </c>
      <c r="F44" s="173">
        <f>C44/B44</f>
        <v>0.24057069647372331</v>
      </c>
    </row>
    <row r="45" spans="1:6" x14ac:dyDescent="0.25">
      <c r="A45" s="99" t="s">
        <v>198</v>
      </c>
      <c r="B45" s="49">
        <v>63212268</v>
      </c>
      <c r="C45" s="49">
        <v>17911250</v>
      </c>
      <c r="D45" s="49">
        <v>13605310.7427062</v>
      </c>
      <c r="E45" s="50">
        <f>VLOOKUP($A45,'Data shares'!$C:$FA,154)*100</f>
        <v>28.71</v>
      </c>
      <c r="F45" s="173">
        <f>C45/B45</f>
        <v>0.28335085208459854</v>
      </c>
    </row>
    <row r="46" spans="1:6" x14ac:dyDescent="0.25">
      <c r="A46" s="99" t="s">
        <v>199</v>
      </c>
      <c r="B46" s="49">
        <v>57073940</v>
      </c>
      <c r="C46" s="49">
        <v>15072750</v>
      </c>
      <c r="D46" s="49">
        <v>10742529.8287537</v>
      </c>
      <c r="E46" s="50"/>
      <c r="F46" s="173">
        <f>C46/B46</f>
        <v>0.26409163271363428</v>
      </c>
    </row>
    <row r="47" spans="1:6" x14ac:dyDescent="0.25">
      <c r="A47" s="99" t="s">
        <v>200</v>
      </c>
      <c r="B47" s="49">
        <v>227199238</v>
      </c>
      <c r="C47" s="49">
        <v>111132000</v>
      </c>
      <c r="D47" s="49">
        <v>69536319.872188494</v>
      </c>
      <c r="E47" s="50">
        <f>VLOOKUP($A47,'Data shares'!$C:$FA,154)*100</f>
        <v>49.480000000000004</v>
      </c>
      <c r="F47" s="173">
        <f>C47/B47</f>
        <v>0.48913896445374522</v>
      </c>
    </row>
    <row r="48" spans="1:6" x14ac:dyDescent="0.25">
      <c r="A48" s="99" t="s">
        <v>470</v>
      </c>
      <c r="B48" s="49">
        <v>50163899</v>
      </c>
      <c r="C48" s="49">
        <v>18940500</v>
      </c>
      <c r="D48" s="49">
        <v>12872350.565298701</v>
      </c>
      <c r="E48" s="50">
        <f>VLOOKUP($A48,'Data shares'!$C:$FA,154)*100</f>
        <v>39.22</v>
      </c>
      <c r="F48" s="173">
        <f>C48/B48</f>
        <v>0.37757232546856057</v>
      </c>
    </row>
    <row r="49" spans="1:6" x14ac:dyDescent="0.25">
      <c r="A49" s="99" t="s">
        <v>201</v>
      </c>
      <c r="B49" s="49">
        <v>19990944</v>
      </c>
      <c r="C49" s="49">
        <v>7789275</v>
      </c>
      <c r="D49" s="49">
        <v>4917852.470466</v>
      </c>
      <c r="E49" s="50">
        <f>VLOOKUP($A49,'Data shares'!$C:$FA,154)*100</f>
        <v>39.47</v>
      </c>
      <c r="F49" s="173">
        <f>C49/B49</f>
        <v>0.38964017907308429</v>
      </c>
    </row>
    <row r="50" spans="1:6" x14ac:dyDescent="0.25">
      <c r="A50" s="99" t="s">
        <v>202</v>
      </c>
      <c r="B50" s="49">
        <v>48077012</v>
      </c>
      <c r="C50" s="49">
        <v>38426250</v>
      </c>
      <c r="D50" s="49">
        <v>22691257.975850001</v>
      </c>
      <c r="E50" s="50">
        <f>VLOOKUP($A50,'Data shares'!$C:$FA,154)*100</f>
        <v>81.92</v>
      </c>
      <c r="F50" s="173">
        <f>C50/B50</f>
        <v>0.79926452168034068</v>
      </c>
    </row>
    <row r="51" spans="1:6" x14ac:dyDescent="0.25">
      <c r="A51" s="99" t="s">
        <v>523</v>
      </c>
      <c r="B51" s="49">
        <v>81400589</v>
      </c>
      <c r="C51" s="49">
        <v>69012000</v>
      </c>
      <c r="D51" s="49">
        <v>45756761.050835997</v>
      </c>
      <c r="E51" s="50">
        <f>VLOOKUP($A51,'Data shares'!$C:$FA,154)*100</f>
        <v>85.64</v>
      </c>
      <c r="F51" s="173">
        <f>C51/B51</f>
        <v>0.84780713318917145</v>
      </c>
    </row>
    <row r="52" spans="1:6" x14ac:dyDescent="0.25">
      <c r="A52" s="99" t="s">
        <v>203</v>
      </c>
      <c r="B52" s="49">
        <v>20374200</v>
      </c>
      <c r="C52" s="49">
        <v>3979800</v>
      </c>
      <c r="D52" s="49">
        <v>2958359.2581739998</v>
      </c>
      <c r="E52" s="50">
        <f>VLOOKUP($A52,'Data shares'!$C:$FA,154)*100</f>
        <v>19.86</v>
      </c>
      <c r="F52" s="173">
        <f>C52/B52</f>
        <v>0.19533527696793002</v>
      </c>
    </row>
    <row r="53" spans="1:6" x14ac:dyDescent="0.25">
      <c r="A53" s="99" t="s">
        <v>573</v>
      </c>
      <c r="B53" s="49">
        <v>12039544</v>
      </c>
      <c r="C53" s="49">
        <v>5731975</v>
      </c>
      <c r="D53" s="49">
        <v>3130830.1275512502</v>
      </c>
      <c r="E53" s="50">
        <f>VLOOKUP($A53,'Data shares'!$C:$FA,154)*100</f>
        <v>48.089999999999996</v>
      </c>
      <c r="F53" s="173">
        <f>C53/B53</f>
        <v>0.47609568933840019</v>
      </c>
    </row>
    <row r="54" spans="1:6" x14ac:dyDescent="0.25">
      <c r="A54" s="99" t="s">
        <v>204</v>
      </c>
      <c r="B54" s="49">
        <v>89873278</v>
      </c>
      <c r="C54" s="49">
        <v>43936250</v>
      </c>
      <c r="D54" s="49">
        <v>26305385.358437501</v>
      </c>
      <c r="E54" s="50">
        <f>VLOOKUP($A54,'Data shares'!$C:$FA,154)*100</f>
        <v>50.06</v>
      </c>
      <c r="F54" s="173">
        <f>C54/B54</f>
        <v>0.48886889382180987</v>
      </c>
    </row>
    <row r="55" spans="1:6" x14ac:dyDescent="0.25">
      <c r="A55" s="99" t="s">
        <v>524</v>
      </c>
      <c r="B55" s="49">
        <v>12425041</v>
      </c>
      <c r="C55" s="49">
        <v>2834650</v>
      </c>
      <c r="D55" s="49">
        <v>2331584.9645334999</v>
      </c>
      <c r="E55" s="50">
        <f>VLOOKUP($A55,'Data shares'!$C:$FA,154)*100</f>
        <v>22.89</v>
      </c>
      <c r="F55" s="173">
        <f>C55/B55</f>
        <v>0.22814009225402154</v>
      </c>
    </row>
    <row r="56" spans="1:6" x14ac:dyDescent="0.25">
      <c r="A56" s="99" t="s">
        <v>601</v>
      </c>
      <c r="B56" s="49">
        <v>94196226</v>
      </c>
      <c r="C56" s="49">
        <v>28479375</v>
      </c>
      <c r="D56" s="49">
        <v>16562356.5937135</v>
      </c>
      <c r="E56" s="50">
        <f>VLOOKUP($A56,'Data shares'!$C:$FA,154)*100</f>
        <v>31.11</v>
      </c>
      <c r="F56" s="173">
        <f>C56/B56</f>
        <v>0.30234093455081734</v>
      </c>
    </row>
    <row r="57" spans="1:6" x14ac:dyDescent="0.25">
      <c r="A57" s="99" t="s">
        <v>205</v>
      </c>
      <c r="B57" s="49">
        <v>16353614</v>
      </c>
      <c r="C57" s="49">
        <v>3877300</v>
      </c>
      <c r="D57" s="49">
        <v>2667056.8569209999</v>
      </c>
      <c r="E57" s="50">
        <f>VLOOKUP($A57,'Data shares'!$C:$FA,154)*100</f>
        <v>24.03</v>
      </c>
      <c r="F57" s="173">
        <f>C57/B57</f>
        <v>0.23709132427853563</v>
      </c>
    </row>
    <row r="58" spans="1:6" x14ac:dyDescent="0.25">
      <c r="A58" s="99" t="s">
        <v>512</v>
      </c>
      <c r="B58" s="49">
        <v>6445442</v>
      </c>
      <c r="C58" s="49">
        <v>3058950</v>
      </c>
      <c r="D58" s="49">
        <v>1506540.731316</v>
      </c>
      <c r="E58" s="50">
        <f>VLOOKUP($A58,'Data shares'!$C:$FA,154)*100</f>
        <v>49.39</v>
      </c>
      <c r="F58" s="173">
        <f>C58/B58</f>
        <v>0.47459119172897685</v>
      </c>
    </row>
    <row r="59" spans="1:6" x14ac:dyDescent="0.25">
      <c r="A59" s="99" t="s">
        <v>207</v>
      </c>
      <c r="B59" s="49">
        <v>83667734</v>
      </c>
      <c r="C59" s="49">
        <v>67232550</v>
      </c>
      <c r="D59" s="49">
        <v>40667818.017783001</v>
      </c>
      <c r="E59" s="50">
        <f>VLOOKUP($A59,'Data shares'!$C:$FA,154)*100</f>
        <v>82.28</v>
      </c>
      <c r="F59" s="173">
        <f>C59/B59</f>
        <v>0.80356604375110718</v>
      </c>
    </row>
    <row r="60" spans="1:6" x14ac:dyDescent="0.25">
      <c r="A60" s="99" t="s">
        <v>584</v>
      </c>
      <c r="B60" s="49">
        <v>22136392</v>
      </c>
      <c r="C60" s="49">
        <v>8454600</v>
      </c>
      <c r="D60" s="49">
        <v>5133358.6903889999</v>
      </c>
      <c r="E60" s="50">
        <f>VLOOKUP($A60,'Data shares'!$C:$FA,154)*100</f>
        <v>39.190000000000005</v>
      </c>
      <c r="F60" s="173">
        <f>C60/B60</f>
        <v>0.38193215949554921</v>
      </c>
    </row>
    <row r="61" spans="1:6" x14ac:dyDescent="0.25">
      <c r="A61" s="99" t="s">
        <v>208</v>
      </c>
      <c r="B61" s="49">
        <v>61006521</v>
      </c>
      <c r="C61" s="49">
        <v>18279375</v>
      </c>
      <c r="D61" s="49">
        <v>10979905.465712501</v>
      </c>
      <c r="E61" s="50">
        <f>VLOOKUP($A61,'Data shares'!$C:$FA,154)*100</f>
        <v>30.520000000000003</v>
      </c>
      <c r="F61" s="173">
        <f>C61/B61</f>
        <v>0.29962985432327799</v>
      </c>
    </row>
    <row r="62" spans="1:6" x14ac:dyDescent="0.25">
      <c r="A62" s="99" t="s">
        <v>209</v>
      </c>
      <c r="B62" s="49">
        <v>20353850</v>
      </c>
      <c r="C62" s="49">
        <v>6546925</v>
      </c>
      <c r="D62" s="49">
        <v>3795845.1804805002</v>
      </c>
      <c r="E62" s="50">
        <f>VLOOKUP($A62,'Data shares'!$C:$FA,154)*100</f>
        <v>33.35</v>
      </c>
      <c r="F62" s="173">
        <f>C62/B62</f>
        <v>0.32165536249898669</v>
      </c>
    </row>
    <row r="63" spans="1:6" x14ac:dyDescent="0.25">
      <c r="A63" s="99" t="s">
        <v>669</v>
      </c>
      <c r="B63" s="49">
        <v>1361988292</v>
      </c>
      <c r="C63" s="49">
        <v>334021925</v>
      </c>
      <c r="D63" s="49">
        <v>244421942.08935601</v>
      </c>
      <c r="E63" s="50">
        <f>VLOOKUP($A63,'Data shares'!$C:$FA,154)*100</f>
        <v>24.8</v>
      </c>
      <c r="F63" s="173">
        <f>C63/B63</f>
        <v>0.24524581228925865</v>
      </c>
    </row>
    <row r="64" spans="1:6" x14ac:dyDescent="0.25">
      <c r="A64" s="99" t="s">
        <v>211</v>
      </c>
      <c r="B64" s="49">
        <v>68856800</v>
      </c>
      <c r="C64" s="49">
        <v>45316800</v>
      </c>
      <c r="D64" s="49">
        <v>25285343.987303998</v>
      </c>
      <c r="E64" s="50">
        <f>VLOOKUP($A64,'Data shares'!$C:$FA,154)*100</f>
        <v>66.7</v>
      </c>
      <c r="F64" s="173">
        <f>C64/B64</f>
        <v>0.65813107783109293</v>
      </c>
    </row>
    <row r="65" spans="1:6" x14ac:dyDescent="0.25">
      <c r="A65" s="99" t="s">
        <v>212</v>
      </c>
      <c r="B65" s="49">
        <v>338654719</v>
      </c>
      <c r="C65" s="49">
        <v>161495000</v>
      </c>
      <c r="D65" s="49">
        <v>89823247.718050003</v>
      </c>
      <c r="E65" s="50">
        <f>VLOOKUP($A65,'Data shares'!$C:$FA,154)*100</f>
        <v>48.449999999999996</v>
      </c>
      <c r="F65" s="173">
        <f>C65/B65</f>
        <v>0.47687213831501341</v>
      </c>
    </row>
    <row r="66" spans="1:6" x14ac:dyDescent="0.25">
      <c r="A66" s="99" t="s">
        <v>679</v>
      </c>
      <c r="B66" s="49">
        <v>62490435</v>
      </c>
      <c r="C66" s="49">
        <v>15430250</v>
      </c>
      <c r="D66" s="49">
        <v>8976284.2237162497</v>
      </c>
      <c r="E66" s="50">
        <f>VLOOKUP($A66,'Data shares'!$C:$FA,154)*100</f>
        <v>25.45</v>
      </c>
      <c r="F66" s="173">
        <f>C66/B66</f>
        <v>0.24692178891057487</v>
      </c>
    </row>
    <row r="67" spans="1:6" x14ac:dyDescent="0.25">
      <c r="A67" s="99" t="s">
        <v>213</v>
      </c>
      <c r="B67" s="49">
        <v>402429848</v>
      </c>
      <c r="C67" s="49">
        <v>159802650</v>
      </c>
      <c r="D67" s="49">
        <v>98851848.484630495</v>
      </c>
      <c r="E67" s="50">
        <f>VLOOKUP($A67,'Data shares'!$C:$FA,154)*100</f>
        <v>40.21</v>
      </c>
      <c r="F67" s="173">
        <f>C67/B67</f>
        <v>0.39709442725033656</v>
      </c>
    </row>
    <row r="68" spans="1:6" x14ac:dyDescent="0.25">
      <c r="A68" s="99" t="s">
        <v>214</v>
      </c>
      <c r="B68" s="49">
        <v>22585180</v>
      </c>
      <c r="C68" s="49">
        <v>9586125</v>
      </c>
      <c r="D68" s="49">
        <v>7016088.5518312501</v>
      </c>
      <c r="E68" s="50">
        <f>VLOOKUP($A68,'Data shares'!$C:$FA,154)*100</f>
        <v>42.699999999999996</v>
      </c>
      <c r="F68" s="173">
        <f>C68/B68</f>
        <v>0.42444315254516457</v>
      </c>
    </row>
    <row r="69" spans="1:6" x14ac:dyDescent="0.25">
      <c r="A69" s="99" t="s">
        <v>632</v>
      </c>
      <c r="B69" s="49">
        <v>534704421</v>
      </c>
      <c r="C69" s="49">
        <v>300378375</v>
      </c>
      <c r="D69" s="49">
        <v>184875681.232095</v>
      </c>
      <c r="E69" s="50">
        <f>VLOOKUP($A69,'Data shares'!$C:$FA,154)*100</f>
        <v>56.66</v>
      </c>
      <c r="F69" s="173">
        <f>C69/B69</f>
        <v>0.56176527293010725</v>
      </c>
    </row>
    <row r="70" spans="1:6" x14ac:dyDescent="0.25">
      <c r="A70" s="99" t="s">
        <v>217</v>
      </c>
      <c r="B70" s="49">
        <v>58001204</v>
      </c>
      <c r="C70" s="49">
        <v>15378500</v>
      </c>
      <c r="D70" s="49">
        <v>10655179.114645001</v>
      </c>
      <c r="E70" s="50">
        <f>VLOOKUP($A70,'Data shares'!$C:$FA,154)*100</f>
        <v>26.83</v>
      </c>
      <c r="F70" s="173">
        <f>C70/B70</f>
        <v>0.26514104776169817</v>
      </c>
    </row>
    <row r="71" spans="1:6" x14ac:dyDescent="0.25">
      <c r="A71" s="99" t="s">
        <v>218</v>
      </c>
      <c r="B71" s="49">
        <v>24082879</v>
      </c>
      <c r="C71" s="49">
        <v>13804175</v>
      </c>
      <c r="D71" s="49">
        <v>9548477.7327692509</v>
      </c>
      <c r="E71" s="50">
        <f>VLOOKUP($A71,'Data shares'!$C:$FA,154)*100</f>
        <v>57.68</v>
      </c>
      <c r="F71" s="173">
        <f>C71/B71</f>
        <v>0.57319455036916478</v>
      </c>
    </row>
    <row r="72" spans="1:6" x14ac:dyDescent="0.25">
      <c r="A72" s="99" t="s">
        <v>219</v>
      </c>
      <c r="B72" s="49">
        <v>38514157</v>
      </c>
      <c r="C72" s="49">
        <v>16346500</v>
      </c>
      <c r="D72" s="49">
        <v>11582671.547315</v>
      </c>
      <c r="E72" s="50">
        <f>VLOOKUP($A72,'Data shares'!$C:$FA,154)*100</f>
        <v>42.72</v>
      </c>
      <c r="F72" s="173">
        <f>C72/B72</f>
        <v>0.42442834721788147</v>
      </c>
    </row>
    <row r="73" spans="1:6" x14ac:dyDescent="0.25">
      <c r="A73" s="99" t="s">
        <v>513</v>
      </c>
      <c r="B73" s="49">
        <v>28450886</v>
      </c>
      <c r="C73" s="49">
        <v>14373300</v>
      </c>
      <c r="D73" s="49">
        <v>8184651.6723990003</v>
      </c>
      <c r="E73" s="50">
        <f>VLOOKUP($A73,'Data shares'!$C:$FA,154)*100</f>
        <v>51.62</v>
      </c>
      <c r="F73" s="173">
        <f>C73/B73</f>
        <v>0.5051969207567033</v>
      </c>
    </row>
    <row r="74" spans="1:6" x14ac:dyDescent="0.25">
      <c r="A74" s="99" t="s">
        <v>220</v>
      </c>
      <c r="B74" s="49">
        <v>38133766</v>
      </c>
      <c r="C74" s="49">
        <v>14195000</v>
      </c>
      <c r="D74" s="49">
        <v>10088788.139450001</v>
      </c>
      <c r="E74" s="50">
        <f>VLOOKUP($A74,'Data shares'!$C:$FA,154)*100</f>
        <v>38.06</v>
      </c>
      <c r="F74" s="173">
        <f>C74/B74</f>
        <v>0.37224227997832682</v>
      </c>
    </row>
    <row r="75" spans="1:6" x14ac:dyDescent="0.25">
      <c r="A75" s="99" t="s">
        <v>222</v>
      </c>
      <c r="B75" s="49">
        <v>145993539</v>
      </c>
      <c r="C75" s="49">
        <v>29386000</v>
      </c>
      <c r="D75" s="49">
        <v>20190348.549654499</v>
      </c>
      <c r="E75" s="50">
        <f>VLOOKUP($A75,'Data shares'!$C:$FA,154)*100</f>
        <v>20.52</v>
      </c>
      <c r="F75" s="173">
        <f>C75/B75</f>
        <v>0.20128288005950729</v>
      </c>
    </row>
    <row r="76" spans="1:6" x14ac:dyDescent="0.25">
      <c r="A76" s="99" t="s">
        <v>475</v>
      </c>
      <c r="B76" s="49">
        <v>15259458</v>
      </c>
      <c r="C76" s="49">
        <v>2971050</v>
      </c>
      <c r="D76" s="49">
        <v>2022052.125738</v>
      </c>
      <c r="E76" s="50">
        <f>VLOOKUP($A76,'Data shares'!$C:$FA,154)*100</f>
        <v>19.79</v>
      </c>
      <c r="F76" s="173">
        <f>C76/B76</f>
        <v>0.19470219715536424</v>
      </c>
    </row>
    <row r="77" spans="1:6" x14ac:dyDescent="0.25">
      <c r="A77" s="99" t="s">
        <v>224</v>
      </c>
      <c r="B77" s="49">
        <v>1329733550</v>
      </c>
      <c r="C77" s="49">
        <v>264536800</v>
      </c>
      <c r="D77" s="49">
        <v>212743535.37553599</v>
      </c>
      <c r="E77" s="50"/>
      <c r="F77" s="173">
        <f>C77/B77</f>
        <v>0.1989397048754617</v>
      </c>
    </row>
    <row r="78" spans="1:6" x14ac:dyDescent="0.25">
      <c r="A78" s="99" t="s">
        <v>225</v>
      </c>
      <c r="B78" s="49">
        <v>119296253</v>
      </c>
      <c r="C78" s="49">
        <v>37838900</v>
      </c>
      <c r="D78" s="49">
        <v>27705902.750394002</v>
      </c>
      <c r="E78" s="50">
        <f>VLOOKUP($A78,'Data shares'!$C:$FA,154)*100</f>
        <v>32.49</v>
      </c>
      <c r="F78" s="173">
        <f>C78/B78</f>
        <v>0.31718431257015256</v>
      </c>
    </row>
    <row r="79" spans="1:6" x14ac:dyDescent="0.25">
      <c r="A79" s="99" t="s">
        <v>226</v>
      </c>
      <c r="B79" s="49">
        <v>19579129</v>
      </c>
      <c r="C79" s="49">
        <v>8249550</v>
      </c>
      <c r="D79" s="49">
        <v>4751831.0214360002</v>
      </c>
      <c r="E79" s="50">
        <f>VLOOKUP($A79,'Data shares'!$C:$FA,154)*100</f>
        <v>44.24</v>
      </c>
      <c r="F79" s="173">
        <f>C79/B79</f>
        <v>0.42134407511181932</v>
      </c>
    </row>
    <row r="80" spans="1:6" x14ac:dyDescent="0.25">
      <c r="A80" s="99" t="s">
        <v>577</v>
      </c>
      <c r="B80" s="49">
        <v>147979599</v>
      </c>
      <c r="C80" s="49">
        <v>167990250</v>
      </c>
      <c r="D80" s="49">
        <v>97019347.873096496</v>
      </c>
      <c r="E80" s="50">
        <f>VLOOKUP($A80,'Data shares'!$C:$FA,154)*100</f>
        <v>115.46000000000001</v>
      </c>
      <c r="F80" s="173">
        <f>C80/B80</f>
        <v>1.1352257414888656</v>
      </c>
    </row>
    <row r="81" spans="1:6" x14ac:dyDescent="0.25">
      <c r="A81" s="99" t="s">
        <v>228</v>
      </c>
      <c r="B81" s="49">
        <v>176136372</v>
      </c>
      <c r="C81" s="49">
        <v>84940800</v>
      </c>
      <c r="D81" s="49">
        <v>61408284.822640002</v>
      </c>
      <c r="E81" s="50">
        <f>VLOOKUP($A81,'Data shares'!$C:$FA,154)*100</f>
        <v>49.1</v>
      </c>
      <c r="F81" s="173">
        <f>C81/B81</f>
        <v>0.48224451903664733</v>
      </c>
    </row>
    <row r="82" spans="1:6" x14ac:dyDescent="0.25">
      <c r="A82" s="99" t="s">
        <v>229</v>
      </c>
      <c r="B82" s="49">
        <v>143933168</v>
      </c>
      <c r="C82" s="49">
        <v>75538575</v>
      </c>
      <c r="D82" s="49">
        <v>49801547.796007499</v>
      </c>
      <c r="E82" s="50">
        <f>VLOOKUP($A82,'Data shares'!$C:$FA,154)*100</f>
        <v>53.190000000000005</v>
      </c>
      <c r="F82" s="173">
        <f>C82/B82</f>
        <v>0.52481701090606159</v>
      </c>
    </row>
    <row r="83" spans="1:6" x14ac:dyDescent="0.25">
      <c r="A83" s="99" t="s">
        <v>230</v>
      </c>
      <c r="B83" s="49">
        <v>89517840</v>
      </c>
      <c r="C83" s="49">
        <v>20379900</v>
      </c>
      <c r="D83" s="49">
        <v>14871162.105741</v>
      </c>
      <c r="E83" s="50">
        <f>VLOOKUP($A83,'Data shares'!$C:$FA,154)*100</f>
        <v>22.96</v>
      </c>
      <c r="F83" s="173">
        <f>C83/B83</f>
        <v>0.22766299991152603</v>
      </c>
    </row>
    <row r="84" spans="1:6" x14ac:dyDescent="0.25">
      <c r="A84" s="99" t="s">
        <v>670</v>
      </c>
      <c r="B84" s="49">
        <v>167680340</v>
      </c>
      <c r="C84" s="49">
        <v>55806100</v>
      </c>
      <c r="D84" s="49">
        <v>30054983.192655701</v>
      </c>
      <c r="E84" s="50">
        <f>VLOOKUP($A84,'Data shares'!$C:$FA,154)*100</f>
        <v>34.1</v>
      </c>
      <c r="F84" s="173">
        <f>C84/B84</f>
        <v>0.3328124215396987</v>
      </c>
    </row>
    <row r="85" spans="1:6" x14ac:dyDescent="0.25">
      <c r="A85" s="99" t="s">
        <v>609</v>
      </c>
      <c r="B85" s="49">
        <v>75071250</v>
      </c>
      <c r="C85" s="49">
        <v>47294325</v>
      </c>
      <c r="D85" s="49">
        <v>24784767.401244</v>
      </c>
      <c r="E85" s="50">
        <f>VLOOKUP($A85,'Data shares'!$C:$FA,154)*100</f>
        <v>63.88</v>
      </c>
      <c r="F85" s="173">
        <f>C85/B85</f>
        <v>0.62999250711823762</v>
      </c>
    </row>
    <row r="86" spans="1:6" x14ac:dyDescent="0.25">
      <c r="A86" s="99" t="s">
        <v>232</v>
      </c>
      <c r="B86" s="49">
        <v>579785172</v>
      </c>
      <c r="C86" s="49">
        <v>156296000</v>
      </c>
      <c r="D86" s="49">
        <v>118974462.087607</v>
      </c>
      <c r="E86" s="50">
        <f>VLOOKUP($A86,'Data shares'!$C:$FA,154)*100</f>
        <v>27.48</v>
      </c>
      <c r="F86" s="173">
        <f>C86/B86</f>
        <v>0.26957571105319678</v>
      </c>
    </row>
    <row r="87" spans="1:6" x14ac:dyDescent="0.25">
      <c r="A87" s="99" t="s">
        <v>472</v>
      </c>
      <c r="B87" s="49">
        <v>26688038</v>
      </c>
      <c r="C87" s="49">
        <v>6424925</v>
      </c>
      <c r="D87" s="49">
        <v>4933973.5056039998</v>
      </c>
      <c r="E87" s="50">
        <f>VLOOKUP($A87,'Data shares'!$C:$FA,154)*100</f>
        <v>24.22</v>
      </c>
      <c r="F87" s="173">
        <f>C87/B87</f>
        <v>0.24074175104217102</v>
      </c>
    </row>
    <row r="88" spans="1:6" x14ac:dyDescent="0.25">
      <c r="A88" s="99" t="s">
        <v>233</v>
      </c>
      <c r="B88" s="49">
        <v>48653643</v>
      </c>
      <c r="C88" s="49">
        <v>15662100</v>
      </c>
      <c r="D88" s="49">
        <v>11026650.063387699</v>
      </c>
      <c r="E88" s="50">
        <f>VLOOKUP($A88,'Data shares'!$C:$FA,154)*100</f>
        <v>32.43</v>
      </c>
      <c r="F88" s="173">
        <f>C88/B88</f>
        <v>0.32191011883734993</v>
      </c>
    </row>
    <row r="89" spans="1:6" x14ac:dyDescent="0.25">
      <c r="A89" s="99" t="s">
        <v>234</v>
      </c>
      <c r="B89" s="49">
        <v>8713529091</v>
      </c>
      <c r="C89" s="49">
        <v>9147013125</v>
      </c>
      <c r="D89" s="49">
        <v>5345292827.3178196</v>
      </c>
      <c r="E89" s="50">
        <f>VLOOKUP($A89,'Data shares'!$C:$FA,154)*100</f>
        <v>106.11</v>
      </c>
      <c r="F89" s="173">
        <f>C89/B89</f>
        <v>1.0497483889102677</v>
      </c>
    </row>
    <row r="90" spans="1:6" x14ac:dyDescent="0.25">
      <c r="A90" s="99" t="s">
        <v>235</v>
      </c>
      <c r="B90" s="49">
        <v>761294821</v>
      </c>
      <c r="C90" s="49">
        <v>598413725</v>
      </c>
      <c r="D90" s="49">
        <v>379307142.300569</v>
      </c>
      <c r="E90" s="50">
        <f>VLOOKUP($A90,'Data shares'!$C:$FA,154)*100</f>
        <v>79.36999999999999</v>
      </c>
      <c r="F90" s="173">
        <f>C90/B90</f>
        <v>0.78604728220001907</v>
      </c>
    </row>
    <row r="91" spans="1:6" x14ac:dyDescent="0.25">
      <c r="A91" s="99" t="s">
        <v>514</v>
      </c>
      <c r="B91" s="49">
        <v>133395043</v>
      </c>
      <c r="C91" s="49">
        <v>92557500</v>
      </c>
      <c r="D91" s="49">
        <v>50483558.667712502</v>
      </c>
      <c r="E91" s="50">
        <f>VLOOKUP($A91,'Data shares'!$C:$FA,154)*100</f>
        <v>70.09</v>
      </c>
      <c r="F91" s="173">
        <f>C91/B91</f>
        <v>0.69386011592649666</v>
      </c>
    </row>
    <row r="92" spans="1:6" x14ac:dyDescent="0.25">
      <c r="A92" s="99" t="s">
        <v>236</v>
      </c>
      <c r="B92" s="49">
        <v>94000476</v>
      </c>
      <c r="C92" s="49">
        <v>27260750</v>
      </c>
      <c r="D92" s="49">
        <v>14226301.139215</v>
      </c>
      <c r="E92" s="50">
        <f>VLOOKUP($A92,'Data shares'!$C:$FA,154)*100</f>
        <v>29.57</v>
      </c>
      <c r="F92" s="173">
        <f>C92/B92</f>
        <v>0.2900065101797995</v>
      </c>
    </row>
    <row r="93" spans="1:6" x14ac:dyDescent="0.25">
      <c r="A93" s="99" t="s">
        <v>668</v>
      </c>
      <c r="B93" s="49">
        <v>47888370</v>
      </c>
      <c r="C93" s="49">
        <v>20860950</v>
      </c>
      <c r="D93" s="49">
        <v>14299868.0115225</v>
      </c>
      <c r="E93" s="50">
        <f>VLOOKUP($A93,'Data shares'!$C:$FA,154)*100</f>
        <v>44.34</v>
      </c>
      <c r="F93" s="173">
        <f>C93/B93</f>
        <v>0.43561620493660569</v>
      </c>
    </row>
    <row r="94" spans="1:6" x14ac:dyDescent="0.25">
      <c r="A94" s="99" t="s">
        <v>501</v>
      </c>
      <c r="B94" s="49">
        <v>111956321</v>
      </c>
      <c r="C94" s="49">
        <v>44050000</v>
      </c>
      <c r="D94" s="49">
        <v>26453285.041779999</v>
      </c>
      <c r="E94" s="50">
        <f>VLOOKUP($A94,'Data shares'!$C:$FA,154)*100</f>
        <v>40.39</v>
      </c>
      <c r="F94" s="173">
        <f>C94/B94</f>
        <v>0.39345701615186157</v>
      </c>
    </row>
    <row r="95" spans="1:6" x14ac:dyDescent="0.25">
      <c r="A95" s="99" t="s">
        <v>579</v>
      </c>
      <c r="B95" s="49">
        <v>52862157</v>
      </c>
      <c r="C95" s="49">
        <v>12190000</v>
      </c>
      <c r="D95" s="49">
        <v>7497003.2653299998</v>
      </c>
      <c r="E95" s="50">
        <f>VLOOKUP($A95,'Data shares'!$C:$FA,154)*100</f>
        <v>24.07</v>
      </c>
      <c r="F95" s="173">
        <f>C95/B95</f>
        <v>0.23059974643108111</v>
      </c>
    </row>
    <row r="96" spans="1:6" x14ac:dyDescent="0.25">
      <c r="A96" s="99" t="s">
        <v>238</v>
      </c>
      <c r="B96" s="49">
        <v>32732860</v>
      </c>
      <c r="C96" s="49">
        <v>11026050</v>
      </c>
      <c r="D96" s="49">
        <v>7909153.1126429997</v>
      </c>
      <c r="E96" s="50">
        <f>VLOOKUP($A96,'Data shares'!$C:$FA,154)*100</f>
        <v>34</v>
      </c>
      <c r="F96" s="173">
        <f>C96/B96</f>
        <v>0.33684957562522799</v>
      </c>
    </row>
    <row r="97" spans="1:6" x14ac:dyDescent="0.25">
      <c r="A97" s="99" t="s">
        <v>239</v>
      </c>
      <c r="B97" s="49">
        <v>93805784</v>
      </c>
      <c r="C97" s="49">
        <v>74408600</v>
      </c>
      <c r="D97" s="49">
        <v>52288649.311765999</v>
      </c>
      <c r="E97" s="50">
        <f>VLOOKUP($A97,'Data shares'!$C:$FA,154)*100</f>
        <v>80.300000000000011</v>
      </c>
      <c r="F97" s="173">
        <f>C97/B97</f>
        <v>0.79321974431768516</v>
      </c>
    </row>
    <row r="98" spans="1:6" x14ac:dyDescent="0.25">
      <c r="A98" s="99" t="s">
        <v>473</v>
      </c>
      <c r="B98" s="49">
        <v>197705578</v>
      </c>
      <c r="C98" s="49">
        <v>113804800</v>
      </c>
      <c r="D98" s="49">
        <v>78801053.171504006</v>
      </c>
      <c r="E98" s="50">
        <f>VLOOKUP($A98,'Data shares'!$C:$FA,154)*100</f>
        <v>58.120000000000005</v>
      </c>
      <c r="F98" s="173">
        <f>C98/B98</f>
        <v>0.57562766387906361</v>
      </c>
    </row>
    <row r="99" spans="1:6" x14ac:dyDescent="0.25">
      <c r="A99" s="99" t="s">
        <v>240</v>
      </c>
      <c r="B99" s="49">
        <v>341789333</v>
      </c>
      <c r="C99" s="49">
        <v>91442000</v>
      </c>
      <c r="D99" s="49">
        <v>58157008.276759997</v>
      </c>
      <c r="E99" s="50">
        <f>VLOOKUP($A99,'Data shares'!$C:$FA,154)*100</f>
        <v>27.339999999999996</v>
      </c>
      <c r="F99" s="173">
        <f>C99/B99</f>
        <v>0.26753906916106129</v>
      </c>
    </row>
    <row r="100" spans="1:6" x14ac:dyDescent="0.25">
      <c r="A100" s="99" t="s">
        <v>671</v>
      </c>
      <c r="B100" s="49">
        <v>144708707</v>
      </c>
      <c r="C100" s="49">
        <v>68891960</v>
      </c>
      <c r="D100" s="49">
        <v>42126455.037864096</v>
      </c>
      <c r="E100" s="50">
        <f>VLOOKUP($A100,'Data shares'!$C:$FA,154)*100</f>
        <v>48.32</v>
      </c>
      <c r="F100" s="173">
        <f>C100/B100</f>
        <v>0.47607335749327095</v>
      </c>
    </row>
    <row r="101" spans="1:6" x14ac:dyDescent="0.25">
      <c r="A101" s="99" t="s">
        <v>241</v>
      </c>
      <c r="B101" s="49">
        <v>684903861</v>
      </c>
      <c r="C101" s="49">
        <v>142866750</v>
      </c>
      <c r="D101" s="49">
        <v>88958743.702432498</v>
      </c>
      <c r="E101" s="50">
        <f>VLOOKUP($A101,'Data shares'!$C:$FA,154)*100</f>
        <v>21.12</v>
      </c>
      <c r="F101" s="173">
        <f>C101/B101</f>
        <v>0.20859387446203928</v>
      </c>
    </row>
    <row r="102" spans="1:6" x14ac:dyDescent="0.25">
      <c r="A102" s="99" t="s">
        <v>490</v>
      </c>
      <c r="B102" s="49">
        <v>30082783</v>
      </c>
      <c r="C102" s="49">
        <v>24685500</v>
      </c>
      <c r="D102" s="49">
        <v>14012588.9889387</v>
      </c>
      <c r="E102" s="50">
        <f>VLOOKUP($A102,'Data shares'!$C:$FA,154)*100</f>
        <v>83.04</v>
      </c>
      <c r="F102" s="173">
        <f>C102/B102</f>
        <v>0.82058564860837513</v>
      </c>
    </row>
    <row r="103" spans="1:6" x14ac:dyDescent="0.25">
      <c r="A103" s="99" t="s">
        <v>666</v>
      </c>
      <c r="B103" s="49">
        <v>119011160</v>
      </c>
      <c r="C103" s="49">
        <v>79425900</v>
      </c>
      <c r="D103" s="49">
        <v>37964670.846170999</v>
      </c>
      <c r="E103" s="50">
        <f>VLOOKUP($A103,'Data shares'!$C:$FA,154)*100</f>
        <v>69.239999999999995</v>
      </c>
      <c r="F103" s="173">
        <f>C103/B103</f>
        <v>0.66738194972639542</v>
      </c>
    </row>
    <row r="104" spans="1:6" x14ac:dyDescent="0.25">
      <c r="A104" s="99" t="s">
        <v>593</v>
      </c>
      <c r="B104" s="49">
        <v>226853356</v>
      </c>
      <c r="C104" s="49">
        <v>67077750</v>
      </c>
      <c r="D104" s="49">
        <v>35609494.551785</v>
      </c>
      <c r="E104" s="50">
        <f>VLOOKUP($A104,'Data shares'!$C:$FA,154)*100</f>
        <v>29.92</v>
      </c>
      <c r="F104" s="173">
        <f>C104/B104</f>
        <v>0.2956877129029557</v>
      </c>
    </row>
    <row r="105" spans="1:6" x14ac:dyDescent="0.25">
      <c r="A105" s="99" t="s">
        <v>242</v>
      </c>
      <c r="B105" s="49">
        <v>1251412841</v>
      </c>
      <c r="C105" s="49">
        <v>180496000</v>
      </c>
      <c r="D105" s="49">
        <v>114354018.493744</v>
      </c>
      <c r="E105" s="50">
        <f>VLOOKUP($A105,'Data shares'!$C:$FA,154)*100</f>
        <v>14.680000000000001</v>
      </c>
      <c r="F105" s="173">
        <f>C105/B105</f>
        <v>0.14423377648559704</v>
      </c>
    </row>
    <row r="106" spans="1:6" x14ac:dyDescent="0.25">
      <c r="A106" s="99" t="s">
        <v>243</v>
      </c>
      <c r="B106" s="49">
        <v>54776702</v>
      </c>
      <c r="C106" s="49">
        <v>18943125</v>
      </c>
      <c r="D106" s="49">
        <v>12643610.266175</v>
      </c>
      <c r="E106" s="50">
        <f>VLOOKUP($A106,'Data shares'!$C:$FA,154)*100</f>
        <v>35.42</v>
      </c>
      <c r="F106" s="173">
        <f>C106/B106</f>
        <v>0.34582448939697025</v>
      </c>
    </row>
    <row r="107" spans="1:6" x14ac:dyDescent="0.25">
      <c r="A107" s="99" t="s">
        <v>571</v>
      </c>
      <c r="B107" s="49">
        <v>446457456</v>
      </c>
      <c r="C107" s="49">
        <v>217997750</v>
      </c>
      <c r="D107" s="49">
        <v>128239968.64950199</v>
      </c>
      <c r="E107" s="50">
        <f>VLOOKUP($A107,'Data shares'!$C:$FA,154)*100</f>
        <v>49.519999999999996</v>
      </c>
      <c r="F107" s="173">
        <f>C107/B107</f>
        <v>0.48828336736300354</v>
      </c>
    </row>
    <row r="108" spans="1:6" x14ac:dyDescent="0.25">
      <c r="A108" s="99" t="s">
        <v>581</v>
      </c>
      <c r="B108" s="49">
        <v>80203755</v>
      </c>
      <c r="C108" s="49">
        <v>46852000</v>
      </c>
      <c r="D108" s="49">
        <v>36066160.269709997</v>
      </c>
      <c r="E108" s="50">
        <f>VLOOKUP($A108,'Data shares'!$C:$FA,154)*100</f>
        <v>58.63</v>
      </c>
      <c r="F108" s="173">
        <f>C108/B108</f>
        <v>0.58416217544926663</v>
      </c>
    </row>
    <row r="109" spans="1:6" x14ac:dyDescent="0.25">
      <c r="A109" s="99" t="s">
        <v>244</v>
      </c>
      <c r="B109" s="49">
        <v>133166619</v>
      </c>
      <c r="C109" s="49">
        <v>52627050</v>
      </c>
      <c r="D109" s="49">
        <v>41560322.156014502</v>
      </c>
      <c r="E109" s="50">
        <f>VLOOKUP($A109,'Data shares'!$C:$FA,154)*100</f>
        <v>39.76</v>
      </c>
      <c r="F109" s="173">
        <f>C109/B109</f>
        <v>0.39519701254861778</v>
      </c>
    </row>
    <row r="110" spans="1:6" x14ac:dyDescent="0.25">
      <c r="A110" s="99" t="s">
        <v>245</v>
      </c>
      <c r="B110" s="49">
        <v>48884739</v>
      </c>
      <c r="C110" s="49">
        <v>28147500</v>
      </c>
      <c r="D110" s="49">
        <v>20558620.977587499</v>
      </c>
      <c r="E110" s="50">
        <f>VLOOKUP($A110,'Data shares'!$C:$FA,154)*100</f>
        <v>58.24</v>
      </c>
      <c r="F110" s="173">
        <f>C110/B110</f>
        <v>0.57579319386363093</v>
      </c>
    </row>
    <row r="111" spans="1:6" x14ac:dyDescent="0.25">
      <c r="A111" s="99" t="s">
        <v>583</v>
      </c>
      <c r="B111" s="49">
        <v>57552009</v>
      </c>
      <c r="C111" s="49">
        <v>49111475</v>
      </c>
      <c r="D111" s="49">
        <v>26534178.171378199</v>
      </c>
      <c r="E111" s="50">
        <f>VLOOKUP($A111,'Data shares'!$C:$FA,154)*100</f>
        <v>86.74</v>
      </c>
      <c r="F111" s="173">
        <f>C111/B111</f>
        <v>0.85334075826962008</v>
      </c>
    </row>
    <row r="112" spans="1:6" x14ac:dyDescent="0.25">
      <c r="A112" s="99" t="s">
        <v>678</v>
      </c>
      <c r="B112" s="49">
        <v>4667784</v>
      </c>
      <c r="C112" s="49">
        <v>2027100</v>
      </c>
      <c r="D112" s="49">
        <v>1112580.5643859999</v>
      </c>
      <c r="E112" s="50">
        <f>VLOOKUP($A112,'Data shares'!$C:$FA,154)*100</f>
        <v>44.13</v>
      </c>
      <c r="F112" s="173">
        <f>C112/B112</f>
        <v>0.4342745936829982</v>
      </c>
    </row>
    <row r="113" spans="1:6" x14ac:dyDescent="0.25">
      <c r="A113" s="99" t="s">
        <v>611</v>
      </c>
      <c r="B113" s="49">
        <v>9313740</v>
      </c>
      <c r="C113" s="49">
        <v>2006375</v>
      </c>
      <c r="D113" s="49">
        <v>1450703.5131697501</v>
      </c>
      <c r="E113" s="50">
        <f>VLOOKUP($A113,'Data shares'!$C:$FA,154)*100</f>
        <v>21.86</v>
      </c>
      <c r="F113" s="173">
        <f>C113/B113</f>
        <v>0.21542098018626243</v>
      </c>
    </row>
    <row r="114" spans="1:6" x14ac:dyDescent="0.25">
      <c r="A114" s="99" t="s">
        <v>685</v>
      </c>
      <c r="B114" s="49">
        <v>19911179</v>
      </c>
      <c r="C114" s="49">
        <v>3750750</v>
      </c>
      <c r="D114" s="49">
        <v>2247593.6836035</v>
      </c>
      <c r="E114" s="50">
        <f>VLOOKUP($A114,'Data shares'!$C:$FA,154)*100</f>
        <v>18.990000000000002</v>
      </c>
      <c r="F114" s="173">
        <f>C114/B114</f>
        <v>0.1883740787022205</v>
      </c>
    </row>
    <row r="115" spans="1:6" x14ac:dyDescent="0.25">
      <c r="A115" s="99" t="s">
        <v>246</v>
      </c>
      <c r="B115" s="49">
        <v>215751979</v>
      </c>
      <c r="C115" s="49">
        <v>51560400</v>
      </c>
      <c r="D115" s="49">
        <v>36180404.002619997</v>
      </c>
      <c r="E115" s="50">
        <f>VLOOKUP($A115,'Data shares'!$C:$FA,154)*100</f>
        <v>24.44</v>
      </c>
      <c r="F115" s="173">
        <f>C115/B115</f>
        <v>0.23897996319190193</v>
      </c>
    </row>
    <row r="116" spans="1:6" x14ac:dyDescent="0.25">
      <c r="A116" s="99" t="s">
        <v>578</v>
      </c>
      <c r="B116" s="49">
        <v>24568295</v>
      </c>
      <c r="C116" s="49">
        <v>8978000</v>
      </c>
      <c r="D116" s="49">
        <v>4058052.3402439998</v>
      </c>
      <c r="E116" s="50">
        <f>VLOOKUP($A116,'Data shares'!$C:$FA,154)*100</f>
        <v>37.090000000000003</v>
      </c>
      <c r="F116" s="173">
        <f>C116/B116</f>
        <v>0.36543032391950681</v>
      </c>
    </row>
    <row r="117" spans="1:6" x14ac:dyDescent="0.25">
      <c r="A117" s="99" t="s">
        <v>535</v>
      </c>
      <c r="B117" s="49">
        <v>58629477</v>
      </c>
      <c r="C117" s="49">
        <v>33830000</v>
      </c>
      <c r="D117" s="49">
        <v>14967204.023479</v>
      </c>
      <c r="E117" s="50">
        <f>VLOOKUP($A117,'Data shares'!$C:$FA,154)*100</f>
        <v>58.720000000000006</v>
      </c>
      <c r="F117" s="173">
        <f>C117/B117</f>
        <v>0.57701350465739276</v>
      </c>
    </row>
    <row r="118" spans="1:6" x14ac:dyDescent="0.25">
      <c r="A118" s="99" t="s">
        <v>248</v>
      </c>
      <c r="B118" s="49">
        <v>45183075</v>
      </c>
      <c r="C118" s="49">
        <v>41263000</v>
      </c>
      <c r="D118" s="49">
        <v>27026877.0559</v>
      </c>
      <c r="E118" s="50">
        <f>VLOOKUP($A118,'Data shares'!$C:$FA,154)*100</f>
        <v>92.88</v>
      </c>
      <c r="F118" s="173">
        <f>C118/B118</f>
        <v>0.91324019004903934</v>
      </c>
    </row>
    <row r="119" spans="1:6" x14ac:dyDescent="0.25">
      <c r="A119" s="99" t="s">
        <v>608</v>
      </c>
      <c r="B119" s="49">
        <v>32057152</v>
      </c>
      <c r="C119" s="49">
        <v>12184900</v>
      </c>
      <c r="D119" s="49">
        <v>6667751.2158949999</v>
      </c>
      <c r="E119" s="50">
        <f>VLOOKUP($A119,'Data shares'!$C:$FA,154)*100</f>
        <v>38.74</v>
      </c>
      <c r="F119" s="173">
        <f>C119/B119</f>
        <v>0.38009926770787372</v>
      </c>
    </row>
    <row r="120" spans="1:6" x14ac:dyDescent="0.25">
      <c r="A120" s="99" t="s">
        <v>589</v>
      </c>
      <c r="B120" s="49">
        <v>42060143</v>
      </c>
      <c r="C120" s="49">
        <v>14714550</v>
      </c>
      <c r="D120" s="49">
        <v>10290069.359104499</v>
      </c>
      <c r="E120" s="50">
        <f>VLOOKUP($A120,'Data shares'!$C:$FA,154)*100</f>
        <v>35.370000000000005</v>
      </c>
      <c r="F120" s="173">
        <f>C120/B120</f>
        <v>0.3498454582049329</v>
      </c>
    </row>
    <row r="121" spans="1:6" x14ac:dyDescent="0.25">
      <c r="A121" s="99" t="s">
        <v>249</v>
      </c>
      <c r="B121" s="49">
        <v>136007303</v>
      </c>
      <c r="C121" s="49">
        <v>24166800</v>
      </c>
      <c r="D121" s="49">
        <v>17036263.119428001</v>
      </c>
      <c r="E121" s="50">
        <f>VLOOKUP($A121,'Data shares'!$C:$FA,154)*100</f>
        <v>18.04</v>
      </c>
      <c r="F121" s="173">
        <f>C121/B121</f>
        <v>0.17768751726515744</v>
      </c>
    </row>
    <row r="122" spans="1:6" x14ac:dyDescent="0.25">
      <c r="A122" s="99" t="s">
        <v>565</v>
      </c>
      <c r="B122" s="49">
        <v>126777205</v>
      </c>
      <c r="C122" s="49">
        <v>89231076</v>
      </c>
      <c r="D122" s="49">
        <v>47307744.852778599</v>
      </c>
      <c r="E122" s="50">
        <f>VLOOKUP($A122,'Data shares'!$C:$FA,154)*100</f>
        <v>73.929999999999993</v>
      </c>
      <c r="F122" s="173">
        <f>C122/B122</f>
        <v>0.70384164093221646</v>
      </c>
    </row>
    <row r="123" spans="1:6" x14ac:dyDescent="0.25">
      <c r="A123" s="99" t="s">
        <v>561</v>
      </c>
      <c r="B123" s="49">
        <v>9315942</v>
      </c>
      <c r="C123" s="49">
        <v>3560700</v>
      </c>
      <c r="D123" s="49">
        <v>2337702.2165025002</v>
      </c>
      <c r="E123" s="50">
        <f>VLOOKUP($A123,'Data shares'!$C:$FA,154)*100</f>
        <v>38.89</v>
      </c>
      <c r="F123" s="173">
        <f>C123/B123</f>
        <v>0.38221577592475348</v>
      </c>
    </row>
    <row r="124" spans="1:6" x14ac:dyDescent="0.25">
      <c r="A124" s="99" t="s">
        <v>250</v>
      </c>
      <c r="B124" s="49">
        <v>35341043</v>
      </c>
      <c r="C124" s="49">
        <v>14985925</v>
      </c>
      <c r="D124" s="49">
        <v>10762127.2712707</v>
      </c>
      <c r="E124" s="50">
        <f>VLOOKUP($A124,'Data shares'!$C:$FA,154)*100</f>
        <v>42.74</v>
      </c>
      <c r="F124" s="173">
        <f>C124/B124</f>
        <v>0.42403742866332494</v>
      </c>
    </row>
    <row r="125" spans="1:6" x14ac:dyDescent="0.25">
      <c r="A125" s="99" t="s">
        <v>251</v>
      </c>
      <c r="B125" s="49">
        <v>100261459</v>
      </c>
      <c r="C125" s="49">
        <v>26843800</v>
      </c>
      <c r="D125" s="49">
        <v>20054714.814088002</v>
      </c>
      <c r="E125" s="50">
        <f>VLOOKUP($A125,'Data shares'!$C:$FA,154)*100</f>
        <v>27.139999999999997</v>
      </c>
      <c r="F125" s="173">
        <f>C125/B125</f>
        <v>0.26773797496802837</v>
      </c>
    </row>
    <row r="126" spans="1:6" x14ac:dyDescent="0.25">
      <c r="A126" s="99" t="s">
        <v>253</v>
      </c>
      <c r="B126" s="49">
        <v>82205057</v>
      </c>
      <c r="C126" s="49">
        <v>40200000</v>
      </c>
      <c r="D126" s="49">
        <v>24182696.608860001</v>
      </c>
      <c r="E126" s="50">
        <f>VLOOKUP($A126,'Data shares'!$C:$FA,154)*100</f>
        <v>49.730000000000004</v>
      </c>
      <c r="F126" s="173">
        <f>C126/B126</f>
        <v>0.48902100998482367</v>
      </c>
    </row>
    <row r="127" spans="1:6" x14ac:dyDescent="0.25">
      <c r="A127" s="99" t="s">
        <v>674</v>
      </c>
      <c r="B127" s="49">
        <v>16915220</v>
      </c>
      <c r="C127" s="49">
        <v>2467125</v>
      </c>
      <c r="D127" s="49">
        <v>1687572.451233</v>
      </c>
      <c r="E127" s="50">
        <f>VLOOKUP($A127,'Data shares'!$C:$FA,154)*100</f>
        <v>14.71</v>
      </c>
      <c r="F127" s="173">
        <f>C127/B127</f>
        <v>0.1458523743705373</v>
      </c>
    </row>
    <row r="128" spans="1:6" x14ac:dyDescent="0.25">
      <c r="A128" s="99" t="s">
        <v>254</v>
      </c>
      <c r="B128" s="49">
        <v>79408529</v>
      </c>
      <c r="C128" s="49">
        <v>33385200</v>
      </c>
      <c r="D128" s="49">
        <v>28501880.653283998</v>
      </c>
      <c r="E128" s="50">
        <f>VLOOKUP($A128,'Data shares'!$C:$FA,154)*100</f>
        <v>42.41</v>
      </c>
      <c r="F128" s="173">
        <f>C128/B128</f>
        <v>0.42042335276101134</v>
      </c>
    </row>
    <row r="129" spans="1:6" x14ac:dyDescent="0.25">
      <c r="A129" s="99" t="s">
        <v>255</v>
      </c>
      <c r="B129" s="49">
        <v>16752897</v>
      </c>
      <c r="C129" s="49">
        <v>6328750</v>
      </c>
      <c r="D129" s="49">
        <v>3175262.5105025</v>
      </c>
      <c r="E129" s="50">
        <f>VLOOKUP($A129,'Data shares'!$C:$FA,154)*100</f>
        <v>39.090000000000003</v>
      </c>
      <c r="F129" s="173">
        <f>C129/B129</f>
        <v>0.37777048351697023</v>
      </c>
    </row>
    <row r="130" spans="1:6" x14ac:dyDescent="0.25">
      <c r="A130" s="99" t="s">
        <v>604</v>
      </c>
      <c r="B130" s="49">
        <v>97211768</v>
      </c>
      <c r="C130" s="49">
        <v>24071250</v>
      </c>
      <c r="D130" s="49">
        <v>18056152.063073199</v>
      </c>
      <c r="E130" s="50">
        <f>VLOOKUP($A130,'Data shares'!$C:$FA,154)*100</f>
        <v>25.2</v>
      </c>
      <c r="F130" s="173">
        <f>C130/B130</f>
        <v>0.24761662600355133</v>
      </c>
    </row>
    <row r="131" spans="1:6" x14ac:dyDescent="0.25">
      <c r="A131" s="99" t="s">
        <v>675</v>
      </c>
      <c r="B131" s="49">
        <v>11364224</v>
      </c>
      <c r="C131" s="49">
        <v>6415850</v>
      </c>
      <c r="D131" s="49">
        <v>3500842.4287655</v>
      </c>
      <c r="E131" s="50">
        <f>VLOOKUP($A131,'Data shares'!$C:$FA,154)*100</f>
        <v>58.39</v>
      </c>
      <c r="F131" s="173">
        <f>C131/B131</f>
        <v>0.5645656051834248</v>
      </c>
    </row>
    <row r="132" spans="1:6" x14ac:dyDescent="0.25">
      <c r="A132" s="99" t="s">
        <v>517</v>
      </c>
      <c r="B132" s="49">
        <v>7635422</v>
      </c>
      <c r="C132" s="49">
        <v>4571125</v>
      </c>
      <c r="D132" s="49">
        <v>2335406.9300250001</v>
      </c>
      <c r="E132" s="50">
        <f>VLOOKUP($A132,'Data shares'!$C:$FA,154)*100</f>
        <v>61.49</v>
      </c>
      <c r="F132" s="173">
        <f>C132/B132</f>
        <v>0.59867352452817935</v>
      </c>
    </row>
    <row r="133" spans="1:6" x14ac:dyDescent="0.25">
      <c r="A133" s="99" t="s">
        <v>257</v>
      </c>
      <c r="B133" s="49">
        <v>34712157</v>
      </c>
      <c r="C133" s="49">
        <v>7213600</v>
      </c>
      <c r="D133" s="49">
        <v>5893997.9143920001</v>
      </c>
      <c r="E133" s="50"/>
      <c r="F133" s="173">
        <f>C133/B133</f>
        <v>0.20781192018692471</v>
      </c>
    </row>
    <row r="134" spans="1:6" x14ac:dyDescent="0.25">
      <c r="A134" s="99" t="s">
        <v>559</v>
      </c>
      <c r="B134" s="49">
        <v>542522848</v>
      </c>
      <c r="C134" s="49">
        <v>230575800</v>
      </c>
      <c r="D134" s="49">
        <v>158252346.21083501</v>
      </c>
      <c r="E134" s="50">
        <f>VLOOKUP($A134,'Data shares'!$C:$FA,154)*100</f>
        <v>43.13</v>
      </c>
      <c r="F134" s="173">
        <f>C134/B134</f>
        <v>0.42500661649553234</v>
      </c>
    </row>
    <row r="135" spans="1:6" x14ac:dyDescent="0.25">
      <c r="A135" s="99" t="s">
        <v>487</v>
      </c>
      <c r="B135" s="49">
        <v>14652855</v>
      </c>
      <c r="C135" s="49">
        <v>5306950</v>
      </c>
      <c r="D135" s="49">
        <v>3782515.7611807501</v>
      </c>
      <c r="E135" s="50">
        <f>VLOOKUP($A135,'Data shares'!$C:$FA,154)*100</f>
        <v>36.61</v>
      </c>
      <c r="F135" s="173">
        <f>C135/B135</f>
        <v>0.36217856520111608</v>
      </c>
    </row>
    <row r="136" spans="1:6" x14ac:dyDescent="0.25">
      <c r="A136" s="99" t="s">
        <v>262</v>
      </c>
      <c r="B136" s="49">
        <v>16050690</v>
      </c>
      <c r="C136" s="49">
        <v>5570400</v>
      </c>
      <c r="D136" s="49">
        <v>3056261.6207750002</v>
      </c>
      <c r="E136" s="50">
        <f>VLOOKUP($A136,'Data shares'!$C:$FA,154)*100</f>
        <v>35.72</v>
      </c>
      <c r="F136" s="173">
        <f>C136/B136</f>
        <v>0.34705050063268306</v>
      </c>
    </row>
    <row r="137" spans="1:6" x14ac:dyDescent="0.25">
      <c r="A137" s="99" t="s">
        <v>263</v>
      </c>
      <c r="B137" s="49">
        <v>134225816</v>
      </c>
      <c r="C137" s="49">
        <v>127661250</v>
      </c>
      <c r="D137" s="49">
        <v>77565672.196050003</v>
      </c>
      <c r="E137" s="50">
        <f>VLOOKUP($A137,'Data shares'!$C:$FA,154)*100</f>
        <v>97.289999999999992</v>
      </c>
      <c r="F137" s="173">
        <f>C137/B137</f>
        <v>0.95109311907628857</v>
      </c>
    </row>
    <row r="138" spans="1:6" x14ac:dyDescent="0.25">
      <c r="A138" s="99" t="s">
        <v>264</v>
      </c>
      <c r="B138" s="49">
        <v>60530911</v>
      </c>
      <c r="C138" s="49">
        <v>12182250</v>
      </c>
      <c r="D138" s="49">
        <v>9949754.5433924999</v>
      </c>
      <c r="E138" s="50">
        <f>VLOOKUP($A138,'Data shares'!$C:$FA,154)*100</f>
        <v>20.3</v>
      </c>
      <c r="F138" s="173">
        <f>C138/B138</f>
        <v>0.20125667693982005</v>
      </c>
    </row>
    <row r="139" spans="1:6" x14ac:dyDescent="0.25">
      <c r="A139" s="99" t="s">
        <v>550</v>
      </c>
      <c r="B139" s="49">
        <v>154894704</v>
      </c>
      <c r="C139" s="49">
        <v>92079000</v>
      </c>
      <c r="D139" s="49">
        <v>57091508.566624999</v>
      </c>
      <c r="E139" s="50">
        <f>VLOOKUP($A139,'Data shares'!$C:$FA,154)*100</f>
        <v>60.24</v>
      </c>
      <c r="F139" s="173">
        <f>C139/B139</f>
        <v>0.59446189974319585</v>
      </c>
    </row>
    <row r="140" spans="1:6" x14ac:dyDescent="0.25">
      <c r="A140" s="99" t="s">
        <v>592</v>
      </c>
      <c r="B140" s="49">
        <v>72342848</v>
      </c>
      <c r="C140" s="49">
        <v>25007400</v>
      </c>
      <c r="D140" s="49">
        <v>16476037.973657999</v>
      </c>
      <c r="E140" s="50">
        <f>VLOOKUP($A140,'Data shares'!$C:$FA,154)*100</f>
        <v>34.910000000000004</v>
      </c>
      <c r="F140" s="173">
        <f>C140/B140</f>
        <v>0.34567895364031009</v>
      </c>
    </row>
    <row r="141" spans="1:6" x14ac:dyDescent="0.25">
      <c r="A141" s="99" t="s">
        <v>265</v>
      </c>
      <c r="B141" s="49">
        <v>71801274</v>
      </c>
      <c r="C141" s="49">
        <v>21676500</v>
      </c>
      <c r="D141" s="49">
        <v>18051557.472240001</v>
      </c>
      <c r="E141" s="50">
        <f>VLOOKUP($A141,'Data shares'!$C:$FA,154)*100</f>
        <v>30.43</v>
      </c>
      <c r="F141" s="173">
        <f>C141/B141</f>
        <v>0.30189575744853775</v>
      </c>
    </row>
    <row r="142" spans="1:6" x14ac:dyDescent="0.25">
      <c r="A142" s="99" t="s">
        <v>586</v>
      </c>
      <c r="B142" s="49">
        <v>398201603</v>
      </c>
      <c r="C142" s="49">
        <v>68313600</v>
      </c>
      <c r="D142" s="49">
        <v>46162314.004799999</v>
      </c>
      <c r="E142" s="50">
        <f>VLOOKUP($A142,'Data shares'!$C:$FA,154)*100</f>
        <v>17.260000000000002</v>
      </c>
      <c r="F142" s="173">
        <f>C142/B142</f>
        <v>0.17155531139335972</v>
      </c>
    </row>
    <row r="143" spans="1:6" x14ac:dyDescent="0.25">
      <c r="A143" s="99" t="s">
        <v>267</v>
      </c>
      <c r="B143" s="49">
        <v>517037525</v>
      </c>
      <c r="C143" s="49">
        <v>432486000</v>
      </c>
      <c r="D143" s="49">
        <v>252040901.471955</v>
      </c>
      <c r="E143" s="50">
        <f>VLOOKUP($A143,'Data shares'!$C:$FA,154)*100</f>
        <v>85.09</v>
      </c>
      <c r="F143" s="173">
        <f>C143/B143</f>
        <v>0.83646926787373899</v>
      </c>
    </row>
    <row r="144" spans="1:6" x14ac:dyDescent="0.25">
      <c r="A144" s="99" t="s">
        <v>268</v>
      </c>
      <c r="B144" s="49">
        <v>572782298</v>
      </c>
      <c r="C144" s="49">
        <v>135697500</v>
      </c>
      <c r="D144" s="49">
        <v>97791107.316510007</v>
      </c>
      <c r="E144" s="50"/>
      <c r="F144" s="173">
        <f>C144/B144</f>
        <v>0.23690938158148175</v>
      </c>
    </row>
    <row r="145" spans="1:6" x14ac:dyDescent="0.25">
      <c r="A145" s="99" t="s">
        <v>687</v>
      </c>
      <c r="B145" s="49">
        <v>2444664</v>
      </c>
      <c r="C145" s="49">
        <v>717450</v>
      </c>
      <c r="D145" s="49">
        <v>311267.04173250002</v>
      </c>
      <c r="E145" s="50">
        <f>VLOOKUP($A145,'Data shares'!$C:$FA,154)*100</f>
        <v>30.15</v>
      </c>
      <c r="F145" s="173">
        <f>C145/B145</f>
        <v>0.29347591325433681</v>
      </c>
    </row>
    <row r="146" spans="1:6" x14ac:dyDescent="0.25">
      <c r="A146" s="99" t="s">
        <v>614</v>
      </c>
      <c r="B146" s="49">
        <v>205324177</v>
      </c>
      <c r="C146" s="49">
        <v>80175000</v>
      </c>
      <c r="D146" s="49">
        <v>59473997.972687498</v>
      </c>
      <c r="E146" s="50">
        <f>VLOOKUP($A146,'Data shares'!$C:$FA,154)*100</f>
        <v>39.989999999999995</v>
      </c>
      <c r="F146" s="173">
        <f>C146/B146</f>
        <v>0.39048007483307723</v>
      </c>
    </row>
    <row r="147" spans="1:6" x14ac:dyDescent="0.25">
      <c r="A147" s="99" t="s">
        <v>528</v>
      </c>
      <c r="B147" s="49">
        <v>17614093</v>
      </c>
      <c r="C147" s="49">
        <v>6245400</v>
      </c>
      <c r="D147" s="49">
        <v>4555780.3903989997</v>
      </c>
      <c r="E147" s="50">
        <f>VLOOKUP($A147,'Data shares'!$C:$FA,154)*100</f>
        <v>35.809999999999995</v>
      </c>
      <c r="F147" s="173">
        <f>C147/B147</f>
        <v>0.35456835614527527</v>
      </c>
    </row>
    <row r="148" spans="1:6" x14ac:dyDescent="0.25">
      <c r="A148" s="99" t="s">
        <v>518</v>
      </c>
      <c r="B148" s="49">
        <v>3401732</v>
      </c>
      <c r="C148" s="49">
        <v>1607025</v>
      </c>
      <c r="D148" s="49">
        <v>941071.10473200004</v>
      </c>
      <c r="E148" s="50">
        <f>VLOOKUP($A148,'Data shares'!$C:$FA,154)*100</f>
        <v>47.83</v>
      </c>
      <c r="F148" s="173">
        <f>C148/B148</f>
        <v>0.47241375863824664</v>
      </c>
    </row>
    <row r="149" spans="1:6" x14ac:dyDescent="0.25">
      <c r="A149" s="99" t="s">
        <v>588</v>
      </c>
      <c r="B149" s="49">
        <v>94123587</v>
      </c>
      <c r="C149" s="49">
        <v>16332400</v>
      </c>
      <c r="D149" s="49">
        <v>9507298.9243119992</v>
      </c>
      <c r="E149" s="50">
        <f>VLOOKUP($A149,'Data shares'!$C:$FA,154)*100</f>
        <v>17.48</v>
      </c>
      <c r="F149" s="173">
        <f>C149/B149</f>
        <v>0.17352079877703769</v>
      </c>
    </row>
    <row r="150" spans="1:6" x14ac:dyDescent="0.25">
      <c r="A150" s="99" t="s">
        <v>269</v>
      </c>
      <c r="B150" s="49">
        <v>517141211</v>
      </c>
      <c r="C150" s="49">
        <v>150214500</v>
      </c>
      <c r="D150" s="49">
        <v>98430807.944812506</v>
      </c>
      <c r="E150" s="50"/>
      <c r="F150" s="173">
        <f>C150/B150</f>
        <v>0.29047095223668029</v>
      </c>
    </row>
    <row r="151" spans="1:6" x14ac:dyDescent="0.25">
      <c r="A151" s="99" t="s">
        <v>270</v>
      </c>
      <c r="B151" s="49">
        <v>955549</v>
      </c>
      <c r="C151" s="49">
        <v>313725</v>
      </c>
      <c r="D151" s="49">
        <v>212632.38657495001</v>
      </c>
      <c r="E151" s="50">
        <f>VLOOKUP($A151,'Data shares'!$C:$FA,154)*100</f>
        <v>33.17</v>
      </c>
      <c r="F151" s="173">
        <f>C151/B151</f>
        <v>0.32831911288693727</v>
      </c>
    </row>
    <row r="152" spans="1:6" x14ac:dyDescent="0.25">
      <c r="A152" s="99" t="s">
        <v>667</v>
      </c>
      <c r="B152" s="49">
        <v>50840137</v>
      </c>
      <c r="C152" s="49">
        <v>38360700</v>
      </c>
      <c r="D152" s="49">
        <v>19880716.790196002</v>
      </c>
      <c r="E152" s="50">
        <f>VLOOKUP($A152,'Data shares'!$C:$FA,154)*100</f>
        <v>75.929999999999993</v>
      </c>
      <c r="F152" s="173">
        <f>C152/B152</f>
        <v>0.75453573226995829</v>
      </c>
    </row>
    <row r="153" spans="1:6" x14ac:dyDescent="0.25">
      <c r="A153" s="99" t="s">
        <v>576</v>
      </c>
      <c r="B153" s="49">
        <v>95715382</v>
      </c>
      <c r="C153" s="49">
        <v>37272975</v>
      </c>
      <c r="D153" s="49">
        <v>23446205.810768701</v>
      </c>
      <c r="E153" s="50">
        <f>VLOOKUP($A153,'Data shares'!$C:$FA,154)*100</f>
        <v>39.340000000000003</v>
      </c>
      <c r="F153" s="173">
        <f>C153/B153</f>
        <v>0.38941468153990128</v>
      </c>
    </row>
    <row r="154" spans="1:6" x14ac:dyDescent="0.25">
      <c r="A154" s="99" t="s">
        <v>529</v>
      </c>
      <c r="B154" s="49">
        <v>16151851</v>
      </c>
      <c r="C154" s="49">
        <v>4154700</v>
      </c>
      <c r="D154" s="49">
        <v>2836563.3103880002</v>
      </c>
      <c r="E154" s="50">
        <f>VLOOKUP($A154,'Data shares'!$C:$FA,154)*100</f>
        <v>26.1</v>
      </c>
      <c r="F154" s="173">
        <f>C154/B154</f>
        <v>0.25722748432981457</v>
      </c>
    </row>
    <row r="155" spans="1:6" x14ac:dyDescent="0.25">
      <c r="A155" s="99" t="s">
        <v>272</v>
      </c>
      <c r="B155" s="49">
        <v>93668136</v>
      </c>
      <c r="C155" s="49">
        <v>67037400</v>
      </c>
      <c r="D155" s="49">
        <v>32564349.330534</v>
      </c>
      <c r="E155" s="50">
        <f>VLOOKUP($A155,'Data shares'!$C:$FA,154)*100</f>
        <v>72.709999999999994</v>
      </c>
      <c r="F155" s="173">
        <f>C155/B155</f>
        <v>0.71569055244144075</v>
      </c>
    </row>
    <row r="156" spans="1:6" x14ac:dyDescent="0.25">
      <c r="A156" s="99" t="s">
        <v>273</v>
      </c>
      <c r="B156" s="49">
        <v>203602113</v>
      </c>
      <c r="C156" s="49">
        <v>85810400</v>
      </c>
      <c r="D156" s="49">
        <v>49946829.474437997</v>
      </c>
      <c r="E156" s="50">
        <f>VLOOKUP($A156,'Data shares'!$C:$FA,154)*100</f>
        <v>42.99</v>
      </c>
      <c r="F156" s="173">
        <f>C156/B156</f>
        <v>0.42146124485456593</v>
      </c>
    </row>
    <row r="157" spans="1:6" x14ac:dyDescent="0.25">
      <c r="A157" s="99" t="s">
        <v>682</v>
      </c>
      <c r="B157" s="49">
        <v>23897684</v>
      </c>
      <c r="C157" s="49">
        <v>14165900</v>
      </c>
      <c r="D157" s="49">
        <v>7280948.0404080003</v>
      </c>
      <c r="E157" s="50">
        <f>VLOOKUP($A157,'Data shares'!$C:$FA,154)*100</f>
        <v>61.480000000000004</v>
      </c>
      <c r="F157" s="173">
        <f>C157/B157</f>
        <v>0.59277292309999585</v>
      </c>
    </row>
    <row r="158" spans="1:6" x14ac:dyDescent="0.25">
      <c r="A158" s="99" t="s">
        <v>646</v>
      </c>
      <c r="B158" s="49">
        <v>28283155</v>
      </c>
      <c r="C158" s="49">
        <v>5152350</v>
      </c>
      <c r="D158" s="49">
        <v>3931791.874661</v>
      </c>
      <c r="E158" s="50">
        <f>VLOOKUP($A158,'Data shares'!$C:$FA,154)*100</f>
        <v>18.29</v>
      </c>
      <c r="F158" s="173">
        <f>C158/B158</f>
        <v>0.18217027060807042</v>
      </c>
    </row>
    <row r="159" spans="1:6" x14ac:dyDescent="0.25">
      <c r="A159" s="99" t="s">
        <v>274</v>
      </c>
      <c r="B159" s="49">
        <v>31170515</v>
      </c>
      <c r="C159" s="49">
        <v>10459000</v>
      </c>
      <c r="D159" s="49">
        <v>8454142.9890149999</v>
      </c>
      <c r="E159" s="50">
        <f>VLOOKUP($A159,'Data shares'!$C:$FA,154)*100</f>
        <v>33.78</v>
      </c>
      <c r="F159" s="173">
        <f>C159/B159</f>
        <v>0.33554145640519573</v>
      </c>
    </row>
    <row r="160" spans="1:6" x14ac:dyDescent="0.25">
      <c r="A160" s="99" t="s">
        <v>483</v>
      </c>
      <c r="B160" s="49">
        <v>8178275</v>
      </c>
      <c r="C160" s="49">
        <v>2253650</v>
      </c>
      <c r="D160" s="49">
        <v>1610908.8437942499</v>
      </c>
      <c r="E160" s="50">
        <f>VLOOKUP($A160,'Data shares'!$C:$FA,154)*100</f>
        <v>27.74</v>
      </c>
      <c r="F160" s="173">
        <f>C160/B160</f>
        <v>0.27556544625853252</v>
      </c>
    </row>
    <row r="161" spans="1:6" x14ac:dyDescent="0.25">
      <c r="A161" s="99" t="s">
        <v>275</v>
      </c>
      <c r="B161" s="49">
        <v>447910372</v>
      </c>
      <c r="C161" s="49">
        <v>434576000</v>
      </c>
      <c r="D161" s="49">
        <v>250150364.67912</v>
      </c>
      <c r="E161" s="50">
        <f>VLOOKUP($A161,'Data shares'!$C:$FA,154)*100</f>
        <v>98.65</v>
      </c>
      <c r="F161" s="173">
        <f>C161/B161</f>
        <v>0.97022982088925591</v>
      </c>
    </row>
    <row r="162" spans="1:6" x14ac:dyDescent="0.25">
      <c r="A162" s="99" t="s">
        <v>672</v>
      </c>
      <c r="B162" s="49">
        <v>28062406</v>
      </c>
      <c r="C162" s="49">
        <v>20342400</v>
      </c>
      <c r="D162" s="49">
        <v>14648220.845674001</v>
      </c>
      <c r="E162" s="50">
        <f>VLOOKUP($A162,'Data shares'!$C:$FA,154)*100</f>
        <v>73.16</v>
      </c>
      <c r="F162" s="173">
        <f>C162/B162</f>
        <v>0.72489864197674281</v>
      </c>
    </row>
    <row r="163" spans="1:6" x14ac:dyDescent="0.25">
      <c r="A163" s="99" t="s">
        <v>574</v>
      </c>
      <c r="B163" s="49">
        <v>51720057</v>
      </c>
      <c r="C163" s="49">
        <v>9163000</v>
      </c>
      <c r="D163" s="49">
        <v>7381306.7517945003</v>
      </c>
      <c r="E163" s="50">
        <f>VLOOKUP($A163,'Data shares'!$C:$FA,154)*100</f>
        <v>17.89</v>
      </c>
      <c r="F163" s="173">
        <f>C163/B163</f>
        <v>0.17716531132206603</v>
      </c>
    </row>
    <row r="164" spans="1:6" x14ac:dyDescent="0.25">
      <c r="A164" s="99" t="s">
        <v>519</v>
      </c>
      <c r="B164" s="49">
        <v>8350688</v>
      </c>
      <c r="C164" s="49">
        <v>2561500</v>
      </c>
      <c r="D164" s="49">
        <v>1798730.2799025001</v>
      </c>
      <c r="E164" s="50">
        <f>VLOOKUP($A164,'Data shares'!$C:$FA,154)*100</f>
        <v>31.5</v>
      </c>
      <c r="F164" s="173">
        <f>C164/B164</f>
        <v>0.30674119306097891</v>
      </c>
    </row>
    <row r="165" spans="1:6" x14ac:dyDescent="0.25">
      <c r="A165" s="99" t="s">
        <v>276</v>
      </c>
      <c r="B165" s="49">
        <v>488832949</v>
      </c>
      <c r="C165" s="49">
        <v>110042300</v>
      </c>
      <c r="D165" s="49">
        <v>73205677.607885003</v>
      </c>
      <c r="E165" s="50">
        <f>VLOOKUP($A165,'Data shares'!$C:$FA,154)*100</f>
        <v>22.99</v>
      </c>
      <c r="F165" s="173">
        <f>C165/B165</f>
        <v>0.22511228063720393</v>
      </c>
    </row>
    <row r="166" spans="1:6" x14ac:dyDescent="0.25">
      <c r="A166" s="99" t="s">
        <v>689</v>
      </c>
      <c r="B166" s="49">
        <v>1917916</v>
      </c>
      <c r="C166" s="49">
        <v>39400</v>
      </c>
      <c r="D166" s="49">
        <v>19984.143904500001</v>
      </c>
      <c r="E166" s="50">
        <f>VLOOKUP($A166,'Data shares'!$C:$FA,154)*100</f>
        <v>2.0699999999999998</v>
      </c>
      <c r="F166" s="173">
        <f>C166/B166</f>
        <v>2.054313119031282E-2</v>
      </c>
    </row>
    <row r="167" spans="1:6" x14ac:dyDescent="0.25">
      <c r="A167" s="99" t="s">
        <v>680</v>
      </c>
      <c r="B167" s="49">
        <v>120138597</v>
      </c>
      <c r="C167" s="49">
        <v>30202500</v>
      </c>
      <c r="D167" s="49">
        <v>15251208.708425</v>
      </c>
      <c r="E167" s="50">
        <f>VLOOKUP($A167,'Data shares'!$C:$FA,154)*100</f>
        <v>25.669999999999998</v>
      </c>
      <c r="F167" s="173">
        <f>C167/B167</f>
        <v>0.25139714258524259</v>
      </c>
    </row>
    <row r="168" spans="1:6" x14ac:dyDescent="0.25">
      <c r="A168" s="99" t="s">
        <v>606</v>
      </c>
      <c r="B168" s="49">
        <v>25234534</v>
      </c>
      <c r="C168" s="49">
        <v>6351300</v>
      </c>
      <c r="D168" s="49">
        <v>4191620.2195410002</v>
      </c>
      <c r="E168" s="50">
        <f>VLOOKUP($A168,'Data shares'!$C:$FA,154)*100</f>
        <v>25.290000000000003</v>
      </c>
      <c r="F168" s="173">
        <f>C168/B168</f>
        <v>0.25169079801513278</v>
      </c>
    </row>
    <row r="169" spans="1:6" x14ac:dyDescent="0.25">
      <c r="A169" s="99" t="s">
        <v>279</v>
      </c>
      <c r="B169" s="49">
        <v>91351468</v>
      </c>
      <c r="C169" s="49">
        <v>121529475</v>
      </c>
      <c r="D169" s="49">
        <v>69512461.323764205</v>
      </c>
      <c r="E169" s="50">
        <f>VLOOKUP($A169,'Data shares'!$C:$FA,154)*100</f>
        <v>138.35999999999999</v>
      </c>
      <c r="F169" s="173">
        <f>C169/B169</f>
        <v>1.3303505423689523</v>
      </c>
    </row>
    <row r="170" spans="1:6" x14ac:dyDescent="0.25">
      <c r="A170" s="99" t="s">
        <v>280</v>
      </c>
      <c r="B170" s="49">
        <v>187084550</v>
      </c>
      <c r="C170" s="49">
        <v>119835975</v>
      </c>
      <c r="D170" s="49">
        <v>71815067.746731699</v>
      </c>
      <c r="E170" s="50">
        <f>VLOOKUP($A170,'Data shares'!$C:$FA,154)*100</f>
        <v>65.600000000000009</v>
      </c>
      <c r="F170" s="173">
        <f>C170/B170</f>
        <v>0.64054447574639384</v>
      </c>
    </row>
    <row r="171" spans="1:6" x14ac:dyDescent="0.25">
      <c r="A171" s="99" t="s">
        <v>281</v>
      </c>
      <c r="B171" s="49">
        <v>662701060</v>
      </c>
      <c r="C171" s="49">
        <v>208166000</v>
      </c>
      <c r="D171" s="49">
        <v>131606682.72573</v>
      </c>
      <c r="E171" s="50">
        <f>VLOOKUP($A171,'Data shares'!$C:$FA,154)*100</f>
        <v>32.029999999999994</v>
      </c>
      <c r="F171" s="173">
        <f>C171/B171</f>
        <v>0.31411749967624919</v>
      </c>
    </row>
    <row r="172" spans="1:6" x14ac:dyDescent="0.25">
      <c r="A172" s="99" t="s">
        <v>677</v>
      </c>
      <c r="B172" s="49">
        <v>84941460</v>
      </c>
      <c r="C172" s="49">
        <v>50033500</v>
      </c>
      <c r="D172" s="49">
        <v>27412963.8358812</v>
      </c>
      <c r="E172" s="50">
        <f>VLOOKUP($A172,'Data shares'!$C:$FA,154)*100</f>
        <v>60.34</v>
      </c>
      <c r="F172" s="173">
        <f>C172/B172</f>
        <v>0.58903508369175661</v>
      </c>
    </row>
    <row r="173" spans="1:6" x14ac:dyDescent="0.25">
      <c r="A173" s="99" t="s">
        <v>282</v>
      </c>
      <c r="B173" s="49">
        <v>216861410</v>
      </c>
      <c r="C173" s="49">
        <v>225585900</v>
      </c>
      <c r="D173" s="49">
        <v>150477987.68566701</v>
      </c>
      <c r="E173" s="50">
        <f>VLOOKUP($A173,'Data shares'!$C:$FA,154)*100</f>
        <v>106.23</v>
      </c>
      <c r="F173" s="173">
        <f>C173/B173</f>
        <v>1.040230716935761</v>
      </c>
    </row>
    <row r="174" spans="1:6" x14ac:dyDescent="0.25">
      <c r="A174" s="99" t="s">
        <v>688</v>
      </c>
      <c r="B174" s="49">
        <v>122326971</v>
      </c>
      <c r="C174" s="49">
        <v>151149300</v>
      </c>
      <c r="D174" s="49">
        <v>87042912.667796001</v>
      </c>
      <c r="E174" s="50">
        <f>VLOOKUP($A174,'Data shares'!$C:$FA,154)*100</f>
        <v>126.03</v>
      </c>
      <c r="F174" s="173">
        <f>C174/B174</f>
        <v>1.2356171232262425</v>
      </c>
    </row>
    <row r="175" spans="1:6" x14ac:dyDescent="0.25">
      <c r="A175" s="99" t="s">
        <v>536</v>
      </c>
      <c r="B175" s="49">
        <v>39583537</v>
      </c>
      <c r="C175" s="49">
        <v>26559200</v>
      </c>
      <c r="D175" s="49">
        <v>15224430.166463999</v>
      </c>
      <c r="E175" s="50">
        <f>VLOOKUP($A175,'Data shares'!$C:$FA,154)*100</f>
        <v>68.239999999999995</v>
      </c>
      <c r="F175" s="173">
        <f>C175/B175</f>
        <v>0.67096581086222795</v>
      </c>
    </row>
    <row r="176" spans="1:6" x14ac:dyDescent="0.25">
      <c r="A176" s="99" t="s">
        <v>462</v>
      </c>
      <c r="B176" s="49">
        <v>44735132</v>
      </c>
      <c r="C176" s="49">
        <v>9177375</v>
      </c>
      <c r="D176" s="49">
        <v>6950862.1481287498</v>
      </c>
      <c r="E176" s="50">
        <f>VLOOKUP($A176,'Data shares'!$C:$FA,154)*100</f>
        <v>20.73</v>
      </c>
      <c r="F176" s="173">
        <f>C176/B176</f>
        <v>0.20514916553727841</v>
      </c>
    </row>
    <row r="177" spans="1:6" x14ac:dyDescent="0.25">
      <c r="A177" s="99" t="s">
        <v>283</v>
      </c>
      <c r="B177" s="49">
        <v>407307212</v>
      </c>
      <c r="C177" s="49">
        <v>156189000</v>
      </c>
      <c r="D177" s="49">
        <v>96033949.474965006</v>
      </c>
      <c r="E177" s="50">
        <f>VLOOKUP($A177,'Data shares'!$C:$FA,154)*100</f>
        <v>39.229999999999997</v>
      </c>
      <c r="F177" s="173">
        <f>C177/B177</f>
        <v>0.38346730771857779</v>
      </c>
    </row>
    <row r="178" spans="1:6" x14ac:dyDescent="0.25">
      <c r="A178" s="99" t="s">
        <v>284</v>
      </c>
      <c r="B178" s="49">
        <v>1548028</v>
      </c>
      <c r="C178" s="49">
        <v>270325</v>
      </c>
      <c r="D178" s="49">
        <v>224673.50431774999</v>
      </c>
      <c r="E178" s="50">
        <f>VLOOKUP($A178,'Data shares'!$C:$FA,154)*100</f>
        <v>17.54</v>
      </c>
      <c r="F178" s="173">
        <f>C178/B178</f>
        <v>0.1746253943727116</v>
      </c>
    </row>
    <row r="179" spans="1:6" x14ac:dyDescent="0.25">
      <c r="A179" s="99" t="s">
        <v>562</v>
      </c>
      <c r="B179" s="49">
        <v>210459276</v>
      </c>
      <c r="C179" s="49">
        <v>63228000</v>
      </c>
      <c r="D179" s="49">
        <v>48917823.548153996</v>
      </c>
      <c r="E179" s="50">
        <f>VLOOKUP($A179,'Data shares'!$C:$FA,154)*100</f>
        <v>30.470000000000002</v>
      </c>
      <c r="F179" s="173">
        <f>C179/B179</f>
        <v>0.30042866820467445</v>
      </c>
    </row>
    <row r="180" spans="1:6" x14ac:dyDescent="0.25">
      <c r="A180" s="99" t="s">
        <v>285</v>
      </c>
      <c r="B180" s="49">
        <v>13354588</v>
      </c>
      <c r="C180" s="49">
        <v>3306875</v>
      </c>
      <c r="D180" s="49">
        <v>2247384.3224687502</v>
      </c>
      <c r="E180" s="50">
        <f>VLOOKUP($A180,'Data shares'!$C:$FA,154)*100</f>
        <v>25.16</v>
      </c>
      <c r="F180" s="173">
        <f>C180/B180</f>
        <v>0.24762089253520964</v>
      </c>
    </row>
    <row r="181" spans="1:6" x14ac:dyDescent="0.25">
      <c r="A181" s="99" t="s">
        <v>647</v>
      </c>
      <c r="B181" s="49">
        <v>3644817</v>
      </c>
      <c r="C181" s="49">
        <v>1357050</v>
      </c>
      <c r="D181" s="49">
        <v>794562.24170999997</v>
      </c>
      <c r="E181" s="50">
        <f>VLOOKUP($A181,'Data shares'!$C:$FA,154)*100</f>
        <v>37.96</v>
      </c>
      <c r="F181" s="173">
        <f>C181/B181</f>
        <v>0.37232321951966313</v>
      </c>
    </row>
    <row r="182" spans="1:6" x14ac:dyDescent="0.25">
      <c r="A182" s="99" t="s">
        <v>615</v>
      </c>
      <c r="B182" s="49">
        <v>67126548</v>
      </c>
      <c r="C182" s="49">
        <v>29290800</v>
      </c>
      <c r="D182" s="49">
        <v>22787676.683625001</v>
      </c>
      <c r="E182" s="50">
        <f>VLOOKUP($A182,'Data shares'!$C:$FA,154)*100</f>
        <v>43.830000000000005</v>
      </c>
      <c r="F182" s="173">
        <f>C182/B182</f>
        <v>0.43635194826345008</v>
      </c>
    </row>
    <row r="183" spans="1:6" x14ac:dyDescent="0.25">
      <c r="A183" s="99" t="s">
        <v>286</v>
      </c>
      <c r="B183" s="49">
        <v>21205300</v>
      </c>
      <c r="C183" s="49">
        <v>4108400</v>
      </c>
      <c r="D183" s="49">
        <v>2781499.6539619998</v>
      </c>
      <c r="E183" s="50">
        <f>VLOOKUP($A183,'Data shares'!$C:$FA,154)*100</f>
        <v>19.809999999999999</v>
      </c>
      <c r="F183" s="173">
        <f>C183/B183</f>
        <v>0.19374401682598219</v>
      </c>
    </row>
    <row r="184" spans="1:6" x14ac:dyDescent="0.25">
      <c r="A184" s="99" t="s">
        <v>288</v>
      </c>
      <c r="B184" s="49">
        <v>109220043</v>
      </c>
      <c r="C184" s="49">
        <v>22750000</v>
      </c>
      <c r="D184" s="49">
        <v>16180688.973715</v>
      </c>
      <c r="E184" s="50">
        <f>VLOOKUP($A184,'Data shares'!$C:$FA,154)*100</f>
        <v>21.15</v>
      </c>
      <c r="F184" s="173">
        <f>C184/B184</f>
        <v>0.20829510202628285</v>
      </c>
    </row>
    <row r="185" spans="1:6" x14ac:dyDescent="0.25">
      <c r="A185" s="99" t="s">
        <v>575</v>
      </c>
      <c r="B185" s="49">
        <v>7242074</v>
      </c>
      <c r="C185" s="49">
        <v>1592500</v>
      </c>
      <c r="D185" s="49">
        <v>1114198.0524657499</v>
      </c>
      <c r="E185" s="50">
        <f>VLOOKUP($A185,'Data shares'!$C:$FA,154)*100</f>
        <v>22.14</v>
      </c>
      <c r="F185" s="173">
        <f>C185/B185</f>
        <v>0.21989557135152168</v>
      </c>
    </row>
    <row r="186" spans="1:6" x14ac:dyDescent="0.25">
      <c r="A186" s="99" t="s">
        <v>686</v>
      </c>
      <c r="B186" s="49">
        <v>1813533848</v>
      </c>
      <c r="C186" s="49">
        <v>360232000</v>
      </c>
      <c r="D186" s="49">
        <v>163462847.82960001</v>
      </c>
      <c r="E186" s="50">
        <f>VLOOKUP($A186,'Data shares'!$C:$FA,154)*100</f>
        <v>20.23</v>
      </c>
      <c r="F186" s="173">
        <f>C186/B186</f>
        <v>0.19863538824889912</v>
      </c>
    </row>
    <row r="187" spans="1:6" x14ac:dyDescent="0.25">
      <c r="A187" s="99" t="s">
        <v>520</v>
      </c>
      <c r="B187" s="49">
        <v>28408333</v>
      </c>
      <c r="C187" s="49">
        <v>12925000</v>
      </c>
      <c r="D187" s="49">
        <v>9350791.8703400008</v>
      </c>
      <c r="E187" s="50">
        <f>VLOOKUP($A187,'Data shares'!$C:$FA,154)*100</f>
        <v>45.9</v>
      </c>
      <c r="F187" s="173">
        <f>C187/B187</f>
        <v>0.45497213792868452</v>
      </c>
    </row>
    <row r="188" spans="1:6" x14ac:dyDescent="0.25">
      <c r="A188" s="99" t="s">
        <v>291</v>
      </c>
      <c r="B188" s="49">
        <v>65471528</v>
      </c>
      <c r="C188" s="49">
        <v>19058050</v>
      </c>
      <c r="D188" s="49">
        <v>15730378.0869455</v>
      </c>
      <c r="E188" s="50">
        <f>VLOOKUP($A188,'Data shares'!$C:$FA,154)*100</f>
        <v>29.580000000000002</v>
      </c>
      <c r="F188" s="173">
        <f>C188/B188</f>
        <v>0.29108912808633397</v>
      </c>
    </row>
    <row r="189" spans="1:6" x14ac:dyDescent="0.25">
      <c r="A189" s="99" t="s">
        <v>605</v>
      </c>
      <c r="B189" s="49">
        <v>4309631</v>
      </c>
      <c r="C189" s="49">
        <v>3679300</v>
      </c>
      <c r="D189" s="49">
        <v>2244990.418087</v>
      </c>
      <c r="E189" s="50">
        <f>VLOOKUP($A189,'Data shares'!$C:$FA,154)*100</f>
        <v>86.4</v>
      </c>
      <c r="F189" s="173">
        <f>C189/B189</f>
        <v>0.85373898600599452</v>
      </c>
    </row>
    <row r="190" spans="1:6" x14ac:dyDescent="0.25">
      <c r="A190" s="99" t="s">
        <v>292</v>
      </c>
      <c r="B190" s="49">
        <v>284575867</v>
      </c>
      <c r="C190" s="49">
        <v>184912800</v>
      </c>
      <c r="D190" s="49">
        <v>61095621.053488001</v>
      </c>
      <c r="E190" s="50">
        <f>VLOOKUP($A190,'Data shares'!$C:$FA,154)*100</f>
        <v>67.62</v>
      </c>
      <c r="F190" s="173">
        <f>C190/B190</f>
        <v>0.64978384129810984</v>
      </c>
    </row>
    <row r="191" spans="1:6" x14ac:dyDescent="0.25">
      <c r="A191" s="99" t="s">
        <v>293</v>
      </c>
      <c r="B191" s="49">
        <v>169808198</v>
      </c>
      <c r="C191" s="49">
        <v>98276650</v>
      </c>
      <c r="D191" s="49">
        <v>55064410.984269001</v>
      </c>
      <c r="E191" s="50">
        <f>VLOOKUP($A191,'Data shares'!$C:$FA,154)*100</f>
        <v>58.74</v>
      </c>
      <c r="F191" s="173">
        <f>C191/B191</f>
        <v>0.57875091519432997</v>
      </c>
    </row>
    <row r="192" spans="1:6" x14ac:dyDescent="0.25">
      <c r="A192" s="99" t="s">
        <v>294</v>
      </c>
      <c r="B192" s="49">
        <v>833987639</v>
      </c>
      <c r="C192" s="49">
        <v>342798500</v>
      </c>
      <c r="D192" s="49">
        <v>189118248.45440999</v>
      </c>
      <c r="E192" s="50">
        <f>VLOOKUP($A192,'Data shares'!$C:$FA,154)*100</f>
        <v>42.15</v>
      </c>
      <c r="F192" s="173">
        <f>C192/B192</f>
        <v>0.41103546859643564</v>
      </c>
    </row>
    <row r="193" spans="1:6" x14ac:dyDescent="0.25">
      <c r="A193" s="99" t="s">
        <v>665</v>
      </c>
      <c r="B193" s="49">
        <v>27246569</v>
      </c>
      <c r="C193" s="49">
        <v>15356800</v>
      </c>
      <c r="D193" s="49">
        <v>7540577.9652960002</v>
      </c>
      <c r="E193" s="50"/>
      <c r="F193" s="173">
        <f>C193/B193</f>
        <v>0.56362325839998428</v>
      </c>
    </row>
    <row r="194" spans="1:6" x14ac:dyDescent="0.25">
      <c r="A194" s="99" t="s">
        <v>295</v>
      </c>
      <c r="B194" s="49">
        <v>123298271</v>
      </c>
      <c r="C194" s="49">
        <v>56205275</v>
      </c>
      <c r="D194" s="49">
        <v>30784170.988999698</v>
      </c>
      <c r="E194" s="50">
        <f>VLOOKUP($A194,'Data shares'!$C:$FA,154)*100</f>
        <v>46.36</v>
      </c>
      <c r="F194" s="173">
        <f>C194/B194</f>
        <v>0.45584803861523737</v>
      </c>
    </row>
    <row r="195" spans="1:6" x14ac:dyDescent="0.25">
      <c r="A195" s="99" t="s">
        <v>296</v>
      </c>
      <c r="B195" s="49">
        <v>76137451</v>
      </c>
      <c r="C195" s="49">
        <v>24268800</v>
      </c>
      <c r="D195" s="49">
        <v>15265815.169493999</v>
      </c>
      <c r="E195" s="50">
        <f>VLOOKUP($A195,'Data shares'!$C:$FA,154)*100</f>
        <v>32.39</v>
      </c>
      <c r="F195" s="173">
        <f>C195/B195</f>
        <v>0.3187498357411519</v>
      </c>
    </row>
    <row r="196" spans="1:6" x14ac:dyDescent="0.25">
      <c r="A196" s="99" t="s">
        <v>596</v>
      </c>
      <c r="B196" s="49">
        <v>14039249</v>
      </c>
      <c r="C196" s="49">
        <v>2474200</v>
      </c>
      <c r="D196" s="49">
        <v>2000155.257792</v>
      </c>
      <c r="E196" s="50">
        <f>VLOOKUP($A196,'Data shares'!$C:$FA,154)*100</f>
        <v>17.690000000000001</v>
      </c>
      <c r="F196" s="173">
        <f>C196/B196</f>
        <v>0.17623449801339089</v>
      </c>
    </row>
    <row r="197" spans="1:6" x14ac:dyDescent="0.25">
      <c r="A197" s="99" t="s">
        <v>664</v>
      </c>
      <c r="B197" s="49">
        <v>12028036</v>
      </c>
      <c r="C197" s="49">
        <v>8513675</v>
      </c>
      <c r="D197" s="49">
        <v>5571841.6862599999</v>
      </c>
      <c r="E197" s="50">
        <f>VLOOKUP($A197,'Data shares'!$C:$FA,154)*100</f>
        <v>74.63</v>
      </c>
      <c r="F197" s="173">
        <f>C197/B197</f>
        <v>0.70781921504059353</v>
      </c>
    </row>
    <row r="198" spans="1:6" x14ac:dyDescent="0.25">
      <c r="A198" s="99" t="s">
        <v>297</v>
      </c>
      <c r="B198" s="49">
        <v>41744334</v>
      </c>
      <c r="C198" s="49">
        <v>17671500</v>
      </c>
      <c r="D198" s="49">
        <v>11397689.962876</v>
      </c>
      <c r="E198" s="50">
        <f>VLOOKUP($A198,'Data shares'!$C:$FA,154)*100</f>
        <v>43.01</v>
      </c>
      <c r="F198" s="173">
        <f>C198/B198</f>
        <v>0.42332691186305665</v>
      </c>
    </row>
    <row r="199" spans="1:6" x14ac:dyDescent="0.25">
      <c r="A199" s="99" t="s">
        <v>298</v>
      </c>
      <c r="B199" s="49">
        <v>16072672</v>
      </c>
      <c r="C199" s="49">
        <v>3165250</v>
      </c>
      <c r="D199" s="49">
        <v>2443980.2919549998</v>
      </c>
      <c r="E199" s="50">
        <f>VLOOKUP($A199,'Data shares'!$C:$FA,154)*100</f>
        <v>19.939999999999998</v>
      </c>
      <c r="F199" s="173">
        <f>C199/B199</f>
        <v>0.19693365235102167</v>
      </c>
    </row>
    <row r="200" spans="1:6" x14ac:dyDescent="0.25">
      <c r="A200" s="99" t="s">
        <v>299</v>
      </c>
      <c r="B200" s="49">
        <v>24646022</v>
      </c>
      <c r="C200" s="49">
        <v>6038625</v>
      </c>
      <c r="D200" s="49">
        <v>4337391.6585449995</v>
      </c>
      <c r="E200" s="50">
        <f>VLOOKUP($A200,'Data shares'!$C:$FA,154)*100</f>
        <v>24.66</v>
      </c>
      <c r="F200" s="173">
        <f>C200/B200</f>
        <v>0.24501418525066643</v>
      </c>
    </row>
    <row r="201" spans="1:6" x14ac:dyDescent="0.25">
      <c r="A201" s="99" t="s">
        <v>482</v>
      </c>
      <c r="B201" s="49">
        <v>33590487</v>
      </c>
      <c r="C201" s="49">
        <v>15260800</v>
      </c>
      <c r="D201" s="49">
        <v>8277519.9561860003</v>
      </c>
      <c r="E201" s="50">
        <f>VLOOKUP($A201,'Data shares'!$C:$FA,154)*100</f>
        <v>47.06</v>
      </c>
      <c r="F201" s="173">
        <f>C201/B201</f>
        <v>0.45431910528716063</v>
      </c>
    </row>
    <row r="202" spans="1:6" x14ac:dyDescent="0.25">
      <c r="A202" s="99" t="s">
        <v>300</v>
      </c>
      <c r="B202" s="49">
        <v>35369445</v>
      </c>
      <c r="C202" s="49">
        <v>12743850</v>
      </c>
      <c r="D202" s="49">
        <v>9769249.0355670005</v>
      </c>
      <c r="E202" s="50">
        <f>VLOOKUP($A202,'Data shares'!$C:$FA,154)*100</f>
        <v>36.74</v>
      </c>
      <c r="F202" s="173">
        <f>C202/B202</f>
        <v>0.3603067562977027</v>
      </c>
    </row>
    <row r="203" spans="1:6" x14ac:dyDescent="0.25">
      <c r="A203" s="99" t="s">
        <v>302</v>
      </c>
      <c r="B203" s="49">
        <v>11962066</v>
      </c>
      <c r="C203" s="49">
        <v>3369250</v>
      </c>
      <c r="D203" s="49">
        <v>2442163.3286140002</v>
      </c>
      <c r="E203" s="50">
        <f>VLOOKUP($A203,'Data shares'!$C:$FA,154)*100</f>
        <v>28.52</v>
      </c>
      <c r="F203" s="173">
        <f>C203/B203</f>
        <v>0.28166121136599648</v>
      </c>
    </row>
    <row r="204" spans="1:6" x14ac:dyDescent="0.25">
      <c r="A204" s="99" t="s">
        <v>594</v>
      </c>
      <c r="B204" s="49">
        <v>289041713</v>
      </c>
      <c r="C204" s="49">
        <v>129152475</v>
      </c>
      <c r="D204" s="49">
        <v>88095982.366278693</v>
      </c>
      <c r="E204" s="50">
        <f>VLOOKUP($A204,'Data shares'!$C:$FA,154)*100</f>
        <v>45.65</v>
      </c>
      <c r="F204" s="173">
        <f>C204/B204</f>
        <v>0.44682988368533505</v>
      </c>
    </row>
    <row r="205" spans="1:6" x14ac:dyDescent="0.25">
      <c r="A205" s="99" t="s">
        <v>569</v>
      </c>
      <c r="B205" s="49">
        <v>47269416</v>
      </c>
      <c r="C205" s="49">
        <v>19434400</v>
      </c>
      <c r="D205" s="49">
        <v>12658453.582351999</v>
      </c>
      <c r="E205" s="50">
        <f>VLOOKUP($A205,'Data shares'!$C:$FA,154)*100</f>
        <v>41.68</v>
      </c>
      <c r="F205" s="173">
        <f>C205/B205</f>
        <v>0.41114110654550928</v>
      </c>
    </row>
    <row r="206" spans="1:6" x14ac:dyDescent="0.25">
      <c r="A206" s="99" t="s">
        <v>676</v>
      </c>
      <c r="B206" s="49">
        <v>22813802</v>
      </c>
      <c r="C206" s="49">
        <v>4038100</v>
      </c>
      <c r="D206" s="49">
        <v>2743911.9906164999</v>
      </c>
      <c r="E206" s="50">
        <f>VLOOKUP($A206,'Data shares'!$C:$FA,154)*100</f>
        <v>18.05</v>
      </c>
      <c r="F206" s="173">
        <f>C206/B206</f>
        <v>0.17700250050386165</v>
      </c>
    </row>
    <row r="207" spans="1:6" x14ac:dyDescent="0.25">
      <c r="A207" s="99" t="s">
        <v>303</v>
      </c>
      <c r="B207" s="49">
        <v>82588393</v>
      </c>
      <c r="C207" s="49">
        <v>44343730</v>
      </c>
      <c r="D207" s="49">
        <v>26265952.869823001</v>
      </c>
      <c r="E207" s="50">
        <f>VLOOKUP($A207,'Data shares'!$C:$FA,154)*100</f>
        <v>54.58</v>
      </c>
      <c r="F207" s="173">
        <f>C207/B207</f>
        <v>0.53692448041700003</v>
      </c>
    </row>
    <row r="208" spans="1:6" x14ac:dyDescent="0.25">
      <c r="A208" s="99" t="s">
        <v>587</v>
      </c>
      <c r="B208" s="49">
        <v>203804339</v>
      </c>
      <c r="C208" s="49">
        <v>55283375</v>
      </c>
      <c r="D208" s="49">
        <v>39755737.184183501</v>
      </c>
      <c r="E208" s="50">
        <f>VLOOKUP($A208,'Data shares'!$C:$FA,154)*100</f>
        <v>27.36</v>
      </c>
      <c r="F208" s="173">
        <f>C208/B208</f>
        <v>0.27125710508057438</v>
      </c>
    </row>
    <row r="209" spans="1:6" x14ac:dyDescent="0.25">
      <c r="A209" s="99" t="s">
        <v>304</v>
      </c>
      <c r="B209" s="49">
        <v>255091106</v>
      </c>
      <c r="C209" s="49">
        <v>140783000</v>
      </c>
      <c r="D209" s="49">
        <v>91865082.201686993</v>
      </c>
      <c r="E209" s="50">
        <f>VLOOKUP($A209,'Data shares'!$C:$FA,154)*100</f>
        <v>55.910000000000004</v>
      </c>
      <c r="F209" s="173">
        <f>C209/B209</f>
        <v>0.55189301660717249</v>
      </c>
    </row>
    <row r="210" spans="1:6" x14ac:dyDescent="0.25">
      <c r="A210" s="99" t="s">
        <v>305</v>
      </c>
      <c r="B210" s="49">
        <v>34594689</v>
      </c>
      <c r="C210" s="49">
        <v>16356750</v>
      </c>
      <c r="D210" s="49">
        <v>10860872.9056725</v>
      </c>
      <c r="E210" s="50">
        <f>VLOOKUP($A210,'Data shares'!$C:$FA,154)*100</f>
        <v>47.88</v>
      </c>
      <c r="F210" s="173">
        <f>C210/B210</f>
        <v>0.47281101443056767</v>
      </c>
    </row>
    <row r="211" spans="1:6" x14ac:dyDescent="0.25">
      <c r="A211" s="99" t="s">
        <v>306</v>
      </c>
      <c r="B211" s="49">
        <v>292948819</v>
      </c>
      <c r="C211" s="49">
        <v>200781000</v>
      </c>
      <c r="D211" s="49">
        <v>116086039.81425001</v>
      </c>
      <c r="E211" s="50"/>
      <c r="F211" s="173">
        <f>C211/B211</f>
        <v>0.68537910712655925</v>
      </c>
    </row>
    <row r="212" spans="1:6" x14ac:dyDescent="0.25">
      <c r="A212" s="99" t="s">
        <v>591</v>
      </c>
      <c r="B212" s="49">
        <v>3136562346</v>
      </c>
      <c r="C212" s="49">
        <v>1163513200</v>
      </c>
      <c r="D212" s="49">
        <v>846814428.20043099</v>
      </c>
      <c r="E212" s="50">
        <f>VLOOKUP($A212,'Data shares'!$C:$FA,154)*100</f>
        <v>37.549999999999997</v>
      </c>
      <c r="F212" s="173">
        <f>C212/B212</f>
        <v>0.37095172091312223</v>
      </c>
    </row>
    <row r="213" spans="1:6" x14ac:dyDescent="0.25">
      <c r="A213" s="99" t="s">
        <v>557</v>
      </c>
      <c r="B213" s="49">
        <v>32617803</v>
      </c>
      <c r="C213" s="49">
        <v>11788200</v>
      </c>
      <c r="D213" s="49">
        <v>7787832.7888259999</v>
      </c>
      <c r="E213" s="50">
        <f>VLOOKUP($A213,'Data shares'!$C:$FA,154)*100</f>
        <v>36.65</v>
      </c>
      <c r="F213" s="173">
        <f>C213/B213</f>
        <v>0.36140386279235298</v>
      </c>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3">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P41" sqref="P41"/>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580</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580</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580</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607</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607</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607</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610</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610</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610</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599</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599</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599</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590</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590</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590</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603</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603</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603</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585</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585</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585</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612</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612</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612</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598</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598</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598</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602</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602</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602</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613</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613</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613</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573</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573</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573</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601</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601</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601</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584</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584</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584</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632</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632</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632</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577</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577</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577</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609</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609</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609</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579</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579</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579</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595</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595</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595</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593</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593</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593</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571</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571</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571</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582</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582</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582</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581</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581</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581</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583</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583</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583</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611</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611</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611</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578</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578</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578</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608</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608</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608</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589</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589</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589</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604</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604</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604</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592</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592</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592</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586</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586</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586</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614</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614</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614</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588</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588</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588</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576</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576</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576</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574</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574</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574</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597</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597</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597</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606</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606</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606</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600</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600</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600</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615</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615</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615</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575</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575</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575</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605</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605</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605</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596</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596</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596</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594</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594</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594</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587</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587</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587</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591</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591</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591</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572</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572</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572</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3.1199999999999997</v>
      </c>
      <c r="F6" s="49">
        <f>VLOOKUP($A6,'Data shares'!$C:$FA,129)</f>
        <v>399250</v>
      </c>
      <c r="G6" s="17"/>
    </row>
    <row r="7" spans="1:7" x14ac:dyDescent="0.25">
      <c r="A7" s="101" t="s">
        <v>228</v>
      </c>
      <c r="B7" s="17">
        <v>292206563</v>
      </c>
      <c r="C7" s="17">
        <v>71903525</v>
      </c>
      <c r="D7" s="17">
        <f t="shared" ref="D7:D70" si="0">C7</f>
        <v>71903525</v>
      </c>
      <c r="E7" s="49">
        <f>VLOOKUP($A7,'Data shares'!$C:$FA,128)*100</f>
        <v>1.1299999999999999</v>
      </c>
      <c r="F7" s="49">
        <f>VLOOKUP($A7,'Data shares'!$C:$FA,129)</f>
        <v>679000</v>
      </c>
      <c r="G7" s="17"/>
    </row>
    <row r="8" spans="1:7" x14ac:dyDescent="0.25">
      <c r="A8" s="101" t="s">
        <v>200</v>
      </c>
      <c r="B8" s="17">
        <v>417418754</v>
      </c>
      <c r="C8" s="17">
        <v>109662000</v>
      </c>
      <c r="D8" s="17">
        <f t="shared" si="0"/>
        <v>109662000</v>
      </c>
      <c r="E8" s="49">
        <f>VLOOKUP($A8,'Data shares'!$C:$FA,128)*100</f>
        <v>2.5</v>
      </c>
      <c r="F8" s="49">
        <f>VLOOKUP($A8,'Data shares'!$C:$FA,129)</f>
        <v>1557900</v>
      </c>
      <c r="G8" s="17"/>
    </row>
    <row r="9" spans="1:7" x14ac:dyDescent="0.25">
      <c r="A9" s="101" t="s">
        <v>214</v>
      </c>
      <c r="B9" s="17">
        <v>30110093</v>
      </c>
      <c r="C9" s="17">
        <v>10703050</v>
      </c>
      <c r="D9" s="17">
        <f t="shared" si="0"/>
        <v>10703050</v>
      </c>
      <c r="E9" s="49">
        <f>VLOOKUP($A9,'Data shares'!$C:$FA,128)*100</f>
        <v>1.03</v>
      </c>
      <c r="F9" s="49">
        <f>VLOOKUP($A9,'Data shares'!$C:$FA,129)</f>
        <v>74250</v>
      </c>
      <c r="G9" s="17"/>
    </row>
    <row r="10" spans="1:7" x14ac:dyDescent="0.25">
      <c r="A10" s="101" t="s">
        <v>243</v>
      </c>
      <c r="B10" s="17">
        <v>80699820</v>
      </c>
      <c r="C10" s="17">
        <v>65367500</v>
      </c>
      <c r="D10" s="17">
        <f t="shared" si="0"/>
        <v>65367500</v>
      </c>
      <c r="E10" s="49">
        <f>VLOOKUP($A10,'Data shares'!$C:$FA,128)*100</f>
        <v>1.05</v>
      </c>
      <c r="F10" s="49">
        <f>VLOOKUP($A10,'Data shares'!$C:$FA,129)</f>
        <v>116875</v>
      </c>
      <c r="G10" s="17"/>
    </row>
    <row r="11" spans="1:7" x14ac:dyDescent="0.25">
      <c r="A11" s="101" t="s">
        <v>231</v>
      </c>
      <c r="B11" s="17">
        <v>80556813</v>
      </c>
      <c r="C11" s="17">
        <v>62967200</v>
      </c>
      <c r="D11" s="17">
        <f t="shared" si="0"/>
        <v>62967200</v>
      </c>
      <c r="E11" s="49">
        <f>VLOOKUP($A11,'Data shares'!$C:$FA,128)*100</f>
        <v>3.3000000000000003</v>
      </c>
      <c r="F11" s="49">
        <f>VLOOKUP($A11,'Data shares'!$C:$FA,129)</f>
        <v>838050</v>
      </c>
      <c r="G11" s="17"/>
    </row>
    <row r="12" spans="1:7" x14ac:dyDescent="0.25">
      <c r="A12" s="101" t="s">
        <v>195</v>
      </c>
      <c r="B12" s="17">
        <v>23823080</v>
      </c>
      <c r="C12" s="17">
        <v>2862400</v>
      </c>
      <c r="D12" s="17">
        <f t="shared" si="0"/>
        <v>2862400</v>
      </c>
      <c r="E12" s="49">
        <f>VLOOKUP($A12,'Data shares'!$C:$FA,128)*100</f>
        <v>0.41000000000000003</v>
      </c>
      <c r="F12" s="49">
        <f>VLOOKUP($A12,'Data shares'!$C:$FA,129)</f>
        <v>14500</v>
      </c>
      <c r="G12" s="17"/>
    </row>
    <row r="13" spans="1:7" x14ac:dyDescent="0.25">
      <c r="A13" s="101" t="s">
        <v>304</v>
      </c>
      <c r="B13" s="17">
        <v>223492679</v>
      </c>
      <c r="C13" s="17">
        <v>98465300</v>
      </c>
      <c r="D13" s="17">
        <f t="shared" si="0"/>
        <v>98465300</v>
      </c>
      <c r="E13" s="49">
        <f>VLOOKUP($A13,'Data shares'!$C:$FA,128)*100</f>
        <v>1.48</v>
      </c>
      <c r="F13" s="49">
        <f>VLOOKUP($A13,'Data shares'!$C:$FA,129)</f>
        <v>1307550</v>
      </c>
      <c r="G13" s="17"/>
    </row>
    <row r="14" spans="1:7" x14ac:dyDescent="0.25">
      <c r="A14" s="101" t="s">
        <v>167</v>
      </c>
      <c r="B14" s="17">
        <v>282181803</v>
      </c>
      <c r="C14" s="17">
        <v>95526000</v>
      </c>
      <c r="D14" s="17">
        <f t="shared" si="0"/>
        <v>95526000</v>
      </c>
      <c r="E14" s="49">
        <f>VLOOKUP($A14,'Data shares'!$C:$FA,128)*100</f>
        <v>2.6100000000000003</v>
      </c>
      <c r="F14" s="49">
        <f>VLOOKUP($A14,'Data shares'!$C:$FA,129)</f>
        <v>2825000</v>
      </c>
      <c r="G14" s="17"/>
    </row>
    <row r="15" spans="1:7" x14ac:dyDescent="0.25">
      <c r="A15" s="101" t="s">
        <v>222</v>
      </c>
      <c r="B15" s="17">
        <v>214194964</v>
      </c>
      <c r="C15" s="17">
        <v>37437400</v>
      </c>
      <c r="D15" s="17">
        <f t="shared" si="0"/>
        <v>37437400</v>
      </c>
      <c r="E15" s="49">
        <f>VLOOKUP($A15,'Data shares'!$C:$FA,128)*100</f>
        <v>2.39</v>
      </c>
      <c r="F15" s="49">
        <f>VLOOKUP($A15,'Data shares'!$C:$FA,129)</f>
        <v>483000</v>
      </c>
      <c r="G15" s="17"/>
    </row>
    <row r="16" spans="1:7" x14ac:dyDescent="0.25">
      <c r="A16" s="101" t="s">
        <v>290</v>
      </c>
      <c r="B16" s="17">
        <v>31601465</v>
      </c>
      <c r="C16" s="17">
        <v>13192000</v>
      </c>
      <c r="D16" s="17">
        <f t="shared" si="0"/>
        <v>13192000</v>
      </c>
      <c r="E16" s="49">
        <f>VLOOKUP($A16,'Data shares'!$C:$FA,128)*100</f>
        <v>1.9300000000000002</v>
      </c>
      <c r="F16" s="49">
        <f>VLOOKUP($A16,'Data shares'!$C:$FA,129)</f>
        <v>172000</v>
      </c>
      <c r="G16" s="17"/>
    </row>
    <row r="17" spans="1:7" x14ac:dyDescent="0.25">
      <c r="A17" s="101" t="s">
        <v>500</v>
      </c>
      <c r="B17" s="17">
        <v>24930381</v>
      </c>
      <c r="C17" s="17">
        <v>1925625</v>
      </c>
      <c r="D17" s="17">
        <f t="shared" si="0"/>
        <v>1925625</v>
      </c>
      <c r="E17" s="49">
        <f>VLOOKUP($A17,'Data shares'!$C:$FA,128)*100</f>
        <v>6.77</v>
      </c>
      <c r="F17" s="49">
        <f>VLOOKUP($A17,'Data shares'!$C:$FA,129)</f>
        <v>1606250</v>
      </c>
      <c r="G17" s="17"/>
    </row>
    <row r="18" spans="1:7" x14ac:dyDescent="0.25">
      <c r="A18" s="101" t="s">
        <v>491</v>
      </c>
      <c r="B18" s="17">
        <v>53841317</v>
      </c>
      <c r="C18" s="17">
        <v>9268750</v>
      </c>
      <c r="D18" s="17">
        <f t="shared" si="0"/>
        <v>9268750</v>
      </c>
      <c r="E18" s="49">
        <f>VLOOKUP($A18,'Data shares'!$C:$FA,128)*100</f>
        <v>0.33</v>
      </c>
      <c r="F18" s="49">
        <f>VLOOKUP($A18,'Data shares'!$C:$FA,129)</f>
        <v>44000</v>
      </c>
      <c r="G18" s="17"/>
    </row>
    <row r="19" spans="1:7" x14ac:dyDescent="0.25">
      <c r="A19" s="101" t="s">
        <v>257</v>
      </c>
      <c r="B19" s="17">
        <v>43771086</v>
      </c>
      <c r="C19" s="17">
        <v>2865850</v>
      </c>
      <c r="D19" s="17">
        <f t="shared" si="0"/>
        <v>2865850</v>
      </c>
      <c r="E19" s="49">
        <f>VLOOKUP($A19,'Data shares'!$C:$FA,128)*100</f>
        <v>0.91999999999999993</v>
      </c>
      <c r="F19" s="49">
        <f>VLOOKUP($A19,'Data shares'!$C:$FA,129)</f>
        <v>57600</v>
      </c>
      <c r="G19" s="17"/>
    </row>
    <row r="20" spans="1:7" x14ac:dyDescent="0.25">
      <c r="A20" s="101" t="s">
        <v>259</v>
      </c>
      <c r="B20" s="17">
        <v>12838406</v>
      </c>
      <c r="C20" s="17">
        <v>3561800</v>
      </c>
      <c r="D20" s="17">
        <f t="shared" si="0"/>
        <v>3561800</v>
      </c>
      <c r="E20" s="49">
        <f>VLOOKUP($A20,'Data shares'!$C:$FA,128)*100</f>
        <v>2.9000000000000004</v>
      </c>
      <c r="F20" s="49">
        <f>VLOOKUP($A20,'Data shares'!$C:$FA,129)</f>
        <v>74340</v>
      </c>
      <c r="G20" s="17"/>
    </row>
    <row r="21" spans="1:7" x14ac:dyDescent="0.25">
      <c r="A21" s="101" t="s">
        <v>212</v>
      </c>
      <c r="B21" s="17">
        <v>393764205</v>
      </c>
      <c r="C21" s="17">
        <v>124730000</v>
      </c>
      <c r="D21" s="17">
        <f t="shared" si="0"/>
        <v>124730000</v>
      </c>
      <c r="E21" s="49">
        <f>VLOOKUP($A21,'Data shares'!$C:$FA,128)*100</f>
        <v>2.58</v>
      </c>
      <c r="F21" s="49">
        <f>VLOOKUP($A21,'Data shares'!$C:$FA,129)</f>
        <v>2255000</v>
      </c>
      <c r="G21" s="17"/>
    </row>
    <row r="22" spans="1:7" x14ac:dyDescent="0.25">
      <c r="A22" s="101" t="s">
        <v>209</v>
      </c>
      <c r="B22" s="17">
        <v>27768950</v>
      </c>
      <c r="C22" s="17">
        <v>5371100</v>
      </c>
      <c r="D22" s="17">
        <f t="shared" si="0"/>
        <v>5371100</v>
      </c>
      <c r="E22" s="49">
        <f>VLOOKUP($A22,'Data shares'!$C:$FA,128)*100</f>
        <v>1.68</v>
      </c>
      <c r="F22" s="49">
        <f>VLOOKUP($A22,'Data shares'!$C:$FA,129)</f>
        <v>69650</v>
      </c>
      <c r="G22" s="17"/>
    </row>
    <row r="23" spans="1:7" x14ac:dyDescent="0.25">
      <c r="A23" s="101" t="s">
        <v>501</v>
      </c>
      <c r="B23" s="17">
        <v>155792872</v>
      </c>
      <c r="C23" s="17">
        <v>50166406</v>
      </c>
      <c r="D23" s="17">
        <f t="shared" si="0"/>
        <v>50166406</v>
      </c>
      <c r="E23" s="49">
        <f>VLOOKUP($A23,'Data shares'!$C:$FA,128)*100</f>
        <v>3.6799999999999997</v>
      </c>
      <c r="F23" s="49">
        <f>VLOOKUP($A23,'Data shares'!$C:$FA,129)</f>
        <v>945000</v>
      </c>
      <c r="G23" s="17"/>
    </row>
    <row r="24" spans="1:7" x14ac:dyDescent="0.25">
      <c r="A24" s="101" t="s">
        <v>276</v>
      </c>
      <c r="B24" s="17">
        <v>678857930</v>
      </c>
      <c r="C24" s="17">
        <v>84677374</v>
      </c>
      <c r="D24" s="17">
        <f t="shared" si="0"/>
        <v>84677374</v>
      </c>
      <c r="E24" s="49">
        <f>VLOOKUP($A24,'Data shares'!$C:$FA,128)*100</f>
        <v>3.1300000000000003</v>
      </c>
      <c r="F24" s="49">
        <f>VLOOKUP($A24,'Data shares'!$C:$FA,129)</f>
        <v>2088100</v>
      </c>
      <c r="G24" s="17"/>
    </row>
    <row r="25" spans="1:7" x14ac:dyDescent="0.25">
      <c r="A25" s="101" t="s">
        <v>210</v>
      </c>
      <c r="B25" s="17">
        <v>14114257</v>
      </c>
      <c r="C25" s="17">
        <v>11000000</v>
      </c>
      <c r="D25" s="17">
        <f t="shared" si="0"/>
        <v>11000000</v>
      </c>
      <c r="E25" s="49">
        <f>VLOOKUP($A25,'Data shares'!$C:$FA,128)*100</f>
        <v>1.68</v>
      </c>
      <c r="F25" s="49">
        <f>VLOOKUP($A25,'Data shares'!$C:$FA,129)</f>
        <v>69650</v>
      </c>
      <c r="G25" s="17"/>
    </row>
    <row r="26" spans="1:7" x14ac:dyDescent="0.25">
      <c r="A26" s="101" t="s">
        <v>267</v>
      </c>
      <c r="B26" s="17">
        <v>229794455</v>
      </c>
      <c r="C26" s="17">
        <v>133289800</v>
      </c>
      <c r="D26" s="17">
        <f t="shared" si="0"/>
        <v>133289800</v>
      </c>
      <c r="E26" s="49">
        <f>VLOOKUP($A26,'Data shares'!$C:$FA,128)*100</f>
        <v>2.1999999999999997</v>
      </c>
      <c r="F26" s="49">
        <f>VLOOKUP($A26,'Data shares'!$C:$FA,129)</f>
        <v>5265000</v>
      </c>
      <c r="G26" s="17"/>
    </row>
    <row r="27" spans="1:7" x14ac:dyDescent="0.25">
      <c r="A27" s="101" t="s">
        <v>533</v>
      </c>
      <c r="B27" s="17">
        <v>61337685</v>
      </c>
      <c r="C27" s="17">
        <v>24741600</v>
      </c>
      <c r="D27" s="17">
        <f t="shared" si="0"/>
        <v>24741600</v>
      </c>
      <c r="E27" s="49">
        <f>VLOOKUP($A27,'Data shares'!$C:$FA,128)*100</f>
        <v>3.5900000000000003</v>
      </c>
      <c r="F27" s="49">
        <f>VLOOKUP($A27,'Data shares'!$C:$FA,129)</f>
        <v>287525</v>
      </c>
      <c r="G27" s="17"/>
    </row>
    <row r="28" spans="1:7" x14ac:dyDescent="0.25">
      <c r="A28" s="101" t="s">
        <v>502</v>
      </c>
      <c r="B28" s="17">
        <v>5165920</v>
      </c>
      <c r="C28" s="17">
        <v>1179400</v>
      </c>
      <c r="D28" s="17">
        <f t="shared" si="0"/>
        <v>1179400</v>
      </c>
      <c r="E28" s="49">
        <f>VLOOKUP($A28,'Data shares'!$C:$FA,128)*100</f>
        <v>2.33</v>
      </c>
      <c r="F28" s="49">
        <f>VLOOKUP($A28,'Data shares'!$C:$FA,129)</f>
        <v>53375</v>
      </c>
      <c r="G28" s="17"/>
    </row>
    <row r="29" spans="1:7" x14ac:dyDescent="0.25">
      <c r="A29" s="101" t="s">
        <v>474</v>
      </c>
      <c r="B29" s="17">
        <v>7339737</v>
      </c>
      <c r="C29" s="17">
        <v>979625</v>
      </c>
      <c r="D29" s="17">
        <f t="shared" si="0"/>
        <v>979625</v>
      </c>
      <c r="E29" s="49">
        <f>VLOOKUP($A29,'Data shares'!$C:$FA,128)*100</f>
        <v>5.83</v>
      </c>
      <c r="F29" s="49">
        <f>VLOOKUP($A29,'Data shares'!$C:$FA,129)</f>
        <v>242000</v>
      </c>
      <c r="G29" s="17"/>
    </row>
    <row r="30" spans="1:7" x14ac:dyDescent="0.25">
      <c r="A30" s="101" t="s">
        <v>158</v>
      </c>
      <c r="B30" s="17">
        <v>17078428</v>
      </c>
      <c r="C30" s="17">
        <v>3648750</v>
      </c>
      <c r="D30" s="17">
        <f t="shared" si="0"/>
        <v>3648750</v>
      </c>
      <c r="E30" s="49">
        <f>VLOOKUP($A30,'Data shares'!$C:$FA,128)*100</f>
        <v>2.11</v>
      </c>
      <c r="F30" s="49">
        <f>VLOOKUP($A30,'Data shares'!$C:$FA,129)</f>
        <v>1227600</v>
      </c>
      <c r="G30" s="17"/>
    </row>
    <row r="31" spans="1:7" x14ac:dyDescent="0.25">
      <c r="A31" s="101" t="s">
        <v>268</v>
      </c>
      <c r="B31" s="17">
        <v>948263976</v>
      </c>
      <c r="C31" s="17">
        <v>170042400</v>
      </c>
      <c r="D31" s="17">
        <f t="shared" si="0"/>
        <v>170042400</v>
      </c>
      <c r="E31" s="49">
        <f>VLOOKUP($A31,'Data shares'!$C:$FA,128)*100</f>
        <v>2.27</v>
      </c>
      <c r="F31" s="49">
        <f>VLOOKUP($A31,'Data shares'!$C:$FA,129)</f>
        <v>1923000</v>
      </c>
      <c r="G31" s="17"/>
    </row>
    <row r="32" spans="1:7" x14ac:dyDescent="0.25">
      <c r="A32" s="101" t="s">
        <v>557</v>
      </c>
      <c r="B32" s="17">
        <v>51441633</v>
      </c>
      <c r="C32" s="17">
        <v>26329600</v>
      </c>
      <c r="D32" s="17">
        <f t="shared" si="0"/>
        <v>26329600</v>
      </c>
      <c r="E32" s="49">
        <f>VLOOKUP($A32,'Data shares'!$C:$FA,128)*100</f>
        <v>1.48</v>
      </c>
      <c r="F32" s="49">
        <f>VLOOKUP($A32,'Data shares'!$C:$FA,129)</f>
        <v>124200</v>
      </c>
      <c r="G32" s="17"/>
    </row>
    <row r="33" spans="1:7" x14ac:dyDescent="0.25">
      <c r="A33" s="101" t="s">
        <v>549</v>
      </c>
      <c r="B33" s="17">
        <v>319287188</v>
      </c>
      <c r="C33" s="17">
        <v>149780000</v>
      </c>
      <c r="D33" s="17">
        <f t="shared" si="0"/>
        <v>149780000</v>
      </c>
      <c r="E33" s="49">
        <f>VLOOKUP($A33,'Data shares'!$C:$FA,128)*100</f>
        <v>4.82</v>
      </c>
      <c r="F33" s="49">
        <f>VLOOKUP($A33,'Data shares'!$C:$FA,129)</f>
        <v>255666075</v>
      </c>
      <c r="G33" s="17"/>
    </row>
    <row r="34" spans="1:7" x14ac:dyDescent="0.25">
      <c r="A34" s="101" t="s">
        <v>536</v>
      </c>
      <c r="B34" s="17">
        <v>57585215</v>
      </c>
      <c r="C34" s="17">
        <v>5314000</v>
      </c>
      <c r="D34" s="17">
        <f t="shared" si="0"/>
        <v>5314000</v>
      </c>
      <c r="E34" s="49">
        <f>VLOOKUP($A34,'Data shares'!$C:$FA,128)*100</f>
        <v>7.0000000000000009</v>
      </c>
      <c r="F34" s="49">
        <f>VLOOKUP($A34,'Data shares'!$C:$FA,129)</f>
        <v>902400</v>
      </c>
      <c r="G34" s="17"/>
    </row>
    <row r="35" spans="1:7" x14ac:dyDescent="0.25">
      <c r="A35" s="101" t="s">
        <v>270</v>
      </c>
      <c r="B35" s="17">
        <v>1178038</v>
      </c>
      <c r="C35" s="17">
        <v>100890</v>
      </c>
      <c r="D35" s="17">
        <f t="shared" si="0"/>
        <v>100890</v>
      </c>
      <c r="E35" s="49">
        <f>VLOOKUP($A35,'Data shares'!$C:$FA,128)*100</f>
        <v>2.62</v>
      </c>
      <c r="F35" s="49">
        <f>VLOOKUP($A35,'Data shares'!$C:$FA,129)</f>
        <v>5175</v>
      </c>
      <c r="G35" s="17"/>
    </row>
    <row r="36" spans="1:7" x14ac:dyDescent="0.25">
      <c r="A36" s="101" t="s">
        <v>258</v>
      </c>
      <c r="B36" s="17">
        <v>13335005</v>
      </c>
      <c r="C36" s="17">
        <v>5970600</v>
      </c>
      <c r="D36" s="17">
        <f t="shared" si="0"/>
        <v>5970600</v>
      </c>
      <c r="E36" s="49">
        <f>VLOOKUP($A36,'Data shares'!$C:$FA,128)*100</f>
        <v>0.91999999999999993</v>
      </c>
      <c r="F36" s="49">
        <f>VLOOKUP($A36,'Data shares'!$C:$FA,129)</f>
        <v>57600</v>
      </c>
      <c r="G36" s="17"/>
    </row>
    <row r="37" spans="1:7" x14ac:dyDescent="0.25">
      <c r="A37" s="101" t="s">
        <v>301</v>
      </c>
      <c r="B37" s="17">
        <v>14428803</v>
      </c>
      <c r="C37" s="17">
        <v>2171400</v>
      </c>
      <c r="D37" s="17">
        <f t="shared" si="0"/>
        <v>2171400</v>
      </c>
      <c r="E37" s="49">
        <f>VLOOKUP($A37,'Data shares'!$C:$FA,128)*100</f>
        <v>1.0999999999999999</v>
      </c>
      <c r="F37" s="49">
        <f>VLOOKUP($A37,'Data shares'!$C:$FA,129)</f>
        <v>95550</v>
      </c>
      <c r="G37" s="17"/>
    </row>
    <row r="38" spans="1:7" x14ac:dyDescent="0.25">
      <c r="A38" s="101" t="s">
        <v>283</v>
      </c>
      <c r="B38" s="17">
        <v>747713393</v>
      </c>
      <c r="C38" s="17">
        <v>158166000</v>
      </c>
      <c r="D38" s="17">
        <f t="shared" si="0"/>
        <v>158166000</v>
      </c>
      <c r="E38" s="49">
        <f>VLOOKUP($A38,'Data shares'!$C:$FA,128)*100</f>
        <v>1.8900000000000001</v>
      </c>
      <c r="F38" s="49">
        <f>VLOOKUP($A38,'Data shares'!$C:$FA,129)</f>
        <v>1736250</v>
      </c>
      <c r="G38" s="17"/>
    </row>
    <row r="39" spans="1:7" x14ac:dyDescent="0.25">
      <c r="A39" s="101" t="s">
        <v>281</v>
      </c>
      <c r="B39" s="17">
        <v>648405756</v>
      </c>
      <c r="C39" s="17">
        <v>61815500</v>
      </c>
      <c r="D39" s="17">
        <f t="shared" si="0"/>
        <v>61815500</v>
      </c>
      <c r="E39" s="49">
        <f>VLOOKUP($A39,'Data shares'!$C:$FA,128)*100</f>
        <v>4.78</v>
      </c>
      <c r="F39" s="49">
        <f>VLOOKUP($A39,'Data shares'!$C:$FA,129)</f>
        <v>5227000</v>
      </c>
      <c r="G39" s="17"/>
    </row>
    <row r="40" spans="1:7" x14ac:dyDescent="0.25">
      <c r="A40" s="101" t="s">
        <v>198</v>
      </c>
      <c r="B40" s="17">
        <v>79546680</v>
      </c>
      <c r="C40" s="17">
        <v>13283750</v>
      </c>
      <c r="D40" s="17">
        <f t="shared" si="0"/>
        <v>13283750</v>
      </c>
      <c r="E40" s="49">
        <f>VLOOKUP($A40,'Data shares'!$C:$FA,128)*100</f>
        <v>1.34</v>
      </c>
      <c r="F40" s="49">
        <f>VLOOKUP($A40,'Data shares'!$C:$FA,129)</f>
        <v>194375</v>
      </c>
      <c r="G40" s="17"/>
    </row>
    <row r="41" spans="1:7" x14ac:dyDescent="0.25">
      <c r="A41" s="101" t="s">
        <v>299</v>
      </c>
      <c r="B41" s="17">
        <v>44634693</v>
      </c>
      <c r="C41" s="17">
        <v>3805500</v>
      </c>
      <c r="D41" s="17">
        <f t="shared" si="0"/>
        <v>3805500</v>
      </c>
      <c r="E41" s="49">
        <f>VLOOKUP($A41,'Data shares'!$C:$FA,128)*100</f>
        <v>2.23</v>
      </c>
      <c r="F41" s="49">
        <f>VLOOKUP($A41,'Data shares'!$C:$FA,129)</f>
        <v>71250</v>
      </c>
      <c r="G41" s="17"/>
    </row>
    <row r="42" spans="1:7" x14ac:dyDescent="0.25">
      <c r="A42" s="101" t="s">
        <v>273</v>
      </c>
      <c r="B42" s="17">
        <v>232357926</v>
      </c>
      <c r="C42" s="17">
        <v>67053000</v>
      </c>
      <c r="D42" s="17">
        <f t="shared" si="0"/>
        <v>67053000</v>
      </c>
      <c r="E42" s="49">
        <f>VLOOKUP($A42,'Data shares'!$C:$FA,128)*100</f>
        <v>5.99</v>
      </c>
      <c r="F42" s="49">
        <f>VLOOKUP($A42,'Data shares'!$C:$FA,129)</f>
        <v>2769000</v>
      </c>
      <c r="G42" s="17"/>
    </row>
    <row r="43" spans="1:7" x14ac:dyDescent="0.25">
      <c r="A43" s="101" t="s">
        <v>207</v>
      </c>
      <c r="B43" s="17">
        <v>124016568</v>
      </c>
      <c r="C43" s="17">
        <v>57530550</v>
      </c>
      <c r="D43" s="17">
        <f t="shared" si="0"/>
        <v>57530550</v>
      </c>
      <c r="E43" s="49">
        <f>VLOOKUP($A43,'Data shares'!$C:$FA,128)*100</f>
        <v>3</v>
      </c>
      <c r="F43" s="49">
        <f>VLOOKUP($A43,'Data shares'!$C:$FA,129)</f>
        <v>1269675</v>
      </c>
      <c r="G43" s="17"/>
    </row>
    <row r="44" spans="1:7" x14ac:dyDescent="0.25">
      <c r="A44" s="101" t="s">
        <v>191</v>
      </c>
      <c r="B44" s="17">
        <v>92946457</v>
      </c>
      <c r="C44" s="17">
        <v>36478000</v>
      </c>
      <c r="D44" s="17">
        <f t="shared" si="0"/>
        <v>36478000</v>
      </c>
      <c r="E44" s="49">
        <f>VLOOKUP($A44,'Data shares'!$C:$FA,128)*100</f>
        <v>2.02</v>
      </c>
      <c r="F44" s="49">
        <f>VLOOKUP($A44,'Data shares'!$C:$FA,129)</f>
        <v>640000</v>
      </c>
      <c r="G44" s="17"/>
    </row>
    <row r="45" spans="1:7" x14ac:dyDescent="0.25">
      <c r="A45" s="101" t="s">
        <v>288</v>
      </c>
      <c r="B45" s="17">
        <v>218440087</v>
      </c>
      <c r="C45" s="17">
        <v>44080400</v>
      </c>
      <c r="D45" s="17">
        <f t="shared" si="0"/>
        <v>44080400</v>
      </c>
      <c r="E45" s="49">
        <f>VLOOKUP($A45,'Data shares'!$C:$FA,128)*100</f>
        <v>1.01</v>
      </c>
      <c r="F45" s="49">
        <f>VLOOKUP($A45,'Data shares'!$C:$FA,129)</f>
        <v>160650</v>
      </c>
      <c r="G45" s="17"/>
    </row>
    <row r="46" spans="1:7" x14ac:dyDescent="0.25">
      <c r="A46" s="101" t="s">
        <v>275</v>
      </c>
      <c r="B46" s="17">
        <v>591377974</v>
      </c>
      <c r="C46" s="17">
        <v>493488000</v>
      </c>
      <c r="D46" s="17">
        <f t="shared" si="0"/>
        <v>493488000</v>
      </c>
      <c r="E46" s="49">
        <f>VLOOKUP($A46,'Data shares'!$C:$FA,128)*100</f>
        <v>3.7800000000000002</v>
      </c>
      <c r="F46" s="49">
        <f>VLOOKUP($A46,'Data shares'!$C:$FA,129)</f>
        <v>8624000</v>
      </c>
      <c r="G46" s="17"/>
    </row>
    <row r="47" spans="1:7" x14ac:dyDescent="0.25">
      <c r="A47" s="101" t="s">
        <v>277</v>
      </c>
      <c r="B47" s="17">
        <v>10116165</v>
      </c>
      <c r="C47" s="17">
        <v>7378910</v>
      </c>
      <c r="D47" s="17">
        <f t="shared" si="0"/>
        <v>7378910</v>
      </c>
      <c r="E47" s="49">
        <f>VLOOKUP($A47,'Data shares'!$C:$FA,128)*100</f>
        <v>1.1599999999999999</v>
      </c>
      <c r="F47" s="49">
        <f>VLOOKUP($A47,'Data shares'!$C:$FA,129)</f>
        <v>41850</v>
      </c>
      <c r="G47" s="17"/>
    </row>
    <row r="48" spans="1:7" x14ac:dyDescent="0.25">
      <c r="A48" s="101" t="s">
        <v>196</v>
      </c>
      <c r="B48" s="17">
        <v>134484114</v>
      </c>
      <c r="C48" s="17">
        <v>73278000</v>
      </c>
      <c r="D48" s="17">
        <f t="shared" si="0"/>
        <v>73278000</v>
      </c>
      <c r="E48" s="49">
        <f>VLOOKUP($A48,'Data shares'!$C:$FA,128)*100</f>
        <v>2.17</v>
      </c>
      <c r="F48" s="49">
        <f>VLOOKUP($A48,'Data shares'!$C:$FA,129)</f>
        <v>5541750</v>
      </c>
      <c r="G48" s="17"/>
    </row>
    <row r="49" spans="1:7" x14ac:dyDescent="0.25">
      <c r="A49" s="101" t="s">
        <v>287</v>
      </c>
      <c r="B49" s="17">
        <v>40005132</v>
      </c>
      <c r="C49" s="17">
        <v>6264400</v>
      </c>
      <c r="D49" s="17">
        <f t="shared" si="0"/>
        <v>6264400</v>
      </c>
      <c r="E49" s="49">
        <f>VLOOKUP($A49,'Data shares'!$C:$FA,128)*100</f>
        <v>1.24</v>
      </c>
      <c r="F49" s="49">
        <f>VLOOKUP($A49,'Data shares'!$C:$FA,129)</f>
        <v>34800</v>
      </c>
      <c r="G49" s="17"/>
    </row>
    <row r="50" spans="1:7" x14ac:dyDescent="0.25">
      <c r="A50" s="101" t="s">
        <v>553</v>
      </c>
      <c r="B50" s="17">
        <v>10595418</v>
      </c>
      <c r="C50" s="17">
        <v>250250</v>
      </c>
      <c r="D50" s="17">
        <f t="shared" si="0"/>
        <v>250250</v>
      </c>
      <c r="E50" s="49">
        <f>VLOOKUP($A50,'Data shares'!$C:$FA,128)*100</f>
        <v>2.54</v>
      </c>
      <c r="F50" s="49">
        <f>VLOOKUP($A50,'Data shares'!$C:$FA,129)</f>
        <v>58500</v>
      </c>
      <c r="G50" s="17"/>
    </row>
    <row r="51" spans="1:7" x14ac:dyDescent="0.25">
      <c r="A51" s="101" t="s">
        <v>519</v>
      </c>
      <c r="B51" s="17">
        <v>9516271</v>
      </c>
      <c r="C51" s="17">
        <v>1000800</v>
      </c>
      <c r="D51" s="17">
        <f t="shared" si="0"/>
        <v>1000800</v>
      </c>
      <c r="E51" s="49">
        <f>VLOOKUP($A51,'Data shares'!$C:$FA,128)*100</f>
        <v>1.72</v>
      </c>
      <c r="F51" s="49">
        <f>VLOOKUP($A51,'Data shares'!$C:$FA,129)</f>
        <v>26750</v>
      </c>
      <c r="G51" s="17"/>
    </row>
    <row r="52" spans="1:7" x14ac:dyDescent="0.25">
      <c r="A52" s="101" t="s">
        <v>550</v>
      </c>
      <c r="B52" s="17">
        <v>137684181</v>
      </c>
      <c r="C52" s="17">
        <v>42696000</v>
      </c>
      <c r="D52" s="17">
        <f t="shared" si="0"/>
        <v>42696000</v>
      </c>
      <c r="E52" s="49">
        <f>VLOOKUP($A52,'Data shares'!$C:$FA,128)*100</f>
        <v>2.69</v>
      </c>
      <c r="F52" s="49">
        <f>VLOOKUP($A52,'Data shares'!$C:$FA,129)</f>
        <v>1300000</v>
      </c>
      <c r="G52" s="17"/>
    </row>
    <row r="53" spans="1:7" x14ac:dyDescent="0.25">
      <c r="A53" s="101" t="s">
        <v>284</v>
      </c>
      <c r="B53" s="17">
        <v>2702190</v>
      </c>
      <c r="C53" s="17">
        <v>250575</v>
      </c>
      <c r="D53" s="17">
        <f t="shared" si="0"/>
        <v>250575</v>
      </c>
      <c r="E53" s="49">
        <f>VLOOKUP($A53,'Data shares'!$C:$FA,128)*100</f>
        <v>0.67999999999999994</v>
      </c>
      <c r="F53" s="49">
        <f>VLOOKUP($A53,'Data shares'!$C:$FA,129)</f>
        <v>1425</v>
      </c>
      <c r="G53" s="17"/>
    </row>
    <row r="54" spans="1:7" x14ac:dyDescent="0.25">
      <c r="A54" s="101" t="s">
        <v>488</v>
      </c>
      <c r="B54" s="17">
        <v>5499709</v>
      </c>
      <c r="C54" s="17">
        <v>1097600</v>
      </c>
      <c r="D54" s="17">
        <f t="shared" si="0"/>
        <v>1097600</v>
      </c>
      <c r="E54" s="49">
        <f>VLOOKUP($A54,'Data shares'!$C:$FA,128)*100</f>
        <v>2.04</v>
      </c>
      <c r="F54" s="49">
        <f>VLOOKUP($A54,'Data shares'!$C:$FA,129)</f>
        <v>53400</v>
      </c>
      <c r="G54" s="17"/>
    </row>
    <row r="55" spans="1:7" x14ac:dyDescent="0.25">
      <c r="A55" s="101" t="s">
        <v>523</v>
      </c>
      <c r="B55" s="17">
        <v>118085392</v>
      </c>
      <c r="C55" s="17">
        <v>6549400</v>
      </c>
      <c r="D55" s="17">
        <f t="shared" si="0"/>
        <v>6549400</v>
      </c>
      <c r="E55" s="49">
        <f>VLOOKUP($A55,'Data shares'!$C:$FA,128)*100</f>
        <v>4.22</v>
      </c>
      <c r="F55" s="49">
        <f>VLOOKUP($A55,'Data shares'!$C:$FA,129)</f>
        <v>1576800</v>
      </c>
      <c r="G55" s="17"/>
    </row>
    <row r="56" spans="1:7" x14ac:dyDescent="0.25">
      <c r="A56" s="101" t="s">
        <v>485</v>
      </c>
      <c r="B56" s="17">
        <v>6917069</v>
      </c>
      <c r="C56" s="17">
        <v>762075</v>
      </c>
      <c r="D56" s="17">
        <f t="shared" si="0"/>
        <v>762075</v>
      </c>
      <c r="E56" s="49">
        <f>VLOOKUP($A56,'Data shares'!$C:$FA,128)*100</f>
        <v>0.70000000000000007</v>
      </c>
      <c r="F56" s="49">
        <f>VLOOKUP($A56,'Data shares'!$C:$FA,129)</f>
        <v>70125</v>
      </c>
      <c r="G56" s="17"/>
    </row>
    <row r="57" spans="1:7" x14ac:dyDescent="0.25">
      <c r="A57" s="101" t="s">
        <v>178</v>
      </c>
      <c r="B57" s="17">
        <v>16125398</v>
      </c>
      <c r="C57" s="17">
        <v>1552600</v>
      </c>
      <c r="D57" s="17">
        <f t="shared" si="0"/>
        <v>1552600</v>
      </c>
      <c r="E57" s="49">
        <f>VLOOKUP($A57,'Data shares'!$C:$FA,128)*100</f>
        <v>1.06</v>
      </c>
      <c r="F57" s="49">
        <f>VLOOKUP($A57,'Data shares'!$C:$FA,129)</f>
        <v>924000</v>
      </c>
      <c r="G57" s="17"/>
    </row>
    <row r="58" spans="1:7" x14ac:dyDescent="0.25">
      <c r="A58" s="101" t="s">
        <v>240</v>
      </c>
      <c r="B58" s="17">
        <v>727896180</v>
      </c>
      <c r="C58" s="17">
        <v>46526100</v>
      </c>
      <c r="D58" s="17">
        <f t="shared" si="0"/>
        <v>46526100</v>
      </c>
      <c r="E58" s="49">
        <f>VLOOKUP($A58,'Data shares'!$C:$FA,128)*100</f>
        <v>32.28</v>
      </c>
      <c r="F58" s="49">
        <f>VLOOKUP($A58,'Data shares'!$C:$FA,129)</f>
        <v>19634800</v>
      </c>
      <c r="G58" s="17"/>
    </row>
    <row r="59" spans="1:7" x14ac:dyDescent="0.25">
      <c r="A59" s="101" t="s">
        <v>202</v>
      </c>
      <c r="B59" s="17">
        <v>55081874</v>
      </c>
      <c r="C59" s="17">
        <v>10856000</v>
      </c>
      <c r="D59" s="17">
        <f t="shared" si="0"/>
        <v>10856000</v>
      </c>
      <c r="E59" s="49">
        <f>VLOOKUP($A59,'Data shares'!$C:$FA,128)*100</f>
        <v>6.77</v>
      </c>
      <c r="F59" s="49">
        <f>VLOOKUP($A59,'Data shares'!$C:$FA,129)</f>
        <v>1606250</v>
      </c>
      <c r="G59" s="17"/>
    </row>
    <row r="60" spans="1:7" x14ac:dyDescent="0.25">
      <c r="A60" s="101" t="s">
        <v>245</v>
      </c>
      <c r="B60" s="17">
        <v>15273675</v>
      </c>
      <c r="C60" s="17">
        <v>5077125</v>
      </c>
      <c r="D60" s="17">
        <f t="shared" si="0"/>
        <v>5077125</v>
      </c>
      <c r="E60" s="49">
        <f>VLOOKUP($A60,'Data shares'!$C:$FA,128)*100</f>
        <v>1.54</v>
      </c>
      <c r="F60" s="49">
        <f>VLOOKUP($A60,'Data shares'!$C:$FA,129)</f>
        <v>271250</v>
      </c>
      <c r="G60" s="17"/>
    </row>
    <row r="61" spans="1:7" x14ac:dyDescent="0.25">
      <c r="A61" s="101" t="s">
        <v>173</v>
      </c>
      <c r="B61" s="17">
        <v>541823383</v>
      </c>
      <c r="C61" s="17">
        <v>95378400</v>
      </c>
      <c r="D61" s="17">
        <f t="shared" si="0"/>
        <v>95378400</v>
      </c>
      <c r="E61" s="49">
        <f>VLOOKUP($A61,'Data shares'!$C:$FA,128)*100</f>
        <v>1.4000000000000001</v>
      </c>
      <c r="F61" s="49">
        <f>VLOOKUP($A61,'Data shares'!$C:$FA,129)</f>
        <v>1023750</v>
      </c>
      <c r="G61" s="17"/>
    </row>
    <row r="62" spans="1:7" x14ac:dyDescent="0.25">
      <c r="A62" s="101" t="s">
        <v>234</v>
      </c>
      <c r="B62" s="17">
        <v>1606294231</v>
      </c>
      <c r="C62" s="17">
        <v>1302000000</v>
      </c>
      <c r="D62" s="17">
        <f t="shared" si="0"/>
        <v>1302000000</v>
      </c>
      <c r="E62" s="49">
        <f>VLOOKUP($A62,'Data shares'!$C:$FA,128)*100</f>
        <v>4.82</v>
      </c>
      <c r="F62" s="49">
        <f>VLOOKUP($A62,'Data shares'!$C:$FA,129)</f>
        <v>255666075</v>
      </c>
      <c r="G62" s="17"/>
    </row>
    <row r="63" spans="1:7" x14ac:dyDescent="0.25">
      <c r="A63" s="101" t="s">
        <v>235</v>
      </c>
      <c r="B63" s="17">
        <v>789260827</v>
      </c>
      <c r="C63" s="17">
        <v>462303900</v>
      </c>
      <c r="D63" s="17">
        <f t="shared" si="0"/>
        <v>462303900</v>
      </c>
      <c r="E63" s="49">
        <f>VLOOKUP($A63,'Data shares'!$C:$FA,128)*100</f>
        <v>5.1499999999999995</v>
      </c>
      <c r="F63" s="49">
        <f>VLOOKUP($A63,'Data shares'!$C:$FA,129)</f>
        <v>20989325</v>
      </c>
      <c r="G63" s="17"/>
    </row>
    <row r="64" spans="1:7" x14ac:dyDescent="0.25">
      <c r="A64" s="101" t="s">
        <v>482</v>
      </c>
      <c r="B64" s="17">
        <v>44785930</v>
      </c>
      <c r="C64" s="17">
        <v>4025925</v>
      </c>
      <c r="D64" s="17">
        <f t="shared" si="0"/>
        <v>4025925</v>
      </c>
      <c r="E64" s="49">
        <f>VLOOKUP($A64,'Data shares'!$C:$FA,128)*100</f>
        <v>4.2799999999999994</v>
      </c>
      <c r="F64" s="49">
        <f>VLOOKUP($A64,'Data shares'!$C:$FA,129)</f>
        <v>333700</v>
      </c>
      <c r="G64" s="17"/>
    </row>
    <row r="65" spans="1:7" x14ac:dyDescent="0.25">
      <c r="A65" s="101" t="s">
        <v>475</v>
      </c>
      <c r="B65" s="17">
        <v>13287700</v>
      </c>
      <c r="C65" s="17">
        <v>3968400</v>
      </c>
      <c r="D65" s="17">
        <f t="shared" si="0"/>
        <v>3968400</v>
      </c>
      <c r="E65" s="49">
        <f>VLOOKUP($A65,'Data shares'!$C:$FA,128)*100</f>
        <v>1.37</v>
      </c>
      <c r="F65" s="49">
        <f>VLOOKUP($A65,'Data shares'!$C:$FA,129)</f>
        <v>16500</v>
      </c>
      <c r="G65" s="17"/>
    </row>
    <row r="66" spans="1:7" x14ac:dyDescent="0.25">
      <c r="A66" s="101" t="s">
        <v>306</v>
      </c>
      <c r="B66" s="17">
        <v>292716179</v>
      </c>
      <c r="C66" s="17">
        <v>57797600</v>
      </c>
      <c r="D66" s="17">
        <f t="shared" si="0"/>
        <v>57797600</v>
      </c>
      <c r="E66" s="49">
        <f>VLOOKUP($A66,'Data shares'!$C:$FA,128)*100</f>
        <v>4.17</v>
      </c>
      <c r="F66" s="49">
        <f>VLOOKUP($A66,'Data shares'!$C:$FA,129)</f>
        <v>5331000</v>
      </c>
      <c r="G66" s="17"/>
    </row>
    <row r="67" spans="1:7" x14ac:dyDescent="0.25">
      <c r="A67" s="101" t="s">
        <v>262</v>
      </c>
      <c r="B67" s="17">
        <v>21376133</v>
      </c>
      <c r="C67" s="17">
        <v>5958375</v>
      </c>
      <c r="D67" s="17">
        <f t="shared" si="0"/>
        <v>5958375</v>
      </c>
      <c r="E67" s="49">
        <f>VLOOKUP($A67,'Data shares'!$C:$FA,128)*100</f>
        <v>4.0199999999999996</v>
      </c>
      <c r="F67" s="49">
        <f>VLOOKUP($A67,'Data shares'!$C:$FA,129)</f>
        <v>66550</v>
      </c>
      <c r="G67" s="17"/>
    </row>
    <row r="68" spans="1:7" x14ac:dyDescent="0.25">
      <c r="A68" s="101" t="s">
        <v>174</v>
      </c>
      <c r="B68" s="17">
        <v>26775498</v>
      </c>
      <c r="C68" s="17">
        <v>3494750</v>
      </c>
      <c r="D68" s="17">
        <f t="shared" si="0"/>
        <v>3494750</v>
      </c>
      <c r="E68" s="49">
        <f>VLOOKUP($A68,'Data shares'!$C:$FA,128)*100</f>
        <v>2.2399999999999998</v>
      </c>
      <c r="F68" s="49">
        <f>VLOOKUP($A68,'Data shares'!$C:$FA,129)</f>
        <v>70200</v>
      </c>
      <c r="G68" s="17"/>
    </row>
    <row r="69" spans="1:7" x14ac:dyDescent="0.25">
      <c r="A69" s="101" t="s">
        <v>286</v>
      </c>
      <c r="B69" s="17">
        <v>29168705</v>
      </c>
      <c r="C69" s="17">
        <v>6373125</v>
      </c>
      <c r="D69" s="17">
        <f t="shared" si="0"/>
        <v>6373125</v>
      </c>
      <c r="E69" s="49">
        <f>VLOOKUP($A69,'Data shares'!$C:$FA,128)*100</f>
        <v>1.24</v>
      </c>
      <c r="F69" s="49">
        <f>VLOOKUP($A69,'Data shares'!$C:$FA,129)</f>
        <v>34800</v>
      </c>
      <c r="G69" s="17"/>
    </row>
    <row r="70" spans="1:7" x14ac:dyDescent="0.25">
      <c r="A70" s="101" t="s">
        <v>297</v>
      </c>
      <c r="B70" s="17">
        <v>83636848</v>
      </c>
      <c r="C70" s="17">
        <v>13455750</v>
      </c>
      <c r="D70" s="17">
        <f t="shared" si="0"/>
        <v>13455750</v>
      </c>
      <c r="E70" s="49">
        <f>VLOOKUP($A70,'Data shares'!$C:$FA,128)*100</f>
        <v>1.54</v>
      </c>
      <c r="F70" s="49">
        <f>VLOOKUP($A70,'Data shares'!$C:$FA,129)</f>
        <v>166775</v>
      </c>
      <c r="G70" s="17"/>
    </row>
    <row r="71" spans="1:7" x14ac:dyDescent="0.25">
      <c r="A71" s="101" t="s">
        <v>302</v>
      </c>
      <c r="B71" s="17">
        <v>23058222</v>
      </c>
      <c r="C71" s="17">
        <v>3980500</v>
      </c>
      <c r="D71" s="17">
        <f t="shared" ref="D71:D134" si="1">C71</f>
        <v>3980500</v>
      </c>
      <c r="E71" s="49">
        <f>VLOOKUP($A71,'Data shares'!$C:$FA,128)*100</f>
        <v>0.75</v>
      </c>
      <c r="F71" s="49">
        <f>VLOOKUP($A71,'Data shares'!$C:$FA,129)</f>
        <v>18350</v>
      </c>
      <c r="G71" s="17"/>
    </row>
    <row r="72" spans="1:7" x14ac:dyDescent="0.25">
      <c r="A72" s="101" t="s">
        <v>307</v>
      </c>
      <c r="B72" s="17">
        <v>184439886</v>
      </c>
      <c r="C72" s="17">
        <v>122460000</v>
      </c>
      <c r="D72" s="17">
        <f t="shared" si="1"/>
        <v>122460000</v>
      </c>
      <c r="E72" s="49">
        <f>VLOOKUP($A72,'Data shares'!$C:$FA,128)*100</f>
        <v>7.21</v>
      </c>
      <c r="F72" s="49">
        <f>VLOOKUP($A72,'Data shares'!$C:$FA,129)</f>
        <v>57348400</v>
      </c>
      <c r="G72" s="17"/>
    </row>
    <row r="73" spans="1:7" x14ac:dyDescent="0.25">
      <c r="A73" s="101" t="s">
        <v>177</v>
      </c>
      <c r="B73" s="17">
        <v>52956314</v>
      </c>
      <c r="C73" s="17">
        <v>7784625</v>
      </c>
      <c r="D73" s="17">
        <f t="shared" si="1"/>
        <v>7784625</v>
      </c>
      <c r="E73" s="49">
        <f>VLOOKUP($A73,'Data shares'!$C:$FA,128)*100</f>
        <v>1.06</v>
      </c>
      <c r="F73" s="49">
        <f>VLOOKUP($A73,'Data shares'!$C:$FA,129)</f>
        <v>924000</v>
      </c>
      <c r="G73" s="17"/>
    </row>
    <row r="74" spans="1:7" x14ac:dyDescent="0.25">
      <c r="A74" s="101" t="s">
        <v>545</v>
      </c>
      <c r="B74" s="17">
        <v>23498849</v>
      </c>
      <c r="C74" s="17">
        <v>15745600</v>
      </c>
      <c r="D74" s="17">
        <f t="shared" si="1"/>
        <v>15745600</v>
      </c>
      <c r="E74" s="49">
        <f>VLOOKUP($A74,'Data shares'!$C:$FA,128)*100</f>
        <v>1.06</v>
      </c>
      <c r="F74" s="49">
        <f>VLOOKUP($A74,'Data shares'!$C:$FA,129)</f>
        <v>924000</v>
      </c>
      <c r="G74" s="17"/>
    </row>
    <row r="75" spans="1:7" x14ac:dyDescent="0.25">
      <c r="A75" s="101" t="s">
        <v>185</v>
      </c>
      <c r="B75" s="17">
        <v>238123793</v>
      </c>
      <c r="C75" s="17">
        <v>59926000</v>
      </c>
      <c r="D75" s="17">
        <f t="shared" si="1"/>
        <v>59926000</v>
      </c>
      <c r="E75" s="49">
        <f>VLOOKUP($A75,'Data shares'!$C:$FA,128)*100</f>
        <v>4.5999999999999996</v>
      </c>
      <c r="F75" s="49">
        <f>VLOOKUP($A75,'Data shares'!$C:$FA,129)</f>
        <v>4474500</v>
      </c>
      <c r="G75" s="17"/>
    </row>
    <row r="76" spans="1:7" x14ac:dyDescent="0.25">
      <c r="A76" s="101" t="s">
        <v>219</v>
      </c>
      <c r="B76" s="17">
        <v>75317259</v>
      </c>
      <c r="C76" s="17">
        <v>12188500</v>
      </c>
      <c r="D76" s="17">
        <f t="shared" si="1"/>
        <v>12188500</v>
      </c>
      <c r="E76" s="49">
        <f>VLOOKUP($A76,'Data shares'!$C:$FA,128)*100</f>
        <v>0.33</v>
      </c>
      <c r="F76" s="49">
        <f>VLOOKUP($A76,'Data shares'!$C:$FA,129)</f>
        <v>44000</v>
      </c>
      <c r="G76" s="17"/>
    </row>
    <row r="77" spans="1:7" x14ac:dyDescent="0.25">
      <c r="A77" s="101" t="s">
        <v>534</v>
      </c>
      <c r="B77" s="17">
        <v>70381221</v>
      </c>
      <c r="C77" s="17">
        <v>3354100</v>
      </c>
      <c r="D77" s="17">
        <f t="shared" si="1"/>
        <v>3354100</v>
      </c>
      <c r="E77" s="49">
        <f>VLOOKUP($A77,'Data shares'!$C:$FA,128)*100</f>
        <v>0.33</v>
      </c>
      <c r="F77" s="49">
        <f>VLOOKUP($A77,'Data shares'!$C:$FA,129)</f>
        <v>44000</v>
      </c>
      <c r="G77" s="17"/>
    </row>
    <row r="78" spans="1:7" x14ac:dyDescent="0.25">
      <c r="A78" s="101" t="s">
        <v>516</v>
      </c>
      <c r="B78" s="17">
        <v>27254349</v>
      </c>
      <c r="C78" s="17">
        <v>1133550</v>
      </c>
      <c r="D78" s="17">
        <f t="shared" si="1"/>
        <v>1133550</v>
      </c>
      <c r="E78" s="49">
        <f>VLOOKUP($A78,'Data shares'!$C:$FA,128)*100</f>
        <v>2.94</v>
      </c>
      <c r="F78" s="49">
        <f>VLOOKUP($A78,'Data shares'!$C:$FA,129)</f>
        <v>2418000</v>
      </c>
      <c r="G78" s="17"/>
    </row>
    <row r="79" spans="1:7" x14ac:dyDescent="0.25">
      <c r="A79" s="101" t="s">
        <v>271</v>
      </c>
      <c r="B79" s="17">
        <v>26746179</v>
      </c>
      <c r="C79" s="17">
        <v>5445825</v>
      </c>
      <c r="D79" s="17">
        <f t="shared" si="1"/>
        <v>5445825</v>
      </c>
      <c r="E79" s="49">
        <f>VLOOKUP($A79,'Data shares'!$C:$FA,128)*100</f>
        <v>1.28</v>
      </c>
      <c r="F79" s="49">
        <f>VLOOKUP($A79,'Data shares'!$C:$FA,129)</f>
        <v>313200</v>
      </c>
      <c r="G79" s="17"/>
    </row>
    <row r="80" spans="1:7" x14ac:dyDescent="0.25">
      <c r="A80" s="101" t="s">
        <v>264</v>
      </c>
      <c r="B80" s="17">
        <v>15844192</v>
      </c>
      <c r="C80" s="17">
        <v>2354125</v>
      </c>
      <c r="D80" s="17">
        <f t="shared" si="1"/>
        <v>2354125</v>
      </c>
      <c r="E80" s="49">
        <f>VLOOKUP($A80,'Data shares'!$C:$FA,128)*100</f>
        <v>0.70000000000000007</v>
      </c>
      <c r="F80" s="49">
        <f>VLOOKUP($A80,'Data shares'!$C:$FA,129)</f>
        <v>70125</v>
      </c>
      <c r="G80" s="17"/>
    </row>
    <row r="81" spans="1:7" x14ac:dyDescent="0.25">
      <c r="A81" s="101" t="s">
        <v>208</v>
      </c>
      <c r="B81" s="17">
        <v>24296838</v>
      </c>
      <c r="C81" s="17">
        <v>5125750</v>
      </c>
      <c r="D81" s="17">
        <f t="shared" si="1"/>
        <v>5125750</v>
      </c>
      <c r="E81" s="49">
        <f>VLOOKUP($A81,'Data shares'!$C:$FA,128)*100</f>
        <v>1.32</v>
      </c>
      <c r="F81" s="49">
        <f>VLOOKUP($A81,'Data shares'!$C:$FA,129)</f>
        <v>135000</v>
      </c>
      <c r="G81" s="17"/>
    </row>
    <row r="82" spans="1:7" x14ac:dyDescent="0.25">
      <c r="A82" s="101" t="s">
        <v>552</v>
      </c>
      <c r="B82" s="17">
        <v>23447901</v>
      </c>
      <c r="C82" s="17">
        <v>3785600</v>
      </c>
      <c r="D82" s="17">
        <f t="shared" si="1"/>
        <v>3785600</v>
      </c>
      <c r="E82" s="49">
        <f>VLOOKUP($A82,'Data shares'!$C:$FA,128)*100</f>
        <v>1.9300000000000002</v>
      </c>
      <c r="F82" s="49">
        <f>VLOOKUP($A82,'Data shares'!$C:$FA,129)</f>
        <v>172000</v>
      </c>
      <c r="G82" s="17"/>
    </row>
    <row r="83" spans="1:7" x14ac:dyDescent="0.25">
      <c r="A83" s="101" t="s">
        <v>204</v>
      </c>
      <c r="B83" s="17">
        <v>115362060</v>
      </c>
      <c r="C83" s="17">
        <v>19043750</v>
      </c>
      <c r="D83" s="17">
        <f t="shared" si="1"/>
        <v>19043750</v>
      </c>
      <c r="E83" s="49">
        <f>VLOOKUP($A83,'Data shares'!$C:$FA,128)*100</f>
        <v>4.41</v>
      </c>
      <c r="F83" s="49">
        <f>VLOOKUP($A83,'Data shares'!$C:$FA,129)</f>
        <v>1098750</v>
      </c>
      <c r="G83" s="17"/>
    </row>
    <row r="84" spans="1:7" x14ac:dyDescent="0.25">
      <c r="A84" s="101" t="s">
        <v>528</v>
      </c>
      <c r="B84" s="17">
        <v>23485458</v>
      </c>
      <c r="C84" s="17">
        <v>4272800</v>
      </c>
      <c r="D84" s="17">
        <f t="shared" si="1"/>
        <v>4272800</v>
      </c>
      <c r="E84" s="49">
        <f>VLOOKUP($A84,'Data shares'!$C:$FA,128)*100</f>
        <v>1.6099999999999999</v>
      </c>
      <c r="F84" s="49">
        <f>VLOOKUP($A84,'Data shares'!$C:$FA,129)</f>
        <v>80500</v>
      </c>
      <c r="G84" s="17"/>
    </row>
    <row r="85" spans="1:7" x14ac:dyDescent="0.25">
      <c r="A85" s="101" t="s">
        <v>551</v>
      </c>
      <c r="B85" s="17">
        <v>39593365</v>
      </c>
      <c r="C85" s="17">
        <v>12215000</v>
      </c>
      <c r="D85" s="17">
        <f t="shared" si="1"/>
        <v>12215000</v>
      </c>
      <c r="E85" s="49">
        <f>VLOOKUP($A85,'Data shares'!$C:$FA,128)*100</f>
        <v>1.1599999999999999</v>
      </c>
      <c r="F85" s="49">
        <f>VLOOKUP($A85,'Data shares'!$C:$FA,129)</f>
        <v>41850</v>
      </c>
      <c r="G85" s="17"/>
    </row>
    <row r="86" spans="1:7" x14ac:dyDescent="0.25">
      <c r="A86" s="101" t="s">
        <v>292</v>
      </c>
      <c r="B86" s="17">
        <v>355933451</v>
      </c>
      <c r="C86" s="17">
        <v>204117000</v>
      </c>
      <c r="D86" s="17">
        <f t="shared" si="1"/>
        <v>204117000</v>
      </c>
      <c r="E86" s="49">
        <f>VLOOKUP($A86,'Data shares'!$C:$FA,128)*100</f>
        <v>8.7800000000000011</v>
      </c>
      <c r="F86" s="49">
        <f>VLOOKUP($A86,'Data shares'!$C:$FA,129)</f>
        <v>5278400</v>
      </c>
      <c r="G86" s="17"/>
    </row>
    <row r="87" spans="1:7" x14ac:dyDescent="0.25">
      <c r="A87" s="101" t="s">
        <v>239</v>
      </c>
      <c r="B87" s="17">
        <v>117569462</v>
      </c>
      <c r="C87" s="17">
        <v>39785400</v>
      </c>
      <c r="D87" s="17">
        <f t="shared" si="1"/>
        <v>39785400</v>
      </c>
      <c r="E87" s="49">
        <f>VLOOKUP($A87,'Data shares'!$C:$FA,128)*100</f>
        <v>2.82</v>
      </c>
      <c r="F87" s="49">
        <f>VLOOKUP($A87,'Data shares'!$C:$FA,129)</f>
        <v>1447600</v>
      </c>
      <c r="G87" s="17"/>
    </row>
    <row r="88" spans="1:7" x14ac:dyDescent="0.25">
      <c r="A88" s="101" t="s">
        <v>513</v>
      </c>
      <c r="B88" s="17">
        <v>16619018</v>
      </c>
      <c r="C88" s="17">
        <v>3155425</v>
      </c>
      <c r="D88" s="17">
        <f t="shared" si="1"/>
        <v>3155425</v>
      </c>
      <c r="E88" s="49">
        <f>VLOOKUP($A88,'Data shares'!$C:$FA,128)*100</f>
        <v>4.3999999999999995</v>
      </c>
      <c r="F88" s="49">
        <f>VLOOKUP($A88,'Data shares'!$C:$FA,129)</f>
        <v>348600</v>
      </c>
      <c r="G88" s="17"/>
    </row>
    <row r="89" spans="1:7" x14ac:dyDescent="0.25">
      <c r="A89" s="101" t="s">
        <v>224</v>
      </c>
      <c r="B89" s="17">
        <v>669931623</v>
      </c>
      <c r="C89" s="17">
        <v>82663350</v>
      </c>
      <c r="D89" s="17">
        <f t="shared" si="1"/>
        <v>82663350</v>
      </c>
      <c r="E89" s="49">
        <f>VLOOKUP($A89,'Data shares'!$C:$FA,128)*100</f>
        <v>2.1999999999999997</v>
      </c>
      <c r="F89" s="49">
        <f>VLOOKUP($A89,'Data shares'!$C:$FA,129)</f>
        <v>4635400</v>
      </c>
      <c r="G89" s="17"/>
    </row>
    <row r="90" spans="1:7" x14ac:dyDescent="0.25">
      <c r="A90" s="101" t="s">
        <v>232</v>
      </c>
      <c r="B90" s="17">
        <v>1110506052</v>
      </c>
      <c r="C90" s="17">
        <v>174065375</v>
      </c>
      <c r="D90" s="17">
        <f t="shared" si="1"/>
        <v>174065375</v>
      </c>
      <c r="E90" s="49">
        <f>VLOOKUP($A90,'Data shares'!$C:$FA,128)*100</f>
        <v>3.2199999999999998</v>
      </c>
      <c r="F90" s="49">
        <f>VLOOKUP($A90,'Data shares'!$C:$FA,129)</f>
        <v>3698100</v>
      </c>
      <c r="G90" s="17"/>
    </row>
    <row r="91" spans="1:7" x14ac:dyDescent="0.25">
      <c r="A91" s="101" t="s">
        <v>223</v>
      </c>
      <c r="B91" s="17">
        <v>362202362</v>
      </c>
      <c r="C91" s="17">
        <v>34249800</v>
      </c>
      <c r="D91" s="17">
        <f t="shared" si="1"/>
        <v>34249800</v>
      </c>
      <c r="E91" s="49">
        <f>VLOOKUP($A91,'Data shares'!$C:$FA,128)*100</f>
        <v>2.39</v>
      </c>
      <c r="F91" s="49">
        <f>VLOOKUP($A91,'Data shares'!$C:$FA,129)</f>
        <v>483000</v>
      </c>
      <c r="G91" s="17"/>
    </row>
    <row r="92" spans="1:7" x14ac:dyDescent="0.25">
      <c r="A92" s="101" t="s">
        <v>218</v>
      </c>
      <c r="B92" s="17">
        <v>23110810</v>
      </c>
      <c r="C92" s="17">
        <v>6940375</v>
      </c>
      <c r="D92" s="17">
        <f t="shared" si="1"/>
        <v>6940375</v>
      </c>
      <c r="E92" s="49">
        <f>VLOOKUP($A92,'Data shares'!$C:$FA,128)*100</f>
        <v>2.1999999999999997</v>
      </c>
      <c r="F92" s="49">
        <f>VLOOKUP($A92,'Data shares'!$C:$FA,129)</f>
        <v>208725</v>
      </c>
      <c r="G92" s="17"/>
    </row>
    <row r="93" spans="1:7" x14ac:dyDescent="0.25">
      <c r="A93" s="101" t="s">
        <v>236</v>
      </c>
      <c r="B93" s="17">
        <v>77000080</v>
      </c>
      <c r="C93" s="17">
        <v>25785375</v>
      </c>
      <c r="D93" s="17">
        <f t="shared" si="1"/>
        <v>25785375</v>
      </c>
      <c r="E93" s="49">
        <f>VLOOKUP($A93,'Data shares'!$C:$FA,128)*100</f>
        <v>7.03</v>
      </c>
      <c r="F93" s="49">
        <f>VLOOKUP($A93,'Data shares'!$C:$FA,129)</f>
        <v>995500</v>
      </c>
      <c r="G93" s="17"/>
    </row>
    <row r="94" spans="1:7" x14ac:dyDescent="0.25">
      <c r="A94" s="101" t="s">
        <v>246</v>
      </c>
      <c r="B94" s="17">
        <v>293666614</v>
      </c>
      <c r="C94" s="17">
        <v>30730800</v>
      </c>
      <c r="D94" s="17">
        <f t="shared" si="1"/>
        <v>30730800</v>
      </c>
      <c r="E94" s="49">
        <f>VLOOKUP($A94,'Data shares'!$C:$FA,128)*100</f>
        <v>3.39</v>
      </c>
      <c r="F94" s="49">
        <f>VLOOKUP($A94,'Data shares'!$C:$FA,129)</f>
        <v>734000</v>
      </c>
      <c r="G94" s="17"/>
    </row>
    <row r="95" spans="1:7" x14ac:dyDescent="0.25">
      <c r="A95" s="101" t="s">
        <v>532</v>
      </c>
      <c r="B95" s="17">
        <v>32892110</v>
      </c>
      <c r="C95" s="17">
        <v>6216000</v>
      </c>
      <c r="D95" s="17">
        <f t="shared" si="1"/>
        <v>6216000</v>
      </c>
      <c r="E95" s="49">
        <f>VLOOKUP($A95,'Data shares'!$C:$FA,128)*100</f>
        <v>1.7999999999999998</v>
      </c>
      <c r="F95" s="49">
        <f>VLOOKUP($A95,'Data shares'!$C:$FA,129)</f>
        <v>294950</v>
      </c>
      <c r="G95" s="17"/>
    </row>
    <row r="96" spans="1:7" x14ac:dyDescent="0.25">
      <c r="A96" s="101" t="s">
        <v>242</v>
      </c>
      <c r="B96" s="17">
        <v>2461627231</v>
      </c>
      <c r="C96" s="17">
        <v>322832000</v>
      </c>
      <c r="D96" s="17">
        <f t="shared" si="1"/>
        <v>322832000</v>
      </c>
      <c r="E96" s="49">
        <f>VLOOKUP($A96,'Data shares'!$C:$FA,128)*100</f>
        <v>3.54</v>
      </c>
      <c r="F96" s="49">
        <f>VLOOKUP($A96,'Data shares'!$C:$FA,129)</f>
        <v>3438400</v>
      </c>
      <c r="G96" s="17"/>
    </row>
    <row r="97" spans="1:7" x14ac:dyDescent="0.25">
      <c r="A97" s="101" t="s">
        <v>165</v>
      </c>
      <c r="B97" s="17">
        <v>20321931</v>
      </c>
      <c r="C97" s="17">
        <v>3675125</v>
      </c>
      <c r="D97" s="17">
        <f t="shared" si="1"/>
        <v>3675125</v>
      </c>
      <c r="E97" s="49">
        <f>VLOOKUP($A97,'Data shares'!$C:$FA,128)*100</f>
        <v>1.1199999999999999</v>
      </c>
      <c r="F97" s="49">
        <f>VLOOKUP($A97,'Data shares'!$C:$FA,129)</f>
        <v>31125</v>
      </c>
      <c r="G97" s="17"/>
    </row>
    <row r="98" spans="1:7" x14ac:dyDescent="0.25">
      <c r="A98" s="101" t="s">
        <v>503</v>
      </c>
      <c r="B98" s="17">
        <v>17788750</v>
      </c>
      <c r="C98" s="17">
        <v>925925</v>
      </c>
      <c r="D98" s="17">
        <f t="shared" si="1"/>
        <v>925925</v>
      </c>
      <c r="E98" s="49">
        <f>VLOOKUP($A98,'Data shares'!$C:$FA,128)*100</f>
        <v>3.0300000000000002</v>
      </c>
      <c r="F98" s="49">
        <f>VLOOKUP($A98,'Data shares'!$C:$FA,129)</f>
        <v>208250</v>
      </c>
      <c r="G98" s="17"/>
    </row>
    <row r="99" spans="1:7" x14ac:dyDescent="0.25">
      <c r="A99" s="101" t="s">
        <v>192</v>
      </c>
      <c r="B99" s="17">
        <v>1737683</v>
      </c>
      <c r="C99" s="17">
        <v>235900</v>
      </c>
      <c r="D99" s="17">
        <f t="shared" si="1"/>
        <v>235900</v>
      </c>
      <c r="E99" s="49">
        <f>VLOOKUP($A99,'Data shares'!$C:$FA,128)*100</f>
        <v>2.16</v>
      </c>
      <c r="F99" s="49">
        <f>VLOOKUP($A99,'Data shares'!$C:$FA,129)</f>
        <v>4825</v>
      </c>
      <c r="G99" s="17"/>
    </row>
    <row r="100" spans="1:7" x14ac:dyDescent="0.25">
      <c r="A100" s="101" t="s">
        <v>531</v>
      </c>
      <c r="B100" s="17">
        <v>33015657</v>
      </c>
      <c r="C100" s="17">
        <v>9033700</v>
      </c>
      <c r="D100" s="17">
        <f t="shared" si="1"/>
        <v>9033700</v>
      </c>
      <c r="E100" s="49">
        <f>VLOOKUP($A100,'Data shares'!$C:$FA,128)*100</f>
        <v>6.35</v>
      </c>
      <c r="F100" s="49">
        <f>VLOOKUP($A100,'Data shares'!$C:$FA,129)</f>
        <v>849750</v>
      </c>
      <c r="G100" s="17"/>
    </row>
    <row r="101" spans="1:7" x14ac:dyDescent="0.25">
      <c r="A101" s="101" t="s">
        <v>494</v>
      </c>
      <c r="B101" s="17">
        <v>147873568</v>
      </c>
      <c r="C101" s="17">
        <v>20386400</v>
      </c>
      <c r="D101" s="17">
        <f t="shared" si="1"/>
        <v>20386400</v>
      </c>
      <c r="E101" s="49">
        <f>VLOOKUP($A101,'Data shares'!$C:$FA,128)*100</f>
        <v>4.22</v>
      </c>
      <c r="F101" s="49">
        <f>VLOOKUP($A101,'Data shares'!$C:$FA,129)</f>
        <v>1576800</v>
      </c>
      <c r="G101" s="17"/>
    </row>
    <row r="102" spans="1:7" x14ac:dyDescent="0.25">
      <c r="A102" s="101" t="s">
        <v>473</v>
      </c>
      <c r="B102" s="17">
        <v>162372116</v>
      </c>
      <c r="C102" s="17">
        <v>43206800</v>
      </c>
      <c r="D102" s="17">
        <f t="shared" si="1"/>
        <v>43206800</v>
      </c>
      <c r="E102" s="49">
        <f>VLOOKUP($A102,'Data shares'!$C:$FA,128)*100</f>
        <v>1.48</v>
      </c>
      <c r="F102" s="49">
        <f>VLOOKUP($A102,'Data shares'!$C:$FA,129)</f>
        <v>1178100</v>
      </c>
      <c r="G102" s="17"/>
    </row>
    <row r="103" spans="1:7" x14ac:dyDescent="0.25">
      <c r="A103" s="101" t="s">
        <v>225</v>
      </c>
      <c r="B103" s="17">
        <v>187118353</v>
      </c>
      <c r="C103" s="17">
        <v>49800300</v>
      </c>
      <c r="D103" s="17">
        <f t="shared" si="1"/>
        <v>49800300</v>
      </c>
      <c r="E103" s="49">
        <f>VLOOKUP($A103,'Data shares'!$C:$FA,128)*100</f>
        <v>1.04</v>
      </c>
      <c r="F103" s="49">
        <f>VLOOKUP($A103,'Data shares'!$C:$FA,129)</f>
        <v>290400</v>
      </c>
      <c r="G103" s="17"/>
    </row>
    <row r="104" spans="1:7" x14ac:dyDescent="0.25">
      <c r="A104" s="101" t="s">
        <v>504</v>
      </c>
      <c r="B104" s="17">
        <v>12641694</v>
      </c>
      <c r="C104" s="17">
        <v>6728400</v>
      </c>
      <c r="D104" s="17">
        <f t="shared" si="1"/>
        <v>6728400</v>
      </c>
      <c r="E104" s="49">
        <f>VLOOKUP($A104,'Data shares'!$C:$FA,128)*100</f>
        <v>1.24</v>
      </c>
      <c r="F104" s="49">
        <f>VLOOKUP($A104,'Data shares'!$C:$FA,129)</f>
        <v>34800</v>
      </c>
      <c r="G104" s="17"/>
    </row>
    <row r="105" spans="1:7" x14ac:dyDescent="0.25">
      <c r="A105" s="101" t="s">
        <v>537</v>
      </c>
      <c r="B105" s="17">
        <v>6343591</v>
      </c>
      <c r="C105" s="17">
        <v>1262250</v>
      </c>
      <c r="D105" s="17">
        <f t="shared" si="1"/>
        <v>1262250</v>
      </c>
      <c r="E105" s="49">
        <f>VLOOKUP($A105,'Data shares'!$C:$FA,128)*100</f>
        <v>2.1999999999999997</v>
      </c>
      <c r="F105" s="49">
        <f>VLOOKUP($A105,'Data shares'!$C:$FA,129)</f>
        <v>230625</v>
      </c>
      <c r="G105" s="17"/>
    </row>
    <row r="106" spans="1:7" x14ac:dyDescent="0.25">
      <c r="A106" s="101" t="s">
        <v>256</v>
      </c>
      <c r="B106" s="17">
        <v>62880735</v>
      </c>
      <c r="C106" s="17">
        <v>20391250</v>
      </c>
      <c r="D106" s="17">
        <f t="shared" si="1"/>
        <v>20391250</v>
      </c>
      <c r="E106" s="49">
        <f>VLOOKUP($A106,'Data shares'!$C:$FA,128)*100</f>
        <v>3.7600000000000002</v>
      </c>
      <c r="F106" s="49">
        <f>VLOOKUP($A106,'Data shares'!$C:$FA,129)</f>
        <v>127750</v>
      </c>
      <c r="G106" s="17"/>
    </row>
    <row r="107" spans="1:7" x14ac:dyDescent="0.25">
      <c r="A107" s="101" t="s">
        <v>514</v>
      </c>
      <c r="B107" s="17">
        <v>179174844</v>
      </c>
      <c r="C107" s="17">
        <v>67477500</v>
      </c>
      <c r="D107" s="17">
        <f t="shared" si="1"/>
        <v>67477500</v>
      </c>
      <c r="E107" s="49">
        <f>VLOOKUP($A107,'Data shares'!$C:$FA,128)*100</f>
        <v>5.41</v>
      </c>
      <c r="F107" s="49">
        <f>VLOOKUP($A107,'Data shares'!$C:$FA,129)</f>
        <v>2557500</v>
      </c>
      <c r="G107" s="17"/>
    </row>
    <row r="108" spans="1:7" x14ac:dyDescent="0.25">
      <c r="A108" s="101" t="s">
        <v>272</v>
      </c>
      <c r="B108" s="17">
        <v>150000017</v>
      </c>
      <c r="C108" s="17">
        <v>35217000</v>
      </c>
      <c r="D108" s="17">
        <f t="shared" si="1"/>
        <v>35217000</v>
      </c>
      <c r="E108" s="49">
        <f>VLOOKUP($A108,'Data shares'!$C:$FA,128)*100</f>
        <v>1.47</v>
      </c>
      <c r="F108" s="49">
        <f>VLOOKUP($A108,'Data shares'!$C:$FA,129)</f>
        <v>585000</v>
      </c>
      <c r="G108" s="17"/>
    </row>
    <row r="109" spans="1:7" x14ac:dyDescent="0.25">
      <c r="A109" s="101" t="s">
        <v>470</v>
      </c>
      <c r="B109" s="17">
        <v>6091932</v>
      </c>
      <c r="C109" s="17">
        <v>1893300</v>
      </c>
      <c r="D109" s="17">
        <f t="shared" si="1"/>
        <v>1893300</v>
      </c>
      <c r="E109" s="49">
        <f>VLOOKUP($A109,'Data shares'!$C:$FA,128)*100</f>
        <v>1.96</v>
      </c>
      <c r="F109" s="49">
        <f>VLOOKUP($A109,'Data shares'!$C:$FA,129)</f>
        <v>262500</v>
      </c>
      <c r="G109" s="17"/>
    </row>
    <row r="110" spans="1:7" x14ac:dyDescent="0.25">
      <c r="A110" s="101" t="s">
        <v>176</v>
      </c>
      <c r="B110" s="17">
        <v>12437219</v>
      </c>
      <c r="C110" s="17">
        <v>1155950</v>
      </c>
      <c r="D110" s="17">
        <f t="shared" si="1"/>
        <v>1155950</v>
      </c>
      <c r="E110" s="49">
        <f>VLOOKUP($A110,'Data shares'!$C:$FA,128)*100</f>
        <v>0.89999999999999991</v>
      </c>
      <c r="F110" s="49">
        <f>VLOOKUP($A110,'Data shares'!$C:$FA,129)</f>
        <v>144500</v>
      </c>
      <c r="G110" s="17"/>
    </row>
    <row r="111" spans="1:7" x14ac:dyDescent="0.25">
      <c r="A111" s="101" t="s">
        <v>524</v>
      </c>
      <c r="B111" s="17">
        <v>16479425</v>
      </c>
      <c r="C111" s="17">
        <v>1670750</v>
      </c>
      <c r="D111" s="17">
        <f t="shared" si="1"/>
        <v>1670750</v>
      </c>
      <c r="E111" s="49">
        <f>VLOOKUP($A111,'Data shares'!$C:$FA,128)*100</f>
        <v>0.9900000000000001</v>
      </c>
      <c r="F111" s="49">
        <f>VLOOKUP($A111,'Data shares'!$C:$FA,129)</f>
        <v>21125</v>
      </c>
      <c r="G111" s="17"/>
    </row>
    <row r="112" spans="1:7" x14ac:dyDescent="0.25">
      <c r="A112" s="101" t="s">
        <v>487</v>
      </c>
      <c r="B112" s="17">
        <v>16533935</v>
      </c>
      <c r="C112" s="17">
        <v>1807050</v>
      </c>
      <c r="D112" s="17">
        <f t="shared" si="1"/>
        <v>1807050</v>
      </c>
      <c r="E112" s="49">
        <f>VLOOKUP($A112,'Data shares'!$C:$FA,128)*100</f>
        <v>1.31</v>
      </c>
      <c r="F112" s="49">
        <f>VLOOKUP($A112,'Data shares'!$C:$FA,129)</f>
        <v>55550</v>
      </c>
      <c r="G112" s="17"/>
    </row>
    <row r="113" spans="1:7" x14ac:dyDescent="0.25">
      <c r="A113" s="101" t="s">
        <v>305</v>
      </c>
      <c r="B113" s="17">
        <v>46126252</v>
      </c>
      <c r="C113" s="17">
        <v>7513500</v>
      </c>
      <c r="D113" s="17">
        <f t="shared" si="1"/>
        <v>7513500</v>
      </c>
      <c r="E113" s="49">
        <f>VLOOKUP($A113,'Data shares'!$C:$FA,128)*100</f>
        <v>2.1999999999999997</v>
      </c>
      <c r="F113" s="49">
        <f>VLOOKUP($A113,'Data shares'!$C:$FA,129)</f>
        <v>230625</v>
      </c>
      <c r="G113" s="17"/>
    </row>
    <row r="114" spans="1:7" x14ac:dyDescent="0.25">
      <c r="A114" s="101" t="s">
        <v>238</v>
      </c>
      <c r="B114" s="17">
        <v>19428657</v>
      </c>
      <c r="C114" s="17">
        <v>5637750</v>
      </c>
      <c r="D114" s="17">
        <f t="shared" si="1"/>
        <v>5637750</v>
      </c>
      <c r="E114" s="49">
        <f>VLOOKUP($A114,'Data shares'!$C:$FA,128)*100</f>
        <v>1.34</v>
      </c>
      <c r="F114" s="49">
        <f>VLOOKUP($A114,'Data shares'!$C:$FA,129)</f>
        <v>106800</v>
      </c>
      <c r="G114" s="17"/>
    </row>
    <row r="115" spans="1:7" x14ac:dyDescent="0.25">
      <c r="A115" s="101" t="s">
        <v>527</v>
      </c>
      <c r="B115" s="17">
        <v>7494363</v>
      </c>
      <c r="C115" s="17">
        <v>739375</v>
      </c>
      <c r="D115" s="17">
        <f t="shared" si="1"/>
        <v>739375</v>
      </c>
      <c r="E115" s="49">
        <f>VLOOKUP($A115,'Data shares'!$C:$FA,128)*100</f>
        <v>5.25</v>
      </c>
      <c r="F115" s="49">
        <f>VLOOKUP($A115,'Data shares'!$C:$FA,129)</f>
        <v>6937200</v>
      </c>
      <c r="G115" s="17"/>
    </row>
    <row r="116" spans="1:7" x14ac:dyDescent="0.25">
      <c r="A116" s="101" t="s">
        <v>489</v>
      </c>
      <c r="B116" s="17">
        <v>9087752</v>
      </c>
      <c r="C116" s="17">
        <v>1575750</v>
      </c>
      <c r="D116" s="17">
        <f t="shared" si="1"/>
        <v>1575750</v>
      </c>
      <c r="E116" s="49">
        <f>VLOOKUP($A116,'Data shares'!$C:$FA,128)*100</f>
        <v>3.51</v>
      </c>
      <c r="F116" s="49">
        <f>VLOOKUP($A116,'Data shares'!$C:$FA,129)</f>
        <v>1481384</v>
      </c>
      <c r="G116" s="17"/>
    </row>
    <row r="117" spans="1:7" x14ac:dyDescent="0.25">
      <c r="A117" s="101" t="s">
        <v>484</v>
      </c>
      <c r="B117" s="17">
        <v>3300938</v>
      </c>
      <c r="C117" s="17">
        <v>190125</v>
      </c>
      <c r="D117" s="17">
        <f t="shared" si="1"/>
        <v>190125</v>
      </c>
      <c r="E117" s="49">
        <f>VLOOKUP($A117,'Data shares'!$C:$FA,128)*100</f>
        <v>5.99</v>
      </c>
      <c r="F117" s="49">
        <f>VLOOKUP($A117,'Data shares'!$C:$FA,129)</f>
        <v>2769000</v>
      </c>
      <c r="G117" s="17"/>
    </row>
    <row r="118" spans="1:7" x14ac:dyDescent="0.25">
      <c r="A118" s="101" t="s">
        <v>285</v>
      </c>
      <c r="B118" s="17">
        <v>17806068</v>
      </c>
      <c r="C118" s="17">
        <v>1857900</v>
      </c>
      <c r="D118" s="17">
        <f t="shared" si="1"/>
        <v>1857900</v>
      </c>
      <c r="E118" s="49">
        <f>VLOOKUP($A118,'Data shares'!$C:$FA,128)*100</f>
        <v>1.55</v>
      </c>
      <c r="F118" s="49">
        <f>VLOOKUP($A118,'Data shares'!$C:$FA,129)</f>
        <v>36375</v>
      </c>
      <c r="G118" s="17"/>
    </row>
    <row r="119" spans="1:7" x14ac:dyDescent="0.25">
      <c r="A119" s="101" t="s">
        <v>554</v>
      </c>
      <c r="B119" s="17">
        <v>18562709</v>
      </c>
      <c r="C119" s="17">
        <v>2173500</v>
      </c>
      <c r="D119" s="17">
        <f t="shared" si="1"/>
        <v>2173500</v>
      </c>
      <c r="E119" s="49">
        <f>VLOOKUP($A119,'Data shares'!$C:$FA,128)*100</f>
        <v>2.9000000000000004</v>
      </c>
      <c r="F119" s="49">
        <f>VLOOKUP($A119,'Data shares'!$C:$FA,129)</f>
        <v>1240088</v>
      </c>
      <c r="G119" s="17"/>
    </row>
    <row r="120" spans="1:7" x14ac:dyDescent="0.25">
      <c r="A120" s="101" t="s">
        <v>293</v>
      </c>
      <c r="B120" s="17">
        <v>339616396</v>
      </c>
      <c r="C120" s="17">
        <v>214528500</v>
      </c>
      <c r="D120" s="17">
        <f t="shared" si="1"/>
        <v>214528500</v>
      </c>
      <c r="E120" s="49">
        <f>VLOOKUP($A120,'Data shares'!$C:$FA,128)*100</f>
        <v>1.9900000000000002</v>
      </c>
      <c r="F120" s="49">
        <f>VLOOKUP($A120,'Data shares'!$C:$FA,129)</f>
        <v>1125200</v>
      </c>
      <c r="G120" s="17"/>
    </row>
    <row r="121" spans="1:7" x14ac:dyDescent="0.25">
      <c r="A121" s="101" t="s">
        <v>282</v>
      </c>
      <c r="B121" s="17">
        <v>289139949</v>
      </c>
      <c r="C121" s="17">
        <v>230878500</v>
      </c>
      <c r="D121" s="17">
        <f t="shared" si="1"/>
        <v>230878500</v>
      </c>
      <c r="E121" s="49">
        <f>VLOOKUP($A121,'Data shares'!$C:$FA,128)*100</f>
        <v>2.96</v>
      </c>
      <c r="F121" s="49">
        <f>VLOOKUP($A121,'Data shares'!$C:$FA,129)</f>
        <v>3872800</v>
      </c>
      <c r="G121" s="17"/>
    </row>
    <row r="122" spans="1:7" x14ac:dyDescent="0.25">
      <c r="A122" s="101" t="s">
        <v>248</v>
      </c>
      <c r="B122" s="17">
        <v>60244101</v>
      </c>
      <c r="C122" s="17">
        <v>36578000</v>
      </c>
      <c r="D122" s="17">
        <f t="shared" si="1"/>
        <v>36578000</v>
      </c>
      <c r="E122" s="49">
        <f>VLOOKUP($A122,'Data shares'!$C:$FA,128)*100</f>
        <v>2.1999999999999997</v>
      </c>
      <c r="F122" s="49">
        <f>VLOOKUP($A122,'Data shares'!$C:$FA,129)</f>
        <v>618000</v>
      </c>
      <c r="G122" s="17"/>
    </row>
    <row r="123" spans="1:7" x14ac:dyDescent="0.25">
      <c r="A123" s="101" t="s">
        <v>189</v>
      </c>
      <c r="B123" s="17">
        <v>510707358</v>
      </c>
      <c r="C123" s="17">
        <v>94385350</v>
      </c>
      <c r="D123" s="17">
        <f t="shared" si="1"/>
        <v>94385350</v>
      </c>
      <c r="E123" s="49">
        <f>VLOOKUP($A123,'Data shares'!$C:$FA,128)*100</f>
        <v>4.1900000000000004</v>
      </c>
      <c r="F123" s="49">
        <f>VLOOKUP($A123,'Data shares'!$C:$FA,129)</f>
        <v>2076700</v>
      </c>
      <c r="G123" s="17"/>
    </row>
    <row r="124" spans="1:7" x14ac:dyDescent="0.25">
      <c r="A124" s="101" t="s">
        <v>213</v>
      </c>
      <c r="B124" s="17">
        <v>425164259</v>
      </c>
      <c r="C124" s="17">
        <v>85375600</v>
      </c>
      <c r="D124" s="17">
        <f t="shared" si="1"/>
        <v>85375600</v>
      </c>
      <c r="E124" s="49">
        <f>VLOOKUP($A124,'Data shares'!$C:$FA,128)*100</f>
        <v>2.94</v>
      </c>
      <c r="F124" s="49">
        <f>VLOOKUP($A124,'Data shares'!$C:$FA,129)</f>
        <v>2809800</v>
      </c>
      <c r="G124" s="17"/>
    </row>
    <row r="125" spans="1:7" x14ac:dyDescent="0.25">
      <c r="A125" s="101" t="s">
        <v>295</v>
      </c>
      <c r="B125" s="17">
        <v>205769415</v>
      </c>
      <c r="C125" s="17">
        <v>21452100</v>
      </c>
      <c r="D125" s="17">
        <f t="shared" si="1"/>
        <v>21452100</v>
      </c>
      <c r="E125" s="49">
        <f>VLOOKUP($A125,'Data shares'!$C:$FA,128)*100</f>
        <v>4.54</v>
      </c>
      <c r="F125" s="49">
        <f>VLOOKUP($A125,'Data shares'!$C:$FA,129)</f>
        <v>1486625</v>
      </c>
      <c r="G125" s="17"/>
    </row>
    <row r="126" spans="1:7" x14ac:dyDescent="0.25">
      <c r="A126" s="101" t="s">
        <v>490</v>
      </c>
      <c r="B126" s="17">
        <v>52165566</v>
      </c>
      <c r="C126" s="17">
        <v>22212750</v>
      </c>
      <c r="D126" s="17">
        <f t="shared" si="1"/>
        <v>22212750</v>
      </c>
      <c r="E126" s="49">
        <f>VLOOKUP($A126,'Data shares'!$C:$FA,128)*100</f>
        <v>9.32</v>
      </c>
      <c r="F126" s="49">
        <f>VLOOKUP($A126,'Data shares'!$C:$FA,129)</f>
        <v>1307250</v>
      </c>
      <c r="G126" s="17"/>
    </row>
    <row r="127" spans="1:7" x14ac:dyDescent="0.25">
      <c r="A127" s="101" t="s">
        <v>260</v>
      </c>
      <c r="B127" s="17">
        <v>241729538</v>
      </c>
      <c r="C127" s="17">
        <v>65383500</v>
      </c>
      <c r="D127" s="17">
        <f t="shared" si="1"/>
        <v>65383500</v>
      </c>
      <c r="E127" s="49">
        <f>VLOOKUP($A127,'Data shares'!$C:$FA,128)*100</f>
        <v>2.98</v>
      </c>
      <c r="F127" s="49">
        <f>VLOOKUP($A127,'Data shares'!$C:$FA,129)</f>
        <v>4747800</v>
      </c>
      <c r="G127" s="17"/>
    </row>
    <row r="128" spans="1:7" x14ac:dyDescent="0.25">
      <c r="A128" s="101" t="s">
        <v>171</v>
      </c>
      <c r="B128" s="17">
        <v>56444627</v>
      </c>
      <c r="C128" s="17">
        <v>23336250</v>
      </c>
      <c r="D128" s="17">
        <f t="shared" si="1"/>
        <v>23336250</v>
      </c>
      <c r="E128" s="49">
        <f>VLOOKUP($A128,'Data shares'!$C:$FA,128)*100</f>
        <v>1.06</v>
      </c>
      <c r="F128" s="49">
        <f>VLOOKUP($A128,'Data shares'!$C:$FA,129)</f>
        <v>193050</v>
      </c>
      <c r="G128" s="17"/>
    </row>
    <row r="129" spans="1:7" x14ac:dyDescent="0.25">
      <c r="A129" s="101" t="s">
        <v>462</v>
      </c>
      <c r="B129" s="17">
        <v>88648462</v>
      </c>
      <c r="C129" s="17">
        <v>11150250</v>
      </c>
      <c r="D129" s="17">
        <f t="shared" si="1"/>
        <v>11150250</v>
      </c>
      <c r="E129" s="49">
        <f>VLOOKUP($A129,'Data shares'!$C:$FA,128)*100</f>
        <v>1.34</v>
      </c>
      <c r="F129" s="49">
        <f>VLOOKUP($A129,'Data shares'!$C:$FA,129)</f>
        <v>77250</v>
      </c>
      <c r="G129" s="17"/>
    </row>
    <row r="130" spans="1:7" x14ac:dyDescent="0.25">
      <c r="A130" s="101" t="s">
        <v>274</v>
      </c>
      <c r="B130" s="17">
        <v>30511703</v>
      </c>
      <c r="C130" s="17">
        <v>3556000</v>
      </c>
      <c r="D130" s="17">
        <f t="shared" si="1"/>
        <v>3556000</v>
      </c>
      <c r="E130" s="49">
        <f>VLOOKUP($A130,'Data shares'!$C:$FA,128)*100</f>
        <v>0.64</v>
      </c>
      <c r="F130" s="49">
        <f>VLOOKUP($A130,'Data shares'!$C:$FA,129)</f>
        <v>53500</v>
      </c>
      <c r="G130" s="17"/>
    </row>
    <row r="131" spans="1:7" x14ac:dyDescent="0.25">
      <c r="A131" s="101" t="s">
        <v>279</v>
      </c>
      <c r="B131" s="17">
        <v>119890099</v>
      </c>
      <c r="C131" s="17">
        <v>77232800</v>
      </c>
      <c r="D131" s="17">
        <f t="shared" si="1"/>
        <v>77232800</v>
      </c>
      <c r="E131" s="49">
        <f>VLOOKUP($A131,'Data shares'!$C:$FA,128)*100</f>
        <v>4.25</v>
      </c>
      <c r="F131" s="49">
        <f>VLOOKUP($A131,'Data shares'!$C:$FA,129)</f>
        <v>3848100</v>
      </c>
      <c r="G131" s="17"/>
    </row>
    <row r="132" spans="1:7" x14ac:dyDescent="0.25">
      <c r="A132" s="101" t="s">
        <v>247</v>
      </c>
      <c r="B132" s="17">
        <v>180580821</v>
      </c>
      <c r="C132" s="17">
        <v>128041552</v>
      </c>
      <c r="D132" s="17">
        <f t="shared" si="1"/>
        <v>128041552</v>
      </c>
      <c r="E132" s="49">
        <f>VLOOKUP($A132,'Data shares'!$C:$FA,128)*100</f>
        <v>5.83</v>
      </c>
      <c r="F132" s="49">
        <f>VLOOKUP($A132,'Data shares'!$C:$FA,129)</f>
        <v>242000</v>
      </c>
      <c r="G132" s="17"/>
    </row>
    <row r="133" spans="1:7" x14ac:dyDescent="0.25">
      <c r="A133" s="101" t="s">
        <v>291</v>
      </c>
      <c r="B133" s="17">
        <v>120211514</v>
      </c>
      <c r="C133" s="17">
        <v>18359325</v>
      </c>
      <c r="D133" s="17">
        <f t="shared" si="1"/>
        <v>18359325</v>
      </c>
      <c r="E133" s="49">
        <f>VLOOKUP($A133,'Data shares'!$C:$FA,128)*100</f>
        <v>0.57000000000000006</v>
      </c>
      <c r="F133" s="49">
        <f>VLOOKUP($A133,'Data shares'!$C:$FA,129)</f>
        <v>84700</v>
      </c>
      <c r="G133" s="17"/>
    </row>
    <row r="134" spans="1:7" x14ac:dyDescent="0.25">
      <c r="A134" s="101" t="s">
        <v>269</v>
      </c>
      <c r="B134" s="17">
        <v>996134149</v>
      </c>
      <c r="C134" s="17">
        <v>204565900</v>
      </c>
      <c r="D134" s="17">
        <f t="shared" si="1"/>
        <v>204565900</v>
      </c>
      <c r="E134" s="49">
        <f>VLOOKUP($A134,'Data shares'!$C:$FA,128)*100</f>
        <v>1.68</v>
      </c>
      <c r="F134" s="49">
        <f>VLOOKUP($A134,'Data shares'!$C:$FA,129)</f>
        <v>1496250</v>
      </c>
      <c r="G134" s="17"/>
    </row>
    <row r="135" spans="1:7" x14ac:dyDescent="0.25">
      <c r="A135" s="101" t="s">
        <v>217</v>
      </c>
      <c r="B135" s="17">
        <v>75218562</v>
      </c>
      <c r="C135" s="17">
        <v>11613000</v>
      </c>
      <c r="D135" s="17">
        <f t="shared" ref="D135:D161" si="2">C135</f>
        <v>11613000</v>
      </c>
      <c r="E135" s="49">
        <f>VLOOKUP($A135,'Data shares'!$C:$FA,128)*100</f>
        <v>2.5</v>
      </c>
      <c r="F135" s="49">
        <f>VLOOKUP($A135,'Data shares'!$C:$FA,129)</f>
        <v>281000</v>
      </c>
      <c r="G135" s="17"/>
    </row>
    <row r="136" spans="1:7" x14ac:dyDescent="0.25">
      <c r="A136" s="101" t="s">
        <v>495</v>
      </c>
      <c r="B136" s="17">
        <v>44974045</v>
      </c>
      <c r="C136" s="17">
        <v>4232500</v>
      </c>
      <c r="D136" s="17">
        <f t="shared" si="2"/>
        <v>4232500</v>
      </c>
      <c r="E136" s="49">
        <f>VLOOKUP($A136,'Data shares'!$C:$FA,128)*100</f>
        <v>1.6500000000000001</v>
      </c>
      <c r="F136" s="49">
        <f>VLOOKUP($A136,'Data shares'!$C:$FA,129)</f>
        <v>369000</v>
      </c>
      <c r="G136" s="17"/>
    </row>
    <row r="137" spans="1:7" x14ac:dyDescent="0.25">
      <c r="A137" s="101" t="s">
        <v>250</v>
      </c>
      <c r="B137" s="17">
        <v>48318354</v>
      </c>
      <c r="C137" s="17">
        <v>18007250</v>
      </c>
      <c r="D137" s="17">
        <f t="shared" si="2"/>
        <v>18007250</v>
      </c>
      <c r="E137" s="49">
        <f>VLOOKUP($A137,'Data shares'!$C:$FA,128)*100</f>
        <v>0.89</v>
      </c>
      <c r="F137" s="49">
        <f>VLOOKUP($A137,'Data shares'!$C:$FA,129)</f>
        <v>78200</v>
      </c>
      <c r="G137" s="17"/>
    </row>
    <row r="138" spans="1:7" x14ac:dyDescent="0.25">
      <c r="A138" s="101" t="s">
        <v>278</v>
      </c>
      <c r="B138" s="17">
        <v>27187764</v>
      </c>
      <c r="C138" s="17">
        <v>3521550</v>
      </c>
      <c r="D138" s="17">
        <f t="shared" si="2"/>
        <v>3521550</v>
      </c>
      <c r="E138" s="49">
        <f>VLOOKUP($A138,'Data shares'!$C:$FA,128)*100</f>
        <v>1.1599999999999999</v>
      </c>
      <c r="F138" s="49">
        <f>VLOOKUP($A138,'Data shares'!$C:$FA,129)</f>
        <v>41850</v>
      </c>
      <c r="G138" s="17"/>
    </row>
    <row r="139" spans="1:7" x14ac:dyDescent="0.25">
      <c r="A139" s="101" t="s">
        <v>163</v>
      </c>
      <c r="B139" s="17">
        <v>24576009</v>
      </c>
      <c r="C139" s="17">
        <v>11979000</v>
      </c>
      <c r="D139" s="17">
        <f t="shared" si="2"/>
        <v>11979000</v>
      </c>
      <c r="E139" s="49">
        <f>VLOOKUP($A139,'Data shares'!$C:$FA,128)*100</f>
        <v>0.6</v>
      </c>
      <c r="F139" s="49">
        <f>VLOOKUP($A139,'Data shares'!$C:$FA,129)</f>
        <v>8000</v>
      </c>
      <c r="G139" s="17"/>
    </row>
    <row r="140" spans="1:7" x14ac:dyDescent="0.25">
      <c r="A140" s="101" t="s">
        <v>289</v>
      </c>
      <c r="B140" s="17">
        <v>19704232</v>
      </c>
      <c r="C140" s="17">
        <v>15520500</v>
      </c>
      <c r="D140" s="17">
        <f t="shared" si="2"/>
        <v>15520500</v>
      </c>
      <c r="E140" s="49">
        <f>VLOOKUP($A140,'Data shares'!$C:$FA,128)*100</f>
        <v>1.01</v>
      </c>
      <c r="F140" s="49">
        <f>VLOOKUP($A140,'Data shares'!$C:$FA,129)</f>
        <v>160650</v>
      </c>
      <c r="G140" s="17"/>
    </row>
    <row r="141" spans="1:7" x14ac:dyDescent="0.25">
      <c r="A141" s="101" t="s">
        <v>529</v>
      </c>
      <c r="B141" s="17">
        <v>10012679</v>
      </c>
      <c r="C141" s="17">
        <v>530550</v>
      </c>
      <c r="D141" s="17">
        <f t="shared" si="2"/>
        <v>530550</v>
      </c>
      <c r="E141" s="49">
        <f>VLOOKUP($A141,'Data shares'!$C:$FA,128)*100</f>
        <v>1.95</v>
      </c>
      <c r="F141" s="49">
        <f>VLOOKUP($A141,'Data shares'!$C:$FA,129)</f>
        <v>55900</v>
      </c>
      <c r="G141" s="17"/>
    </row>
    <row r="142" spans="1:7" x14ac:dyDescent="0.25">
      <c r="A142" s="101" t="s">
        <v>265</v>
      </c>
      <c r="B142" s="17">
        <v>7180127</v>
      </c>
      <c r="C142" s="17">
        <v>429550</v>
      </c>
      <c r="D142" s="17">
        <f t="shared" si="2"/>
        <v>429550</v>
      </c>
      <c r="E142" s="49">
        <f>VLOOKUP($A142,'Data shares'!$C:$FA,128)*100</f>
        <v>1.67</v>
      </c>
      <c r="F142" s="49">
        <f>VLOOKUP($A142,'Data shares'!$C:$FA,129)</f>
        <v>273000</v>
      </c>
      <c r="G142" s="17"/>
    </row>
    <row r="143" spans="1:7" x14ac:dyDescent="0.25">
      <c r="A143" s="101" t="s">
        <v>486</v>
      </c>
      <c r="B143" s="17">
        <v>32559242</v>
      </c>
      <c r="C143" s="17">
        <v>4156800</v>
      </c>
      <c r="D143" s="17">
        <f t="shared" si="2"/>
        <v>4156800</v>
      </c>
      <c r="E143" s="49">
        <f>VLOOKUP($A143,'Data shares'!$C:$FA,128)*100</f>
        <v>4.0199999999999996</v>
      </c>
      <c r="F143" s="49">
        <f>VLOOKUP($A143,'Data shares'!$C:$FA,129)</f>
        <v>66550</v>
      </c>
      <c r="G143" s="17"/>
    </row>
    <row r="144" spans="1:7" x14ac:dyDescent="0.25">
      <c r="A144" s="101" t="s">
        <v>190</v>
      </c>
      <c r="B144" s="17">
        <v>256482590</v>
      </c>
      <c r="C144" s="17">
        <v>208761000</v>
      </c>
      <c r="D144" s="17">
        <f t="shared" si="2"/>
        <v>208761000</v>
      </c>
      <c r="E144" s="49">
        <f>VLOOKUP($A144,'Data shares'!$C:$FA,128)*100</f>
        <v>2.52</v>
      </c>
      <c r="F144" s="49">
        <f>VLOOKUP($A144,'Data shares'!$C:$FA,129)</f>
        <v>1399125</v>
      </c>
      <c r="G144" s="17"/>
    </row>
    <row r="145" spans="1:7" x14ac:dyDescent="0.25">
      <c r="A145" s="101" t="s">
        <v>303</v>
      </c>
      <c r="B145" s="17">
        <v>109653438</v>
      </c>
      <c r="C145" s="17">
        <v>37709100</v>
      </c>
      <c r="D145" s="17">
        <f t="shared" si="2"/>
        <v>37709100</v>
      </c>
      <c r="E145" s="49">
        <f>VLOOKUP($A145,'Data shares'!$C:$FA,128)*100</f>
        <v>2.11</v>
      </c>
      <c r="F145" s="49">
        <f>VLOOKUP($A145,'Data shares'!$C:$FA,129)</f>
        <v>726280</v>
      </c>
      <c r="G145" s="17"/>
    </row>
    <row r="146" spans="1:7" x14ac:dyDescent="0.25">
      <c r="A146" s="101" t="s">
        <v>255</v>
      </c>
      <c r="B146" s="17">
        <v>26359259</v>
      </c>
      <c r="C146" s="17">
        <v>6916100</v>
      </c>
      <c r="D146" s="17">
        <f t="shared" si="2"/>
        <v>6916100</v>
      </c>
      <c r="E146" s="49">
        <f>VLOOKUP($A146,'Data shares'!$C:$FA,128)*100</f>
        <v>2.5499999999999998</v>
      </c>
      <c r="F146" s="49">
        <f>VLOOKUP($A146,'Data shares'!$C:$FA,129)</f>
        <v>79850</v>
      </c>
      <c r="G146" s="17"/>
    </row>
    <row r="147" spans="1:7" x14ac:dyDescent="0.25">
      <c r="A147" s="101" t="s">
        <v>180</v>
      </c>
      <c r="B147" s="17">
        <v>372635498</v>
      </c>
      <c r="C147" s="17">
        <v>233426700</v>
      </c>
      <c r="D147" s="17">
        <f t="shared" si="2"/>
        <v>233426700</v>
      </c>
      <c r="E147" s="49">
        <f>VLOOKUP($A147,'Data shares'!$C:$FA,128)*100</f>
        <v>1.63</v>
      </c>
      <c r="F147" s="49">
        <f>VLOOKUP($A147,'Data shares'!$C:$FA,129)</f>
        <v>2067975</v>
      </c>
      <c r="G147" s="17"/>
    </row>
    <row r="148" spans="1:7" x14ac:dyDescent="0.25">
      <c r="A148" s="101" t="s">
        <v>179</v>
      </c>
      <c r="B148" s="17">
        <v>193321473</v>
      </c>
      <c r="C148" s="17">
        <v>47098800</v>
      </c>
      <c r="D148" s="17">
        <f t="shared" si="2"/>
        <v>47098800</v>
      </c>
      <c r="E148" s="49">
        <f>VLOOKUP($A148,'Data shares'!$C:$FA,128)*100</f>
        <v>5.0299999999999994</v>
      </c>
      <c r="F148" s="49">
        <f>VLOOKUP($A148,'Data shares'!$C:$FA,129)</f>
        <v>4507200</v>
      </c>
    </row>
    <row r="149" spans="1:7" x14ac:dyDescent="0.25">
      <c r="A149" s="101" t="s">
        <v>253</v>
      </c>
      <c r="B149" s="17">
        <v>109926618</v>
      </c>
      <c r="C149" s="17">
        <v>54285000</v>
      </c>
      <c r="D149" s="17">
        <f t="shared" si="2"/>
        <v>54285000</v>
      </c>
      <c r="E149" s="49">
        <f>VLOOKUP($A149,'Data shares'!$C:$FA,128)*100</f>
        <v>1.58</v>
      </c>
      <c r="F149" s="49">
        <f>VLOOKUP($A149,'Data shares'!$C:$FA,129)</f>
        <v>369000</v>
      </c>
    </row>
    <row r="150" spans="1:7" x14ac:dyDescent="0.25">
      <c r="A150" s="101" t="s">
        <v>261</v>
      </c>
      <c r="B150" s="17">
        <v>611563</v>
      </c>
      <c r="C150" s="17">
        <v>120180</v>
      </c>
      <c r="D150" s="17">
        <f t="shared" si="2"/>
        <v>120180</v>
      </c>
      <c r="E150" s="49">
        <f>VLOOKUP($A150,'Data shares'!$C:$FA,128)*100</f>
        <v>1.31</v>
      </c>
      <c r="F150" s="49">
        <f>VLOOKUP($A150,'Data shares'!$C:$FA,129)</f>
        <v>55550</v>
      </c>
    </row>
    <row r="151" spans="1:7" x14ac:dyDescent="0.25">
      <c r="A151" s="101" t="s">
        <v>164</v>
      </c>
      <c r="B151" s="17">
        <v>145854205</v>
      </c>
      <c r="C151" s="17">
        <v>46824000</v>
      </c>
      <c r="D151" s="17">
        <f t="shared" si="2"/>
        <v>46824000</v>
      </c>
      <c r="E151" s="49">
        <f>VLOOKUP($A151,'Data shares'!$C:$FA,128)*100</f>
        <v>1.71</v>
      </c>
      <c r="F151" s="49">
        <f>VLOOKUP($A151,'Data shares'!$C:$FA,129)</f>
        <v>670950</v>
      </c>
    </row>
    <row r="152" spans="1:7" x14ac:dyDescent="0.25">
      <c r="A152" s="101" t="s">
        <v>526</v>
      </c>
      <c r="B152" s="17">
        <v>44365911</v>
      </c>
      <c r="C152" s="17">
        <v>20668300</v>
      </c>
      <c r="D152" s="17">
        <f t="shared" si="2"/>
        <v>20668300</v>
      </c>
      <c r="E152" s="49">
        <f>VLOOKUP($A152,'Data shares'!$C:$FA,128)*100</f>
        <v>3.6799999999999997</v>
      </c>
      <c r="F152" s="49">
        <f>VLOOKUP($A152,'Data shares'!$C:$FA,129)</f>
        <v>945000</v>
      </c>
    </row>
    <row r="153" spans="1:7" x14ac:dyDescent="0.25">
      <c r="A153" s="101" t="s">
        <v>515</v>
      </c>
      <c r="B153" s="17">
        <v>3083179</v>
      </c>
      <c r="C153" s="17">
        <v>492075</v>
      </c>
      <c r="D153" s="17">
        <f t="shared" si="2"/>
        <v>492075</v>
      </c>
      <c r="E153" s="49">
        <f>VLOOKUP($A153,'Data shares'!$C:$FA,128)*100</f>
        <v>3.6799999999999997</v>
      </c>
      <c r="F153" s="49">
        <f>VLOOKUP($A153,'Data shares'!$C:$FA,129)</f>
        <v>945000</v>
      </c>
    </row>
    <row r="154" spans="1:7" x14ac:dyDescent="0.25">
      <c r="A154" s="101" t="s">
        <v>226</v>
      </c>
      <c r="B154" s="17">
        <v>26072630</v>
      </c>
      <c r="C154" s="17">
        <v>9897900</v>
      </c>
      <c r="D154" s="17">
        <f t="shared" si="2"/>
        <v>9897900</v>
      </c>
      <c r="E154" s="49">
        <f>VLOOKUP($A154,'Data shares'!$C:$FA,128)*100</f>
        <v>5.81</v>
      </c>
      <c r="F154" s="49">
        <f>VLOOKUP($A154,'Data shares'!$C:$FA,129)</f>
        <v>262350</v>
      </c>
    </row>
    <row r="155" spans="1:7" x14ac:dyDescent="0.25">
      <c r="A155" s="101" t="s">
        <v>544</v>
      </c>
      <c r="B155" s="17">
        <v>139989683</v>
      </c>
      <c r="C155" s="17">
        <v>28415200</v>
      </c>
      <c r="D155" s="17">
        <f t="shared" si="2"/>
        <v>28415200</v>
      </c>
      <c r="E155" s="49">
        <f>VLOOKUP($A155,'Data shares'!$C:$FA,128)*100</f>
        <v>2.11</v>
      </c>
      <c r="F155" s="49">
        <f>VLOOKUP($A155,'Data shares'!$C:$FA,129)</f>
        <v>1227600</v>
      </c>
    </row>
    <row r="156" spans="1:7" x14ac:dyDescent="0.25">
      <c r="A156" s="101" t="s">
        <v>547</v>
      </c>
      <c r="B156" s="17">
        <v>65482129</v>
      </c>
      <c r="C156" s="17">
        <v>33944200</v>
      </c>
      <c r="D156" s="17">
        <f t="shared" si="2"/>
        <v>33944200</v>
      </c>
      <c r="E156" s="49">
        <f>VLOOKUP($A156,'Data shares'!$C:$FA,128)*100</f>
        <v>1.1299999999999999</v>
      </c>
      <c r="F156" s="49">
        <f>VLOOKUP($A156,'Data shares'!$C:$FA,129)</f>
        <v>679000</v>
      </c>
    </row>
    <row r="157" spans="1:7" x14ac:dyDescent="0.25">
      <c r="A157" s="101" t="s">
        <v>499</v>
      </c>
      <c r="B157" s="17">
        <v>66687240</v>
      </c>
      <c r="C157" s="17">
        <v>16125200</v>
      </c>
      <c r="D157" s="17">
        <f t="shared" si="2"/>
        <v>16125200</v>
      </c>
      <c r="E157" s="49">
        <f>VLOOKUP($A157,'Data shares'!$C:$FA,128)*100</f>
        <v>2.11</v>
      </c>
      <c r="F157" s="49">
        <f>VLOOKUP($A157,'Data shares'!$C:$FA,129)</f>
        <v>1227600</v>
      </c>
    </row>
    <row r="158" spans="1:7" x14ac:dyDescent="0.25">
      <c r="A158" s="101" t="s">
        <v>483</v>
      </c>
      <c r="B158" s="17">
        <v>16146181</v>
      </c>
      <c r="C158" s="17">
        <v>1914250</v>
      </c>
      <c r="D158" s="17">
        <f t="shared" si="2"/>
        <v>1914250</v>
      </c>
      <c r="E158" s="49">
        <f>VLOOKUP($A158,'Data shares'!$C:$FA,128)*100</f>
        <v>1.95</v>
      </c>
      <c r="F158" s="49">
        <f>VLOOKUP($A158,'Data shares'!$C:$FA,129)</f>
        <v>26250</v>
      </c>
    </row>
    <row r="159" spans="1:7" x14ac:dyDescent="0.25">
      <c r="A159" s="101" t="s">
        <v>546</v>
      </c>
      <c r="B159" s="17">
        <v>18282414</v>
      </c>
      <c r="C159" s="17">
        <v>13742300</v>
      </c>
      <c r="D159" s="17">
        <f t="shared" si="2"/>
        <v>13742300</v>
      </c>
      <c r="E159" s="49">
        <f>VLOOKUP($A159,'Data shares'!$C:$FA,128)*100</f>
        <v>3.25</v>
      </c>
      <c r="F159" s="49">
        <f>VLOOKUP($A159,'Data shares'!$C:$FA,129)</f>
        <v>4701150</v>
      </c>
    </row>
    <row r="160" spans="1:7" x14ac:dyDescent="0.25">
      <c r="A160" s="101" t="s">
        <v>220</v>
      </c>
      <c r="B160" s="17">
        <v>50687734</v>
      </c>
      <c r="C160" s="17">
        <v>6783500</v>
      </c>
      <c r="D160" s="17">
        <f t="shared" si="2"/>
        <v>6783500</v>
      </c>
      <c r="E160" s="49">
        <f>VLOOKUP($A160,'Data shares'!$C:$FA,128)*100</f>
        <v>1.79</v>
      </c>
      <c r="F160" s="49">
        <f>VLOOKUP($A160,'Data shares'!$C:$FA,129)</f>
        <v>160000</v>
      </c>
    </row>
    <row r="161" spans="1:6" x14ac:dyDescent="0.25">
      <c r="A161" s="101" t="s">
        <v>472</v>
      </c>
      <c r="B161" s="17">
        <v>50993734</v>
      </c>
      <c r="C161" s="17">
        <v>3803750</v>
      </c>
      <c r="D161" s="17">
        <f t="shared" si="2"/>
        <v>3803750</v>
      </c>
      <c r="E161" s="49">
        <f>VLOOKUP($A161,'Data shares'!$C:$FA,128)*100</f>
        <v>0.4</v>
      </c>
      <c r="F161" s="49">
        <f>VLOOKUP($A161,'Data shares'!$C:$FA,129)</f>
        <v>21125</v>
      </c>
    </row>
    <row r="162" spans="1:6" x14ac:dyDescent="0.25">
      <c r="A162" t="s">
        <v>535</v>
      </c>
      <c r="B162">
        <v>78168147</v>
      </c>
      <c r="C162">
        <v>9571500</v>
      </c>
      <c r="D162" s="17">
        <f t="shared" ref="D162:D204" si="3">C162</f>
        <v>9571500</v>
      </c>
      <c r="E162" s="49">
        <f>VLOOKUP($A162,'Data shares'!$C:$FA,128)*100</f>
        <v>3.29</v>
      </c>
      <c r="F162" s="49">
        <f>VLOOKUP($A162,'Data shares'!$C:$FA,129)</f>
        <v>595000</v>
      </c>
    </row>
    <row r="163" spans="1:6" x14ac:dyDescent="0.25">
      <c r="A163" t="s">
        <v>492</v>
      </c>
      <c r="B163">
        <v>28779078</v>
      </c>
      <c r="C163">
        <v>14404150</v>
      </c>
      <c r="D163" s="17">
        <f t="shared" si="3"/>
        <v>14404150</v>
      </c>
      <c r="E163" s="49">
        <f>VLOOKUP($A163,'Data shares'!$C:$FA,128)*100</f>
        <v>2.1999999999999997</v>
      </c>
      <c r="F163" s="49">
        <f>VLOOKUP($A163,'Data shares'!$C:$FA,129)</f>
        <v>208725</v>
      </c>
    </row>
    <row r="164" spans="1:6" x14ac:dyDescent="0.25">
      <c r="A164" t="s">
        <v>298</v>
      </c>
      <c r="B164">
        <v>9731600</v>
      </c>
      <c r="C164">
        <v>863500</v>
      </c>
      <c r="D164" s="17">
        <f t="shared" si="3"/>
        <v>863500</v>
      </c>
      <c r="E164" s="49">
        <f>VLOOKUP($A164,'Data shares'!$C:$FA,128)*100</f>
        <v>0.53</v>
      </c>
      <c r="F164" s="49">
        <f>VLOOKUP($A164,'Data shares'!$C:$FA,129)</f>
        <v>10000</v>
      </c>
    </row>
    <row r="165" spans="1:6" x14ac:dyDescent="0.25">
      <c r="A165" t="s">
        <v>548</v>
      </c>
      <c r="B165">
        <v>442076</v>
      </c>
      <c r="C165">
        <v>9615</v>
      </c>
      <c r="D165" s="17">
        <f t="shared" si="3"/>
        <v>9615</v>
      </c>
      <c r="E165" s="49">
        <f>VLOOKUP($A165,'Data shares'!$C:$FA,128)*100</f>
        <v>4.68</v>
      </c>
      <c r="F165" s="49">
        <f>VLOOKUP($A165,'Data shares'!$C:$FA,129)</f>
        <v>1221325</v>
      </c>
    </row>
    <row r="166" spans="1:6" x14ac:dyDescent="0.25">
      <c r="A166" t="s">
        <v>530</v>
      </c>
      <c r="B166">
        <v>3258166</v>
      </c>
      <c r="C166">
        <v>219750</v>
      </c>
      <c r="D166" s="17">
        <f t="shared" si="3"/>
        <v>219750</v>
      </c>
      <c r="E166" s="49">
        <f>VLOOKUP($A166,'Data shares'!$C:$FA,128)*100</f>
        <v>3.0300000000000002</v>
      </c>
      <c r="F166" s="49">
        <f>VLOOKUP($A166,'Data shares'!$C:$FA,129)</f>
        <v>208250</v>
      </c>
    </row>
    <row r="167" spans="1:6" x14ac:dyDescent="0.25">
      <c r="A167" t="s">
        <v>249</v>
      </c>
      <c r="B167">
        <v>277168216</v>
      </c>
      <c r="C167">
        <v>21795375</v>
      </c>
      <c r="D167" s="17">
        <f t="shared" si="3"/>
        <v>21795375</v>
      </c>
      <c r="E167" s="49">
        <f>VLOOKUP($A167,'Data shares'!$C:$FA,128)*100</f>
        <v>2.1399999999999997</v>
      </c>
      <c r="F167" s="49">
        <f>VLOOKUP($A167,'Data shares'!$C:$FA,129)</f>
        <v>344750</v>
      </c>
    </row>
    <row r="168" spans="1:6" x14ac:dyDescent="0.25">
      <c r="A168" t="s">
        <v>216</v>
      </c>
      <c r="B168">
        <v>484955219</v>
      </c>
      <c r="C168">
        <v>230400000</v>
      </c>
      <c r="D168" s="17">
        <f t="shared" si="3"/>
        <v>230400000</v>
      </c>
      <c r="E168" s="49">
        <f>VLOOKUP($A168,'Data shares'!$C:$FA,128)*100</f>
        <v>3.25</v>
      </c>
      <c r="F168" s="49">
        <f>VLOOKUP($A168,'Data shares'!$C:$FA,129)</f>
        <v>4701150</v>
      </c>
    </row>
    <row r="169" spans="1:6" x14ac:dyDescent="0.25">
      <c r="A169" t="s">
        <v>252</v>
      </c>
      <c r="B169">
        <v>117640832</v>
      </c>
      <c r="C169">
        <v>52456000</v>
      </c>
      <c r="D169" s="17">
        <f t="shared" si="3"/>
        <v>52456000</v>
      </c>
      <c r="E169" s="49">
        <f>VLOOKUP($A169,'Data shares'!$C:$FA,128)*100</f>
        <v>1.66</v>
      </c>
      <c r="F169" s="49">
        <f>VLOOKUP($A169,'Data shares'!$C:$FA,129)</f>
        <v>328200</v>
      </c>
    </row>
    <row r="170" spans="1:6" x14ac:dyDescent="0.25">
      <c r="A170" t="s">
        <v>205</v>
      </c>
      <c r="B170">
        <v>25513876</v>
      </c>
      <c r="C170">
        <v>3302300</v>
      </c>
      <c r="D170" s="17">
        <f t="shared" si="3"/>
        <v>3302300</v>
      </c>
      <c r="E170" s="49">
        <f>VLOOKUP($A170,'Data shares'!$C:$FA,128)*100</f>
        <v>1.9</v>
      </c>
      <c r="F170" s="49">
        <f>VLOOKUP($A170,'Data shares'!$C:$FA,129)</f>
        <v>42900</v>
      </c>
    </row>
    <row r="171" spans="1:6" x14ac:dyDescent="0.25">
      <c r="A171" t="s">
        <v>194</v>
      </c>
      <c r="B171">
        <v>202646440</v>
      </c>
      <c r="C171">
        <v>52470000</v>
      </c>
      <c r="D171" s="17">
        <f t="shared" si="3"/>
        <v>52470000</v>
      </c>
      <c r="E171" s="49">
        <f>VLOOKUP($A171,'Data shares'!$C:$FA,128)*100</f>
        <v>1.41</v>
      </c>
      <c r="F171" s="49">
        <f>VLOOKUP($A171,'Data shares'!$C:$FA,129)</f>
        <v>393025</v>
      </c>
    </row>
    <row r="172" spans="1:6" x14ac:dyDescent="0.25">
      <c r="A172" t="s">
        <v>263</v>
      </c>
      <c r="B172">
        <v>178967755</v>
      </c>
      <c r="C172">
        <v>142910500</v>
      </c>
      <c r="D172" s="17">
        <f t="shared" si="3"/>
        <v>142910500</v>
      </c>
      <c r="E172" s="49">
        <f>VLOOKUP($A172,'Data shares'!$C:$FA,128)*100</f>
        <v>2.86</v>
      </c>
      <c r="F172" s="49">
        <f>VLOOKUP($A172,'Data shares'!$C:$FA,129)</f>
        <v>1747500</v>
      </c>
    </row>
    <row r="173" spans="1:6" x14ac:dyDescent="0.25">
      <c r="A173" t="s">
        <v>476</v>
      </c>
      <c r="B173">
        <v>40446155</v>
      </c>
      <c r="C173">
        <v>4358800</v>
      </c>
      <c r="D173" s="17">
        <f t="shared" si="3"/>
        <v>4358800</v>
      </c>
      <c r="E173" s="49">
        <f>VLOOKUP($A173,'Data shares'!$C:$FA,128)*100</f>
        <v>1.29</v>
      </c>
      <c r="F173" s="49">
        <f>VLOOKUP($A173,'Data shares'!$C:$FA,129)</f>
        <v>32000</v>
      </c>
    </row>
    <row r="174" spans="1:6" x14ac:dyDescent="0.25">
      <c r="A174" t="s">
        <v>187</v>
      </c>
      <c r="B174">
        <v>51436398</v>
      </c>
      <c r="C174">
        <v>7413750</v>
      </c>
      <c r="D174" s="17">
        <f t="shared" si="3"/>
        <v>7413750</v>
      </c>
      <c r="E174" s="49">
        <f>VLOOKUP($A174,'Data shares'!$C:$FA,128)*100</f>
        <v>2.2399999999999998</v>
      </c>
      <c r="F174" s="49">
        <f>VLOOKUP($A174,'Data shares'!$C:$FA,129)</f>
        <v>184000</v>
      </c>
    </row>
    <row r="175" spans="1:6" x14ac:dyDescent="0.25">
      <c r="A175" t="s">
        <v>493</v>
      </c>
      <c r="B175">
        <v>14814614</v>
      </c>
      <c r="C175">
        <v>3344250</v>
      </c>
      <c r="D175" s="17">
        <f t="shared" si="3"/>
        <v>3344250</v>
      </c>
      <c r="E175" s="49">
        <f>VLOOKUP($A175,'Data shares'!$C:$FA,128)*100</f>
        <v>0.9900000000000001</v>
      </c>
      <c r="F175" s="49">
        <f>VLOOKUP($A175,'Data shares'!$C:$FA,129)</f>
        <v>21125</v>
      </c>
    </row>
    <row r="176" spans="1:6" x14ac:dyDescent="0.25">
      <c r="A176" t="s">
        <v>525</v>
      </c>
      <c r="B176">
        <v>35635456</v>
      </c>
      <c r="C176">
        <v>28959300</v>
      </c>
      <c r="D176" s="17">
        <f t="shared" si="3"/>
        <v>28959300</v>
      </c>
      <c r="E176" s="49">
        <f>VLOOKUP($A176,'Data shares'!$C:$FA,128)*100</f>
        <v>2.6</v>
      </c>
      <c r="F176" s="49">
        <f>VLOOKUP($A176,'Data shares'!$C:$FA,129)</f>
        <v>468950</v>
      </c>
    </row>
    <row r="177" spans="1:6" x14ac:dyDescent="0.25">
      <c r="A177" t="s">
        <v>512</v>
      </c>
      <c r="B177">
        <v>7771646</v>
      </c>
      <c r="C177">
        <v>1119375</v>
      </c>
      <c r="D177" s="17">
        <f t="shared" si="3"/>
        <v>1119375</v>
      </c>
      <c r="E177" s="49">
        <f>VLOOKUP($A177,'Data shares'!$C:$FA,128)*100</f>
        <v>3.62</v>
      </c>
      <c r="F177" s="49">
        <f>VLOOKUP($A177,'Data shares'!$C:$FA,129)</f>
        <v>45800</v>
      </c>
    </row>
    <row r="178" spans="1:6" x14ac:dyDescent="0.25">
      <c r="A178" t="s">
        <v>233</v>
      </c>
      <c r="B178">
        <v>76432837</v>
      </c>
      <c r="C178">
        <v>9804000</v>
      </c>
      <c r="D178" s="17">
        <f t="shared" si="3"/>
        <v>9804000</v>
      </c>
      <c r="E178" s="49">
        <f>VLOOKUP($A178,'Data shares'!$C:$FA,128)*100</f>
        <v>1.7399999999999998</v>
      </c>
      <c r="F178" s="49">
        <f>VLOOKUP($A178,'Data shares'!$C:$FA,129)</f>
        <v>195175</v>
      </c>
    </row>
    <row r="179" spans="1:6" x14ac:dyDescent="0.25">
      <c r="A179" t="s">
        <v>183</v>
      </c>
      <c r="B179">
        <v>12092405</v>
      </c>
      <c r="C179">
        <v>2606450</v>
      </c>
      <c r="D179" s="17">
        <f t="shared" si="3"/>
        <v>2606450</v>
      </c>
      <c r="E179" s="49">
        <f>VLOOKUP($A179,'Data shares'!$C:$FA,128)*100</f>
        <v>9.3000000000000007</v>
      </c>
      <c r="F179" s="49">
        <f>VLOOKUP($A179,'Data shares'!$C:$FA,129)</f>
        <v>191940</v>
      </c>
    </row>
    <row r="180" spans="1:6" x14ac:dyDescent="0.25">
      <c r="A180" t="s">
        <v>280</v>
      </c>
      <c r="B180">
        <v>187084550</v>
      </c>
      <c r="C180">
        <v>50568000</v>
      </c>
      <c r="D180" s="17">
        <f t="shared" si="3"/>
        <v>50568000</v>
      </c>
      <c r="E180" s="49">
        <f>VLOOKUP($A180,'Data shares'!$C:$FA,128)*100</f>
        <v>13.370000000000001</v>
      </c>
      <c r="F180" s="49">
        <f>VLOOKUP($A180,'Data shares'!$C:$FA,129)</f>
        <v>9999825</v>
      </c>
    </row>
    <row r="181" spans="1:6" x14ac:dyDescent="0.25">
      <c r="A181" t="s">
        <v>166</v>
      </c>
      <c r="B181">
        <v>79597108</v>
      </c>
      <c r="C181">
        <v>26630000</v>
      </c>
      <c r="D181" s="17">
        <f t="shared" si="3"/>
        <v>26630000</v>
      </c>
      <c r="E181" s="49">
        <f>VLOOKUP($A181,'Data shares'!$C:$FA,128)*100</f>
        <v>1.1199999999999999</v>
      </c>
      <c r="F181" s="49">
        <f>VLOOKUP($A181,'Data shares'!$C:$FA,129)</f>
        <v>31125</v>
      </c>
    </row>
    <row r="182" spans="1:6" x14ac:dyDescent="0.25">
      <c r="A182" t="s">
        <v>241</v>
      </c>
      <c r="B182">
        <v>913205148</v>
      </c>
      <c r="C182">
        <v>118527500</v>
      </c>
      <c r="D182" s="17">
        <f t="shared" si="3"/>
        <v>118527500</v>
      </c>
      <c r="E182" s="49">
        <f>VLOOKUP($A182,'Data shares'!$C:$FA,128)*100</f>
        <v>2.94</v>
      </c>
      <c r="F182" s="49">
        <f>VLOOKUP($A182,'Data shares'!$C:$FA,129)</f>
        <v>2418000</v>
      </c>
    </row>
    <row r="183" spans="1:6" x14ac:dyDescent="0.25">
      <c r="A183" t="s">
        <v>517</v>
      </c>
      <c r="B183">
        <v>10180563</v>
      </c>
      <c r="C183">
        <v>3926650</v>
      </c>
      <c r="D183" s="17">
        <f t="shared" si="3"/>
        <v>3926650</v>
      </c>
      <c r="E183" s="49">
        <f>VLOOKUP($A183,'Data shares'!$C:$FA,128)*100</f>
        <v>2.33</v>
      </c>
      <c r="F183" s="49">
        <f>VLOOKUP($A183,'Data shares'!$C:$FA,129)</f>
        <v>53375</v>
      </c>
    </row>
    <row r="184" spans="1:6" x14ac:dyDescent="0.25">
      <c r="A184" t="s">
        <v>211</v>
      </c>
      <c r="B184">
        <v>91809066</v>
      </c>
      <c r="C184">
        <v>33516000</v>
      </c>
      <c r="D184" s="17">
        <f t="shared" si="3"/>
        <v>33516000</v>
      </c>
      <c r="E184" s="49">
        <f>VLOOKUP($A184,'Data shares'!$C:$FA,128)*100</f>
        <v>3.58</v>
      </c>
      <c r="F184" s="49">
        <f>VLOOKUP($A184,'Data shares'!$C:$FA,129)</f>
        <v>1090800</v>
      </c>
    </row>
    <row r="185" spans="1:6" x14ac:dyDescent="0.25">
      <c r="A185" t="s">
        <v>518</v>
      </c>
      <c r="B185">
        <v>4636018</v>
      </c>
      <c r="C185">
        <v>608375</v>
      </c>
      <c r="D185" s="17">
        <f t="shared" si="3"/>
        <v>608375</v>
      </c>
      <c r="E185" s="49">
        <f>VLOOKUP($A185,'Data shares'!$C:$FA,128)*100</f>
        <v>2.69</v>
      </c>
      <c r="F185" s="49">
        <f>VLOOKUP($A185,'Data shares'!$C:$FA,129)</f>
        <v>24375</v>
      </c>
    </row>
    <row r="186" spans="1:6" x14ac:dyDescent="0.25">
      <c r="A186" t="s">
        <v>511</v>
      </c>
      <c r="B186">
        <v>18644752</v>
      </c>
      <c r="C186">
        <v>4227600</v>
      </c>
      <c r="D186" s="17">
        <f t="shared" si="3"/>
        <v>4227600</v>
      </c>
      <c r="E186" s="49">
        <f>VLOOKUP($A186,'Data shares'!$C:$FA,128)*100</f>
        <v>2.17</v>
      </c>
      <c r="F186" s="49">
        <f>VLOOKUP($A186,'Data shares'!$C:$FA,129)</f>
        <v>5541750</v>
      </c>
    </row>
    <row r="187" spans="1:6" x14ac:dyDescent="0.25">
      <c r="A187" t="s">
        <v>186</v>
      </c>
      <c r="B187">
        <v>48589957</v>
      </c>
      <c r="C187">
        <v>5942200</v>
      </c>
      <c r="D187" s="17">
        <f t="shared" si="3"/>
        <v>5942200</v>
      </c>
      <c r="E187" s="49">
        <f>VLOOKUP($A187,'Data shares'!$C:$FA,128)*100</f>
        <v>4.5999999999999996</v>
      </c>
      <c r="F187" s="49">
        <f>VLOOKUP($A187,'Data shares'!$C:$FA,129)</f>
        <v>4474500</v>
      </c>
    </row>
    <row r="188" spans="1:6" x14ac:dyDescent="0.25">
      <c r="A188" t="s">
        <v>522</v>
      </c>
      <c r="B188">
        <v>1063050</v>
      </c>
      <c r="C188">
        <v>54050</v>
      </c>
      <c r="D188" s="17">
        <f t="shared" si="3"/>
        <v>54050</v>
      </c>
      <c r="E188" s="49">
        <f>VLOOKUP($A188,'Data shares'!$C:$FA,128)*100</f>
        <v>2.54</v>
      </c>
      <c r="F188" s="49">
        <f>VLOOKUP($A188,'Data shares'!$C:$FA,129)</f>
        <v>58500</v>
      </c>
    </row>
    <row r="189" spans="1:6" x14ac:dyDescent="0.25">
      <c r="A189" t="s">
        <v>300</v>
      </c>
      <c r="B189">
        <v>45360865</v>
      </c>
      <c r="C189">
        <v>14277200</v>
      </c>
      <c r="D189" s="17">
        <f t="shared" si="3"/>
        <v>14277200</v>
      </c>
      <c r="E189" s="49">
        <f>VLOOKUP($A189,'Data shares'!$C:$FA,128)*100</f>
        <v>1.0999999999999999</v>
      </c>
      <c r="F189" s="49">
        <f>VLOOKUP($A189,'Data shares'!$C:$FA,129)</f>
        <v>95550</v>
      </c>
    </row>
    <row r="190" spans="1:6" x14ac:dyDescent="0.25">
      <c r="A190" t="s">
        <v>520</v>
      </c>
      <c r="B190">
        <v>23139622</v>
      </c>
      <c r="C190">
        <v>1555500</v>
      </c>
      <c r="D190" s="17">
        <f t="shared" si="3"/>
        <v>1555500</v>
      </c>
      <c r="E190" s="49">
        <f>VLOOKUP($A190,'Data shares'!$C:$FA,128)*100</f>
        <v>1.9300000000000002</v>
      </c>
      <c r="F190" s="49">
        <f>VLOOKUP($A190,'Data shares'!$C:$FA,129)</f>
        <v>172000</v>
      </c>
    </row>
    <row r="191" spans="1:6" x14ac:dyDescent="0.25">
      <c r="A191" t="s">
        <v>294</v>
      </c>
      <c r="B191">
        <v>161436977</v>
      </c>
      <c r="C191">
        <v>59382700</v>
      </c>
      <c r="D191" s="17">
        <f t="shared" si="3"/>
        <v>59382700</v>
      </c>
      <c r="E191" s="49">
        <f>VLOOKUP($A191,'Data shares'!$C:$FA,128)*100</f>
        <v>2.6</v>
      </c>
      <c r="F191" s="49">
        <f>VLOOKUP($A191,'Data shares'!$C:$FA,129)</f>
        <v>4114000</v>
      </c>
    </row>
    <row r="192" spans="1:6" x14ac:dyDescent="0.25">
      <c r="A192" t="s">
        <v>244</v>
      </c>
      <c r="B192">
        <v>265685393</v>
      </c>
      <c r="C192">
        <v>44023500</v>
      </c>
      <c r="D192" s="17">
        <f t="shared" si="3"/>
        <v>44023500</v>
      </c>
      <c r="E192" s="49">
        <f>VLOOKUP($A192,'Data shares'!$C:$FA,128)*100</f>
        <v>0.44</v>
      </c>
      <c r="F192" s="49">
        <f>VLOOKUP($A192,'Data shares'!$C:$FA,129)</f>
        <v>181575</v>
      </c>
    </row>
    <row r="193" spans="1:6" x14ac:dyDescent="0.25">
      <c r="A193" t="s">
        <v>160</v>
      </c>
      <c r="B193">
        <v>145684825</v>
      </c>
      <c r="C193">
        <v>110820000</v>
      </c>
      <c r="D193" s="17">
        <f t="shared" si="3"/>
        <v>110820000</v>
      </c>
      <c r="E193" s="49">
        <f>VLOOKUP($A193,'Data shares'!$C:$FA,128)*100</f>
        <v>2.75</v>
      </c>
      <c r="F193" s="49">
        <f>VLOOKUP($A193,'Data shares'!$C:$FA,129)</f>
        <v>567625</v>
      </c>
    </row>
    <row r="194" spans="1:6" x14ac:dyDescent="0.25">
      <c r="A194" t="s">
        <v>496</v>
      </c>
      <c r="B194">
        <v>11999202</v>
      </c>
      <c r="C194">
        <v>2345700</v>
      </c>
      <c r="D194" s="17">
        <f t="shared" si="3"/>
        <v>2345700</v>
      </c>
      <c r="E194" s="49">
        <f>VLOOKUP($A194,'Data shares'!$C:$FA,128)*100</f>
        <v>0.65</v>
      </c>
      <c r="F194" s="49">
        <f>VLOOKUP($A194,'Data shares'!$C:$FA,129)</f>
        <v>60200</v>
      </c>
    </row>
    <row r="195" spans="1:6" x14ac:dyDescent="0.25">
      <c r="A195" t="s">
        <v>230</v>
      </c>
      <c r="B195">
        <v>179034270</v>
      </c>
      <c r="C195">
        <v>24257400</v>
      </c>
      <c r="D195" s="17">
        <f t="shared" si="3"/>
        <v>24257400</v>
      </c>
      <c r="E195" s="49">
        <f>VLOOKUP($A195,'Data shares'!$C:$FA,128)*100</f>
        <v>2.41</v>
      </c>
      <c r="F195" s="49">
        <f>VLOOKUP($A195,'Data shares'!$C:$FA,129)</f>
        <v>320400</v>
      </c>
    </row>
    <row r="196" spans="1:6" x14ac:dyDescent="0.25">
      <c r="A196" t="s">
        <v>203</v>
      </c>
      <c r="B196">
        <v>27165463</v>
      </c>
      <c r="C196">
        <v>3318000</v>
      </c>
      <c r="D196" s="17">
        <f t="shared" si="3"/>
        <v>3318000</v>
      </c>
      <c r="E196" s="49">
        <f>VLOOKUP($A196,'Data shares'!$C:$FA,128)*100</f>
        <v>0.98</v>
      </c>
      <c r="F196" s="49">
        <f>VLOOKUP($A196,'Data shares'!$C:$FA,129)</f>
        <v>28400</v>
      </c>
    </row>
    <row r="197" spans="1:6" x14ac:dyDescent="0.25">
      <c r="A197" t="s">
        <v>251</v>
      </c>
      <c r="B197">
        <v>184464522</v>
      </c>
      <c r="C197">
        <v>32566800</v>
      </c>
      <c r="D197" s="17">
        <f t="shared" si="3"/>
        <v>32566800</v>
      </c>
      <c r="E197" s="49">
        <f>VLOOKUP($A197,'Data shares'!$C:$FA,128)*100</f>
        <v>1.66</v>
      </c>
      <c r="F197" s="49">
        <f>VLOOKUP($A197,'Data shares'!$C:$FA,129)</f>
        <v>328200</v>
      </c>
    </row>
    <row r="198" spans="1:6" x14ac:dyDescent="0.25">
      <c r="A198" t="s">
        <v>254</v>
      </c>
      <c r="B198">
        <v>104419539</v>
      </c>
      <c r="C198">
        <v>12741000</v>
      </c>
      <c r="D198" s="17">
        <f t="shared" si="3"/>
        <v>12741000</v>
      </c>
      <c r="E198" s="49">
        <f>VLOOKUP($A198,'Data shares'!$C:$FA,128)*100</f>
        <v>0.44</v>
      </c>
      <c r="F198" s="49">
        <f>VLOOKUP($A198,'Data shares'!$C:$FA,129)</f>
        <v>120000</v>
      </c>
    </row>
    <row r="199" spans="1:6" x14ac:dyDescent="0.25">
      <c r="A199" t="s">
        <v>159</v>
      </c>
      <c r="B199">
        <v>55169320</v>
      </c>
      <c r="C199">
        <v>29565500</v>
      </c>
      <c r="D199" s="17">
        <f t="shared" si="3"/>
        <v>29565500</v>
      </c>
      <c r="E199" s="49">
        <f>VLOOKUP($A199,'Data shares'!$C:$FA,128)*100</f>
        <v>1.63</v>
      </c>
      <c r="F199" s="49">
        <f>VLOOKUP($A199,'Data shares'!$C:$FA,129)</f>
        <v>217500</v>
      </c>
    </row>
    <row r="200" spans="1:6" x14ac:dyDescent="0.25">
      <c r="A200" t="s">
        <v>201</v>
      </c>
      <c r="B200">
        <v>26654592</v>
      </c>
      <c r="C200">
        <v>3469200</v>
      </c>
      <c r="D200" s="17">
        <f t="shared" si="3"/>
        <v>3469200</v>
      </c>
      <c r="E200" s="49">
        <f>VLOOKUP($A200,'Data shares'!$C:$FA,128)*100</f>
        <v>8.2100000000000009</v>
      </c>
      <c r="F200" s="49">
        <f>VLOOKUP($A200,'Data shares'!$C:$FA,129)</f>
        <v>423000</v>
      </c>
    </row>
    <row r="201" spans="1:6" x14ac:dyDescent="0.25">
      <c r="A201" t="s">
        <v>199</v>
      </c>
      <c r="B201">
        <v>102562642</v>
      </c>
      <c r="C201">
        <v>20641400</v>
      </c>
      <c r="D201" s="17">
        <f t="shared" si="3"/>
        <v>20641400</v>
      </c>
      <c r="E201" s="49">
        <f>VLOOKUP($A201,'Data shares'!$C:$FA,128)*100</f>
        <v>0.76</v>
      </c>
      <c r="F201" s="49">
        <f>VLOOKUP($A201,'Data shares'!$C:$FA,129)</f>
        <v>66750</v>
      </c>
    </row>
    <row r="202" spans="1:6" x14ac:dyDescent="0.25">
      <c r="A202" t="s">
        <v>296</v>
      </c>
      <c r="B202">
        <v>124861039</v>
      </c>
      <c r="C202">
        <v>20543400</v>
      </c>
      <c r="D202" s="17">
        <f t="shared" si="3"/>
        <v>20543400</v>
      </c>
      <c r="E202" s="49">
        <f>VLOOKUP($A202,'Data shares'!$C:$FA,128)*100</f>
        <v>8.9499999999999993</v>
      </c>
      <c r="F202" s="49">
        <f>VLOOKUP($A202,'Data shares'!$C:$FA,129)</f>
        <v>1359600</v>
      </c>
    </row>
    <row r="203" spans="1:6" x14ac:dyDescent="0.25">
      <c r="A203" t="s">
        <v>229</v>
      </c>
      <c r="B203">
        <v>127940594</v>
      </c>
      <c r="C203">
        <v>33552900</v>
      </c>
      <c r="D203" s="17">
        <f t="shared" si="3"/>
        <v>33552900</v>
      </c>
      <c r="E203" s="49">
        <f>VLOOKUP($A203,'Data shares'!$C:$FA,128)*100</f>
        <v>1.3</v>
      </c>
      <c r="F203" s="49">
        <f>VLOOKUP($A203,'Data shares'!$C:$FA,129)</f>
        <v>532575</v>
      </c>
    </row>
    <row r="204" spans="1:6" x14ac:dyDescent="0.25">
      <c r="A204" t="s">
        <v>497</v>
      </c>
      <c r="B204">
        <v>10251929</v>
      </c>
      <c r="C204">
        <v>266200</v>
      </c>
      <c r="D204" s="17">
        <f t="shared" si="3"/>
        <v>266200</v>
      </c>
      <c r="E204" s="49">
        <f>VLOOKUP($A204,'Data shares'!$C:$FA,128)*100</f>
        <v>0.6</v>
      </c>
      <c r="F204" s="49">
        <f>VLOOKUP($A204,'Data shares'!$C:$FA,129)</f>
        <v>8000</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G13" sqref="G13"/>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zoomScale="86" zoomScaleNormal="86" workbookViewId="0">
      <selection activeCell="M7" sqref="M7"/>
    </sheetView>
  </sheetViews>
  <sheetFormatPr defaultRowHeight="15" x14ac:dyDescent="0.25"/>
  <cols>
    <col min="1" max="1" width="12.14062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11.285156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6.2851562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10.285156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140625" customWidth="1"/>
    <col min="90" max="90" width="13" customWidth="1"/>
    <col min="91" max="92" width="11.7109375" customWidth="1"/>
    <col min="93" max="93" width="10.42578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8"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2851562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19.1406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45936</v>
      </c>
      <c r="B2" s="227" t="s">
        <v>175</v>
      </c>
      <c r="C2" s="227" t="s">
        <v>684</v>
      </c>
      <c r="D2" s="228">
        <v>500</v>
      </c>
      <c r="E2" s="228">
        <v>22</v>
      </c>
      <c r="F2" s="231">
        <v>1064.5999999999999</v>
      </c>
      <c r="G2" s="231">
        <v>1053.2</v>
      </c>
      <c r="H2" s="228">
        <v>11.4</v>
      </c>
      <c r="I2" s="229">
        <v>1.0800000000000001E-2</v>
      </c>
      <c r="J2" s="231">
        <v>1062.4000000000001</v>
      </c>
      <c r="K2" s="231">
        <v>1049.2</v>
      </c>
      <c r="L2" s="228">
        <v>13.2</v>
      </c>
      <c r="M2" s="229">
        <v>1.26E-2</v>
      </c>
      <c r="N2" s="231">
        <v>1064.5999999999999</v>
      </c>
      <c r="O2" s="231">
        <v>1053.2</v>
      </c>
      <c r="P2" s="228">
        <v>11.4</v>
      </c>
      <c r="Q2" s="229">
        <v>1.0800000000000001E-2</v>
      </c>
      <c r="R2" s="231">
        <v>1066.3</v>
      </c>
      <c r="S2" s="231">
        <v>1054.8</v>
      </c>
      <c r="T2" s="228">
        <v>11.5</v>
      </c>
      <c r="U2" s="229">
        <v>1.09E-2</v>
      </c>
      <c r="V2" s="228">
        <v>0</v>
      </c>
      <c r="W2" s="228">
        <v>0</v>
      </c>
      <c r="X2" s="228">
        <v>0</v>
      </c>
      <c r="Y2" s="229">
        <v>0</v>
      </c>
      <c r="Z2" s="228">
        <v>2.2000000000000002</v>
      </c>
      <c r="AA2" s="228">
        <v>4</v>
      </c>
      <c r="AB2" s="228">
        <v>-1.8</v>
      </c>
      <c r="AC2" s="229">
        <v>2.0999999999999999E-3</v>
      </c>
      <c r="AD2" s="228">
        <v>2.2000000000000002</v>
      </c>
      <c r="AE2" s="228">
        <v>4</v>
      </c>
      <c r="AF2" s="228">
        <v>-1.8</v>
      </c>
      <c r="AG2" s="229">
        <v>2.0999999999999999E-3</v>
      </c>
      <c r="AH2" s="228">
        <v>3.9</v>
      </c>
      <c r="AI2" s="228">
        <v>5.6</v>
      </c>
      <c r="AJ2" s="228">
        <v>-1.7</v>
      </c>
      <c r="AK2" s="229">
        <v>3.7000000000000002E-3</v>
      </c>
      <c r="AL2" s="228">
        <v>0</v>
      </c>
      <c r="AM2" s="228">
        <v>0</v>
      </c>
      <c r="AN2" s="228">
        <v>0</v>
      </c>
      <c r="AO2" s="229">
        <v>0</v>
      </c>
      <c r="AP2" s="231">
        <v>1060.1300000000001</v>
      </c>
      <c r="AQ2" s="231">
        <v>1062.93</v>
      </c>
      <c r="AR2" s="228">
        <v>0</v>
      </c>
      <c r="AS2" s="228">
        <v>32</v>
      </c>
      <c r="AT2" s="228">
        <v>46</v>
      </c>
      <c r="AU2" s="228">
        <v>-14</v>
      </c>
      <c r="AV2" s="229">
        <v>-0.30640000000000001</v>
      </c>
      <c r="AW2" s="228">
        <v>31</v>
      </c>
      <c r="AX2" s="228">
        <v>44</v>
      </c>
      <c r="AY2" s="228">
        <v>-13</v>
      </c>
      <c r="AZ2" s="229">
        <v>-0.30449999999999999</v>
      </c>
      <c r="BA2" s="228">
        <v>1</v>
      </c>
      <c r="BB2" s="228">
        <v>1</v>
      </c>
      <c r="BC2" s="228">
        <v>0</v>
      </c>
      <c r="BD2" s="229">
        <v>-0.375</v>
      </c>
      <c r="BE2" s="228">
        <v>0</v>
      </c>
      <c r="BF2" s="228">
        <v>0</v>
      </c>
      <c r="BG2" s="228">
        <v>0</v>
      </c>
      <c r="BH2" s="229">
        <v>0</v>
      </c>
      <c r="BI2" s="228">
        <v>101</v>
      </c>
      <c r="BJ2" s="228">
        <v>90</v>
      </c>
      <c r="BK2" s="228">
        <v>12</v>
      </c>
      <c r="BL2" s="229">
        <v>0.13139999999999999</v>
      </c>
      <c r="BM2" s="228">
        <v>16</v>
      </c>
      <c r="BN2" s="228">
        <v>20</v>
      </c>
      <c r="BO2" s="228">
        <v>-4</v>
      </c>
      <c r="BP2" s="229">
        <v>-0.20219999999999999</v>
      </c>
      <c r="BQ2" s="228">
        <v>149</v>
      </c>
      <c r="BR2" s="228">
        <v>155</v>
      </c>
      <c r="BS2" s="228">
        <v>-6</v>
      </c>
      <c r="BT2" s="229">
        <v>-3.9899999999999998E-2</v>
      </c>
      <c r="BU2" s="230">
        <v>273331</v>
      </c>
      <c r="BV2" s="230">
        <v>470419</v>
      </c>
      <c r="BW2" s="230">
        <v>-197088</v>
      </c>
      <c r="BX2" s="229">
        <v>-0.41899999999999998</v>
      </c>
      <c r="BY2" s="228">
        <v>264</v>
      </c>
      <c r="BZ2" s="228">
        <v>264</v>
      </c>
      <c r="CA2" s="228">
        <v>0</v>
      </c>
      <c r="CB2" s="229">
        <v>4.0000000000000002E-4</v>
      </c>
      <c r="CC2" s="228">
        <v>261</v>
      </c>
      <c r="CD2" s="228">
        <v>261</v>
      </c>
      <c r="CE2" s="228">
        <v>0</v>
      </c>
      <c r="CF2" s="229">
        <v>4.0000000000000002E-4</v>
      </c>
      <c r="CG2" s="228">
        <v>3</v>
      </c>
      <c r="CH2" s="228">
        <v>3</v>
      </c>
      <c r="CI2" s="228">
        <v>0</v>
      </c>
      <c r="CJ2" s="229">
        <v>0</v>
      </c>
      <c r="CK2" s="228">
        <v>0</v>
      </c>
      <c r="CL2" s="228">
        <v>0</v>
      </c>
      <c r="CM2" s="228">
        <v>0</v>
      </c>
      <c r="CN2" s="229">
        <v>0</v>
      </c>
      <c r="CO2" s="228">
        <v>80</v>
      </c>
      <c r="CP2" s="228">
        <v>65</v>
      </c>
      <c r="CQ2" s="228">
        <v>15</v>
      </c>
      <c r="CR2" s="229">
        <v>0.2273</v>
      </c>
      <c r="CS2" s="228">
        <v>51</v>
      </c>
      <c r="CT2" s="228">
        <v>48</v>
      </c>
      <c r="CU2" s="228">
        <v>3</v>
      </c>
      <c r="CV2" s="229">
        <v>6.2700000000000006E-2</v>
      </c>
      <c r="CW2" s="228">
        <v>395</v>
      </c>
      <c r="CX2" s="228">
        <v>377</v>
      </c>
      <c r="CY2" s="228">
        <v>18</v>
      </c>
      <c r="CZ2" s="229">
        <v>4.7500000000000001E-2</v>
      </c>
      <c r="DA2" s="228">
        <v>28.47</v>
      </c>
      <c r="DB2" s="228">
        <v>27.71</v>
      </c>
      <c r="DC2" s="228">
        <v>0.76</v>
      </c>
      <c r="DD2" s="228">
        <v>0.76</v>
      </c>
      <c r="DE2" s="228">
        <v>46.54</v>
      </c>
      <c r="DF2" s="228">
        <v>46.63</v>
      </c>
      <c r="DG2" s="228">
        <v>-18.07</v>
      </c>
      <c r="DH2" s="228">
        <v>-0.09</v>
      </c>
      <c r="DI2" s="228">
        <v>27.96</v>
      </c>
      <c r="DJ2" s="228">
        <v>27.37</v>
      </c>
      <c r="DK2" s="228">
        <v>0.59</v>
      </c>
      <c r="DL2" s="228">
        <v>0.59</v>
      </c>
      <c r="DM2" s="228">
        <v>31.75</v>
      </c>
      <c r="DN2" s="228">
        <v>29.25</v>
      </c>
      <c r="DO2" s="228">
        <v>2.5</v>
      </c>
      <c r="DP2" s="228">
        <v>2.5</v>
      </c>
      <c r="DQ2" s="228">
        <v>0.63</v>
      </c>
      <c r="DR2" s="228">
        <v>0.73</v>
      </c>
      <c r="DS2" s="228">
        <v>-0.1</v>
      </c>
      <c r="DT2" s="229">
        <v>-0.13700000000000001</v>
      </c>
      <c r="DU2" s="231">
        <v>1100</v>
      </c>
      <c r="DV2" s="231">
        <v>1100</v>
      </c>
      <c r="DW2" s="228">
        <v>0.16</v>
      </c>
      <c r="DX2" s="228">
        <v>0.22</v>
      </c>
      <c r="DY2" s="228">
        <v>-0.06</v>
      </c>
      <c r="DZ2" s="229">
        <v>-0.2727</v>
      </c>
      <c r="EA2" s="229">
        <v>1.29E-2</v>
      </c>
      <c r="EB2" s="230">
        <v>32000</v>
      </c>
      <c r="EC2" s="229">
        <v>1.6000000000000001E-3</v>
      </c>
      <c r="ED2" s="229">
        <v>1.29E-2</v>
      </c>
      <c r="EE2" s="228">
        <v>2.8</v>
      </c>
      <c r="EF2" s="229">
        <v>2.5999999999999999E-3</v>
      </c>
      <c r="EG2" s="230">
        <v>171559</v>
      </c>
      <c r="EH2" s="230">
        <v>243047</v>
      </c>
      <c r="EI2" s="229">
        <v>-0.29409999999999997</v>
      </c>
      <c r="EJ2" s="229">
        <v>0.62770000000000004</v>
      </c>
      <c r="EK2" s="228">
        <v>104.97</v>
      </c>
      <c r="EL2" s="228">
        <v>15.22</v>
      </c>
      <c r="EM2" s="228">
        <v>31.43</v>
      </c>
      <c r="EN2" s="228">
        <v>22.35</v>
      </c>
      <c r="EO2" s="228">
        <v>151.63</v>
      </c>
      <c r="EP2" s="228">
        <v>156.61000000000001</v>
      </c>
      <c r="EQ2" s="228">
        <v>-4.9800000000000004</v>
      </c>
      <c r="ER2" s="229">
        <v>-3.1800000000000002E-2</v>
      </c>
      <c r="ES2" s="228">
        <v>81.22</v>
      </c>
      <c r="ET2" s="228">
        <v>49.89</v>
      </c>
      <c r="EU2" s="228">
        <v>264.29000000000002</v>
      </c>
      <c r="EV2" s="231">
        <v>44660948</v>
      </c>
      <c r="EW2" s="228">
        <v>395.4</v>
      </c>
      <c r="EX2" s="228">
        <v>374.66</v>
      </c>
      <c r="EY2" s="228">
        <v>20.74</v>
      </c>
      <c r="EZ2" s="229">
        <v>5.5399999999999998E-2</v>
      </c>
      <c r="FA2" s="229">
        <v>8.3000000000000004E-2</v>
      </c>
      <c r="FB2" s="227" t="s">
        <v>555</v>
      </c>
      <c r="FC2">
        <f>BY2-CC2</f>
        <v>3</v>
      </c>
    </row>
    <row r="3" spans="1:159" ht="17.25" thickBot="1" x14ac:dyDescent="0.3">
      <c r="A3" s="226">
        <v>45936</v>
      </c>
      <c r="B3" s="227" t="s">
        <v>184</v>
      </c>
      <c r="C3" s="227" t="s">
        <v>553</v>
      </c>
      <c r="D3" s="228">
        <v>125</v>
      </c>
      <c r="E3" s="228">
        <v>22</v>
      </c>
      <c r="F3" s="231">
        <v>5255.5</v>
      </c>
      <c r="G3" s="231">
        <v>5218</v>
      </c>
      <c r="H3" s="228">
        <v>37.5</v>
      </c>
      <c r="I3" s="229">
        <v>7.1999999999999998E-3</v>
      </c>
      <c r="J3" s="231">
        <v>5218</v>
      </c>
      <c r="K3" s="231">
        <v>5183.5</v>
      </c>
      <c r="L3" s="228">
        <v>34.5</v>
      </c>
      <c r="M3" s="229">
        <v>6.7000000000000002E-3</v>
      </c>
      <c r="N3" s="231">
        <v>5255.5</v>
      </c>
      <c r="O3" s="231">
        <v>5218</v>
      </c>
      <c r="P3" s="228">
        <v>37.5</v>
      </c>
      <c r="Q3" s="229">
        <v>7.1999999999999998E-3</v>
      </c>
      <c r="R3" s="231">
        <v>5287.5</v>
      </c>
      <c r="S3" s="231">
        <v>5251</v>
      </c>
      <c r="T3" s="228">
        <v>36.5</v>
      </c>
      <c r="U3" s="229">
        <v>7.0000000000000001E-3</v>
      </c>
      <c r="V3" s="231">
        <v>5306</v>
      </c>
      <c r="W3" s="231">
        <v>5270</v>
      </c>
      <c r="X3" s="228">
        <v>36</v>
      </c>
      <c r="Y3" s="229">
        <v>6.7999999999999996E-3</v>
      </c>
      <c r="Z3" s="228">
        <v>37.5</v>
      </c>
      <c r="AA3" s="228">
        <v>34.5</v>
      </c>
      <c r="AB3" s="228">
        <v>3</v>
      </c>
      <c r="AC3" s="229">
        <v>7.1999999999999998E-3</v>
      </c>
      <c r="AD3" s="228">
        <v>37.5</v>
      </c>
      <c r="AE3" s="228">
        <v>34.5</v>
      </c>
      <c r="AF3" s="228">
        <v>3</v>
      </c>
      <c r="AG3" s="229">
        <v>7.1999999999999998E-3</v>
      </c>
      <c r="AH3" s="228">
        <v>69.5</v>
      </c>
      <c r="AI3" s="228">
        <v>67.5</v>
      </c>
      <c r="AJ3" s="228">
        <v>2</v>
      </c>
      <c r="AK3" s="229">
        <v>1.3299999999999999E-2</v>
      </c>
      <c r="AL3" s="228">
        <v>88</v>
      </c>
      <c r="AM3" s="228">
        <v>86.5</v>
      </c>
      <c r="AN3" s="228">
        <v>1.5</v>
      </c>
      <c r="AO3" s="229">
        <v>1.6899999999999998E-2</v>
      </c>
      <c r="AP3" s="231">
        <v>5236.3900000000003</v>
      </c>
      <c r="AQ3" s="231">
        <v>5269.43</v>
      </c>
      <c r="AR3" s="228">
        <v>0</v>
      </c>
      <c r="AS3" s="228">
        <v>215</v>
      </c>
      <c r="AT3" s="228">
        <v>113</v>
      </c>
      <c r="AU3" s="228">
        <v>103</v>
      </c>
      <c r="AV3" s="229">
        <v>0.91139999999999999</v>
      </c>
      <c r="AW3" s="228">
        <v>207</v>
      </c>
      <c r="AX3" s="228">
        <v>108</v>
      </c>
      <c r="AY3" s="228">
        <v>99</v>
      </c>
      <c r="AZ3" s="229">
        <v>0.91320000000000001</v>
      </c>
      <c r="BA3" s="228">
        <v>7</v>
      </c>
      <c r="BB3" s="228">
        <v>4</v>
      </c>
      <c r="BC3" s="228">
        <v>3</v>
      </c>
      <c r="BD3" s="229">
        <v>0.83609999999999995</v>
      </c>
      <c r="BE3" s="228">
        <v>1</v>
      </c>
      <c r="BF3" s="228">
        <v>0</v>
      </c>
      <c r="BG3" s="228">
        <v>1</v>
      </c>
      <c r="BH3" s="229">
        <v>1.1429</v>
      </c>
      <c r="BI3" s="228">
        <v>635</v>
      </c>
      <c r="BJ3" s="228">
        <v>241</v>
      </c>
      <c r="BK3" s="228">
        <v>394</v>
      </c>
      <c r="BL3" s="229">
        <v>1.6373</v>
      </c>
      <c r="BM3" s="228">
        <v>161</v>
      </c>
      <c r="BN3" s="228">
        <v>125</v>
      </c>
      <c r="BO3" s="228">
        <v>36</v>
      </c>
      <c r="BP3" s="229">
        <v>0.29099999999999998</v>
      </c>
      <c r="BQ3" s="230">
        <v>1012</v>
      </c>
      <c r="BR3" s="228">
        <v>479</v>
      </c>
      <c r="BS3" s="228">
        <v>533</v>
      </c>
      <c r="BT3" s="229">
        <v>1.1144000000000001</v>
      </c>
      <c r="BU3" s="230">
        <v>160524</v>
      </c>
      <c r="BV3" s="230">
        <v>294331</v>
      </c>
      <c r="BW3" s="230">
        <v>-133807</v>
      </c>
      <c r="BX3" s="229">
        <v>-0.4546</v>
      </c>
      <c r="BY3" s="230">
        <v>1297</v>
      </c>
      <c r="BZ3" s="230">
        <v>1244</v>
      </c>
      <c r="CA3" s="228">
        <v>52</v>
      </c>
      <c r="CB3" s="229">
        <v>4.2000000000000003E-2</v>
      </c>
      <c r="CC3" s="230">
        <v>1264</v>
      </c>
      <c r="CD3" s="230">
        <v>1213</v>
      </c>
      <c r="CE3" s="228">
        <v>50</v>
      </c>
      <c r="CF3" s="229">
        <v>4.1300000000000003E-2</v>
      </c>
      <c r="CG3" s="228">
        <v>32</v>
      </c>
      <c r="CH3" s="228">
        <v>30</v>
      </c>
      <c r="CI3" s="228">
        <v>2</v>
      </c>
      <c r="CJ3" s="229">
        <v>5.7000000000000002E-2</v>
      </c>
      <c r="CK3" s="228">
        <v>1</v>
      </c>
      <c r="CL3" s="228">
        <v>1</v>
      </c>
      <c r="CM3" s="228">
        <v>0</v>
      </c>
      <c r="CN3" s="229">
        <v>0.58330000000000004</v>
      </c>
      <c r="CO3" s="228">
        <v>421</v>
      </c>
      <c r="CP3" s="228">
        <v>340</v>
      </c>
      <c r="CQ3" s="228">
        <v>80</v>
      </c>
      <c r="CR3" s="229">
        <v>0.23580000000000001</v>
      </c>
      <c r="CS3" s="228">
        <v>284</v>
      </c>
      <c r="CT3" s="228">
        <v>256</v>
      </c>
      <c r="CU3" s="228">
        <v>28</v>
      </c>
      <c r="CV3" s="229">
        <v>0.11</v>
      </c>
      <c r="CW3" s="230">
        <v>2001</v>
      </c>
      <c r="CX3" s="230">
        <v>1840</v>
      </c>
      <c r="CY3" s="228">
        <v>161</v>
      </c>
      <c r="CZ3" s="229">
        <v>8.7300000000000003E-2</v>
      </c>
      <c r="DA3" s="228">
        <v>25.04</v>
      </c>
      <c r="DB3" s="228">
        <v>23.63</v>
      </c>
      <c r="DC3" s="228">
        <v>1.41</v>
      </c>
      <c r="DD3" s="228">
        <v>1.41</v>
      </c>
      <c r="DE3" s="228">
        <v>37.15</v>
      </c>
      <c r="DF3" s="228">
        <v>37.229999999999997</v>
      </c>
      <c r="DG3" s="228">
        <v>-12.11</v>
      </c>
      <c r="DH3" s="228">
        <v>-0.08</v>
      </c>
      <c r="DI3" s="228">
        <v>25</v>
      </c>
      <c r="DJ3" s="228">
        <v>23.77</v>
      </c>
      <c r="DK3" s="228">
        <v>1.23</v>
      </c>
      <c r="DL3" s="228">
        <v>1.23</v>
      </c>
      <c r="DM3" s="228">
        <v>25.21</v>
      </c>
      <c r="DN3" s="228">
        <v>23.36</v>
      </c>
      <c r="DO3" s="228">
        <v>1.85</v>
      </c>
      <c r="DP3" s="228">
        <v>1.85</v>
      </c>
      <c r="DQ3" s="228">
        <v>0.67</v>
      </c>
      <c r="DR3" s="228">
        <v>0.75</v>
      </c>
      <c r="DS3" s="228">
        <v>-0.08</v>
      </c>
      <c r="DT3" s="229">
        <v>-0.1067</v>
      </c>
      <c r="DU3" s="231">
        <v>5200</v>
      </c>
      <c r="DV3" s="231">
        <v>5200</v>
      </c>
      <c r="DW3" s="228">
        <v>0.25</v>
      </c>
      <c r="DX3" s="228">
        <v>0.52</v>
      </c>
      <c r="DY3" s="228">
        <v>-0.27</v>
      </c>
      <c r="DZ3" s="229">
        <v>-0.51919999999999999</v>
      </c>
      <c r="EA3" s="229">
        <v>2.5399999999999999E-2</v>
      </c>
      <c r="EB3" s="230">
        <v>58500</v>
      </c>
      <c r="EC3" s="229">
        <v>6.1000000000000004E-3</v>
      </c>
      <c r="ED3" s="229">
        <v>2.5399999999999999E-2</v>
      </c>
      <c r="EE3" s="228">
        <v>33.04</v>
      </c>
      <c r="EF3" s="229">
        <v>6.3E-3</v>
      </c>
      <c r="EG3" s="230">
        <v>77489</v>
      </c>
      <c r="EH3" s="230">
        <v>222434</v>
      </c>
      <c r="EI3" s="229">
        <v>-0.65159999999999996</v>
      </c>
      <c r="EJ3" s="229">
        <v>0.48270000000000002</v>
      </c>
      <c r="EK3" s="228">
        <v>660.09</v>
      </c>
      <c r="EL3" s="228">
        <v>159.19</v>
      </c>
      <c r="EM3" s="228">
        <v>214.75</v>
      </c>
      <c r="EN3" s="228">
        <v>53.08</v>
      </c>
      <c r="EO3" s="231">
        <v>1034.03</v>
      </c>
      <c r="EP3" s="228">
        <v>485.89</v>
      </c>
      <c r="EQ3" s="228">
        <v>548.14</v>
      </c>
      <c r="ER3" s="229">
        <v>1.1281000000000001</v>
      </c>
      <c r="ES3" s="228">
        <v>440.51</v>
      </c>
      <c r="ET3" s="228">
        <v>283.81</v>
      </c>
      <c r="EU3" s="231">
        <v>1296.74</v>
      </c>
      <c r="EV3" s="231">
        <v>7946564</v>
      </c>
      <c r="EW3" s="231">
        <v>2021.05</v>
      </c>
      <c r="EX3" s="231">
        <v>1848.5</v>
      </c>
      <c r="EY3" s="228">
        <v>172.55</v>
      </c>
      <c r="EZ3" s="229">
        <v>9.3299999999999994E-2</v>
      </c>
      <c r="FA3" s="229">
        <v>0.47910000000000003</v>
      </c>
      <c r="FB3" s="227" t="s">
        <v>555</v>
      </c>
      <c r="FC3">
        <f t="shared" ref="FC3:FC66" si="0">BY3-CC3</f>
        <v>33</v>
      </c>
    </row>
    <row r="4" spans="1:159" ht="17.25" thickBot="1" x14ac:dyDescent="0.3">
      <c r="A4" s="226">
        <v>45936</v>
      </c>
      <c r="B4" s="227" t="s">
        <v>175</v>
      </c>
      <c r="C4" s="227" t="s">
        <v>544</v>
      </c>
      <c r="D4" s="228">
        <v>3100</v>
      </c>
      <c r="E4" s="228">
        <v>22</v>
      </c>
      <c r="F4" s="228">
        <v>306.14999999999998</v>
      </c>
      <c r="G4" s="228">
        <v>305.5</v>
      </c>
      <c r="H4" s="228">
        <v>0.65</v>
      </c>
      <c r="I4" s="229">
        <v>2.0999999999999999E-3</v>
      </c>
      <c r="J4" s="228">
        <v>304.05</v>
      </c>
      <c r="K4" s="228">
        <v>303.95</v>
      </c>
      <c r="L4" s="228">
        <v>0.1</v>
      </c>
      <c r="M4" s="229">
        <v>2.9999999999999997E-4</v>
      </c>
      <c r="N4" s="228">
        <v>306.14999999999998</v>
      </c>
      <c r="O4" s="228">
        <v>305.5</v>
      </c>
      <c r="P4" s="228">
        <v>0.65</v>
      </c>
      <c r="Q4" s="229">
        <v>2.0999999999999999E-3</v>
      </c>
      <c r="R4" s="228">
        <v>307.5</v>
      </c>
      <c r="S4" s="228">
        <v>306.8</v>
      </c>
      <c r="T4" s="228">
        <v>0.7</v>
      </c>
      <c r="U4" s="229">
        <v>2.3E-3</v>
      </c>
      <c r="V4" s="228">
        <v>309.14999999999998</v>
      </c>
      <c r="W4" s="228">
        <v>308.75</v>
      </c>
      <c r="X4" s="228">
        <v>0.4</v>
      </c>
      <c r="Y4" s="229">
        <v>1.2999999999999999E-3</v>
      </c>
      <c r="Z4" s="228">
        <v>2.1</v>
      </c>
      <c r="AA4" s="228">
        <v>1.55</v>
      </c>
      <c r="AB4" s="228">
        <v>0.55000000000000004</v>
      </c>
      <c r="AC4" s="229">
        <v>6.8999999999999999E-3</v>
      </c>
      <c r="AD4" s="228">
        <v>2.1</v>
      </c>
      <c r="AE4" s="228">
        <v>1.55</v>
      </c>
      <c r="AF4" s="228">
        <v>0.55000000000000004</v>
      </c>
      <c r="AG4" s="229">
        <v>6.8999999999999999E-3</v>
      </c>
      <c r="AH4" s="228">
        <v>3.45</v>
      </c>
      <c r="AI4" s="228">
        <v>2.85</v>
      </c>
      <c r="AJ4" s="228">
        <v>0.6</v>
      </c>
      <c r="AK4" s="229">
        <v>1.1299999999999999E-2</v>
      </c>
      <c r="AL4" s="228">
        <v>5.0999999999999996</v>
      </c>
      <c r="AM4" s="228">
        <v>4.8</v>
      </c>
      <c r="AN4" s="228">
        <v>0.3</v>
      </c>
      <c r="AO4" s="229">
        <v>1.6799999999999999E-2</v>
      </c>
      <c r="AP4" s="228">
        <v>303.3</v>
      </c>
      <c r="AQ4" s="228">
        <v>304.11</v>
      </c>
      <c r="AR4" s="228">
        <v>0</v>
      </c>
      <c r="AS4" s="228">
        <v>412</v>
      </c>
      <c r="AT4" s="228">
        <v>455</v>
      </c>
      <c r="AU4" s="228">
        <v>-44</v>
      </c>
      <c r="AV4" s="229">
        <v>-9.5699999999999993E-2</v>
      </c>
      <c r="AW4" s="228">
        <v>387</v>
      </c>
      <c r="AX4" s="228">
        <v>427</v>
      </c>
      <c r="AY4" s="228">
        <v>-40</v>
      </c>
      <c r="AZ4" s="229">
        <v>-9.35E-2</v>
      </c>
      <c r="BA4" s="228">
        <v>21</v>
      </c>
      <c r="BB4" s="228">
        <v>23</v>
      </c>
      <c r="BC4" s="228">
        <v>-2</v>
      </c>
      <c r="BD4" s="229">
        <v>-7.4700000000000003E-2</v>
      </c>
      <c r="BE4" s="228">
        <v>3</v>
      </c>
      <c r="BF4" s="228">
        <v>5</v>
      </c>
      <c r="BG4" s="228">
        <v>-2</v>
      </c>
      <c r="BH4" s="229">
        <v>-0.39219999999999999</v>
      </c>
      <c r="BI4" s="228">
        <v>809</v>
      </c>
      <c r="BJ4" s="230">
        <v>1018</v>
      </c>
      <c r="BK4" s="228">
        <v>-210</v>
      </c>
      <c r="BL4" s="229">
        <v>-0.2059</v>
      </c>
      <c r="BM4" s="228">
        <v>393</v>
      </c>
      <c r="BN4" s="228">
        <v>493</v>
      </c>
      <c r="BO4" s="228">
        <v>-101</v>
      </c>
      <c r="BP4" s="229">
        <v>-0.20369999999999999</v>
      </c>
      <c r="BQ4" s="230">
        <v>1613</v>
      </c>
      <c r="BR4" s="230">
        <v>1967</v>
      </c>
      <c r="BS4" s="228">
        <v>-354</v>
      </c>
      <c r="BT4" s="229">
        <v>-0.17979999999999999</v>
      </c>
      <c r="BU4" s="230">
        <v>5427459</v>
      </c>
      <c r="BV4" s="230">
        <v>7413227</v>
      </c>
      <c r="BW4" s="230">
        <v>-1985768</v>
      </c>
      <c r="BX4" s="229">
        <v>-0.26790000000000003</v>
      </c>
      <c r="BY4" s="230">
        <v>2066</v>
      </c>
      <c r="BZ4" s="230">
        <v>2054</v>
      </c>
      <c r="CA4" s="228">
        <v>12</v>
      </c>
      <c r="CB4" s="229">
        <v>5.7999999999999996E-3</v>
      </c>
      <c r="CC4" s="230">
        <v>2023</v>
      </c>
      <c r="CD4" s="230">
        <v>2017</v>
      </c>
      <c r="CE4" s="228">
        <v>6</v>
      </c>
      <c r="CF4" s="229">
        <v>3.0000000000000001E-3</v>
      </c>
      <c r="CG4" s="228">
        <v>38</v>
      </c>
      <c r="CH4" s="228">
        <v>33</v>
      </c>
      <c r="CI4" s="228">
        <v>5</v>
      </c>
      <c r="CJ4" s="229">
        <v>0.16089999999999999</v>
      </c>
      <c r="CK4" s="228">
        <v>5</v>
      </c>
      <c r="CL4" s="228">
        <v>5</v>
      </c>
      <c r="CM4" s="228">
        <v>1</v>
      </c>
      <c r="CN4" s="229">
        <v>0.14580000000000001</v>
      </c>
      <c r="CO4" s="228">
        <v>518</v>
      </c>
      <c r="CP4" s="228">
        <v>510</v>
      </c>
      <c r="CQ4" s="228">
        <v>8</v>
      </c>
      <c r="CR4" s="229">
        <v>1.66E-2</v>
      </c>
      <c r="CS4" s="228">
        <v>306</v>
      </c>
      <c r="CT4" s="228">
        <v>291</v>
      </c>
      <c r="CU4" s="228">
        <v>14</v>
      </c>
      <c r="CV4" s="229">
        <v>4.9200000000000001E-2</v>
      </c>
      <c r="CW4" s="230">
        <v>2890</v>
      </c>
      <c r="CX4" s="230">
        <v>2856</v>
      </c>
      <c r="CY4" s="228">
        <v>35</v>
      </c>
      <c r="CZ4" s="229">
        <v>1.2200000000000001E-2</v>
      </c>
      <c r="DA4" s="228">
        <v>30.75</v>
      </c>
      <c r="DB4" s="228">
        <v>30.16</v>
      </c>
      <c r="DC4" s="228">
        <v>0.59</v>
      </c>
      <c r="DD4" s="228">
        <v>0.59</v>
      </c>
      <c r="DE4" s="228">
        <v>40.61</v>
      </c>
      <c r="DF4" s="228">
        <v>40.72</v>
      </c>
      <c r="DG4" s="228">
        <v>-9.86</v>
      </c>
      <c r="DH4" s="228">
        <v>-0.11</v>
      </c>
      <c r="DI4" s="228">
        <v>30.37</v>
      </c>
      <c r="DJ4" s="228">
        <v>29.67</v>
      </c>
      <c r="DK4" s="228">
        <v>0.7</v>
      </c>
      <c r="DL4" s="228">
        <v>0.7</v>
      </c>
      <c r="DM4" s="228">
        <v>31.54</v>
      </c>
      <c r="DN4" s="228">
        <v>31.17</v>
      </c>
      <c r="DO4" s="228">
        <v>0.37</v>
      </c>
      <c r="DP4" s="228">
        <v>0.37</v>
      </c>
      <c r="DQ4" s="228">
        <v>0.59</v>
      </c>
      <c r="DR4" s="228">
        <v>0.56999999999999995</v>
      </c>
      <c r="DS4" s="228">
        <v>0.02</v>
      </c>
      <c r="DT4" s="229">
        <v>3.5099999999999999E-2</v>
      </c>
      <c r="DU4" s="228">
        <v>300</v>
      </c>
      <c r="DV4" s="228">
        <v>290</v>
      </c>
      <c r="DW4" s="228">
        <v>0.49</v>
      </c>
      <c r="DX4" s="228">
        <v>0.48</v>
      </c>
      <c r="DY4" s="228">
        <v>0.01</v>
      </c>
      <c r="DZ4" s="229">
        <v>2.0799999999999999E-2</v>
      </c>
      <c r="EA4" s="229">
        <v>2.1100000000000001E-2</v>
      </c>
      <c r="EB4" s="230">
        <v>1227600</v>
      </c>
      <c r="EC4" s="229">
        <v>4.4000000000000003E-3</v>
      </c>
      <c r="ED4" s="229">
        <v>2.1100000000000001E-2</v>
      </c>
      <c r="EE4" s="228">
        <v>0.81</v>
      </c>
      <c r="EF4" s="229">
        <v>2.7000000000000001E-3</v>
      </c>
      <c r="EG4" s="230">
        <v>2429392</v>
      </c>
      <c r="EH4" s="230">
        <v>3324888</v>
      </c>
      <c r="EI4" s="229">
        <v>-0.26929999999999998</v>
      </c>
      <c r="EJ4" s="229">
        <v>0.4476</v>
      </c>
      <c r="EK4" s="228">
        <v>839.55</v>
      </c>
      <c r="EL4" s="228">
        <v>381.26</v>
      </c>
      <c r="EM4" s="228">
        <v>407.77</v>
      </c>
      <c r="EN4" s="228">
        <v>83.01</v>
      </c>
      <c r="EO4" s="231">
        <v>1628.57</v>
      </c>
      <c r="EP4" s="231">
        <v>1980.2</v>
      </c>
      <c r="EQ4" s="228">
        <v>-351.63</v>
      </c>
      <c r="ER4" s="229">
        <v>-0.17760000000000001</v>
      </c>
      <c r="ES4" s="228">
        <v>519.69000000000005</v>
      </c>
      <c r="ET4" s="228">
        <v>282.06</v>
      </c>
      <c r="EU4" s="231">
        <v>2066.52</v>
      </c>
      <c r="EV4" s="231">
        <v>122316423</v>
      </c>
      <c r="EW4" s="231">
        <v>2868.28</v>
      </c>
      <c r="EX4" s="231">
        <v>2828.41</v>
      </c>
      <c r="EY4" s="228">
        <v>39.869999999999997</v>
      </c>
      <c r="EZ4" s="229">
        <v>1.41E-2</v>
      </c>
      <c r="FA4" s="229">
        <v>0.77180000000000004</v>
      </c>
      <c r="FB4" s="227" t="s">
        <v>555</v>
      </c>
      <c r="FC4">
        <f t="shared" si="0"/>
        <v>43</v>
      </c>
    </row>
    <row r="5" spans="1:159" ht="17.25" thickBot="1" x14ac:dyDescent="0.3">
      <c r="A5" s="226">
        <v>45936</v>
      </c>
      <c r="B5" s="227" t="s">
        <v>161</v>
      </c>
      <c r="C5" s="227" t="s">
        <v>580</v>
      </c>
      <c r="D5" s="228">
        <v>675</v>
      </c>
      <c r="E5" s="228">
        <v>22</v>
      </c>
      <c r="F5" s="228">
        <v>929.7</v>
      </c>
      <c r="G5" s="228">
        <v>919.95</v>
      </c>
      <c r="H5" s="228">
        <v>9.75</v>
      </c>
      <c r="I5" s="229">
        <v>1.06E-2</v>
      </c>
      <c r="J5" s="228">
        <v>926.65</v>
      </c>
      <c r="K5" s="228">
        <v>916.35</v>
      </c>
      <c r="L5" s="228">
        <v>10.3</v>
      </c>
      <c r="M5" s="229">
        <v>1.12E-2</v>
      </c>
      <c r="N5" s="228">
        <v>929.7</v>
      </c>
      <c r="O5" s="228">
        <v>919.95</v>
      </c>
      <c r="P5" s="228">
        <v>9.75</v>
      </c>
      <c r="Q5" s="229">
        <v>1.06E-2</v>
      </c>
      <c r="R5" s="228">
        <v>934.15</v>
      </c>
      <c r="S5" s="228">
        <v>924.3</v>
      </c>
      <c r="T5" s="228">
        <v>9.85</v>
      </c>
      <c r="U5" s="229">
        <v>1.0699999999999999E-2</v>
      </c>
      <c r="V5" s="228">
        <v>939.25</v>
      </c>
      <c r="W5" s="228">
        <v>930.35</v>
      </c>
      <c r="X5" s="228">
        <v>8.9</v>
      </c>
      <c r="Y5" s="229">
        <v>9.5999999999999992E-3</v>
      </c>
      <c r="Z5" s="228">
        <v>3.05</v>
      </c>
      <c r="AA5" s="228">
        <v>3.6</v>
      </c>
      <c r="AB5" s="228">
        <v>-0.55000000000000004</v>
      </c>
      <c r="AC5" s="229">
        <v>3.3E-3</v>
      </c>
      <c r="AD5" s="228">
        <v>3.05</v>
      </c>
      <c r="AE5" s="228">
        <v>3.6</v>
      </c>
      <c r="AF5" s="228">
        <v>-0.55000000000000004</v>
      </c>
      <c r="AG5" s="229">
        <v>3.3E-3</v>
      </c>
      <c r="AH5" s="228">
        <v>7.5</v>
      </c>
      <c r="AI5" s="228">
        <v>7.95</v>
      </c>
      <c r="AJ5" s="228">
        <v>-0.45</v>
      </c>
      <c r="AK5" s="229">
        <v>8.0999999999999996E-3</v>
      </c>
      <c r="AL5" s="228">
        <v>12.6</v>
      </c>
      <c r="AM5" s="228">
        <v>14</v>
      </c>
      <c r="AN5" s="228">
        <v>-1.4</v>
      </c>
      <c r="AO5" s="229">
        <v>1.3599999999999999E-2</v>
      </c>
      <c r="AP5" s="228">
        <v>927.21</v>
      </c>
      <c r="AQ5" s="228">
        <v>930.56</v>
      </c>
      <c r="AR5" s="228">
        <v>0</v>
      </c>
      <c r="AS5" s="228">
        <v>141</v>
      </c>
      <c r="AT5" s="228">
        <v>198</v>
      </c>
      <c r="AU5" s="228">
        <v>-57</v>
      </c>
      <c r="AV5" s="229">
        <v>-0.28789999999999999</v>
      </c>
      <c r="AW5" s="228">
        <v>137</v>
      </c>
      <c r="AX5" s="228">
        <v>190</v>
      </c>
      <c r="AY5" s="228">
        <v>-53</v>
      </c>
      <c r="AZ5" s="229">
        <v>-0.28010000000000002</v>
      </c>
      <c r="BA5" s="228">
        <v>4</v>
      </c>
      <c r="BB5" s="228">
        <v>7</v>
      </c>
      <c r="BC5" s="228">
        <v>-4</v>
      </c>
      <c r="BD5" s="229">
        <v>-0.51300000000000001</v>
      </c>
      <c r="BE5" s="228">
        <v>0</v>
      </c>
      <c r="BF5" s="228">
        <v>0</v>
      </c>
      <c r="BG5" s="228">
        <v>0</v>
      </c>
      <c r="BH5" s="229">
        <v>0</v>
      </c>
      <c r="BI5" s="228">
        <v>318</v>
      </c>
      <c r="BJ5" s="228">
        <v>440</v>
      </c>
      <c r="BK5" s="228">
        <v>-122</v>
      </c>
      <c r="BL5" s="229">
        <v>-0.27629999999999999</v>
      </c>
      <c r="BM5" s="228">
        <v>99</v>
      </c>
      <c r="BN5" s="228">
        <v>142</v>
      </c>
      <c r="BO5" s="228">
        <v>-43</v>
      </c>
      <c r="BP5" s="229">
        <v>-0.30509999999999998</v>
      </c>
      <c r="BQ5" s="228">
        <v>558</v>
      </c>
      <c r="BR5" s="228">
        <v>780</v>
      </c>
      <c r="BS5" s="228">
        <v>-222</v>
      </c>
      <c r="BT5" s="229">
        <v>-0.28449999999999998</v>
      </c>
      <c r="BU5" s="230">
        <v>1093200</v>
      </c>
      <c r="BV5" s="230">
        <v>1443695</v>
      </c>
      <c r="BW5" s="230">
        <v>-350495</v>
      </c>
      <c r="BX5" s="229">
        <v>-0.24279999999999999</v>
      </c>
      <c r="BY5" s="230">
        <v>1714</v>
      </c>
      <c r="BZ5" s="230">
        <v>1714</v>
      </c>
      <c r="CA5" s="228">
        <v>0</v>
      </c>
      <c r="CB5" s="229">
        <v>1E-4</v>
      </c>
      <c r="CC5" s="230">
        <v>1695</v>
      </c>
      <c r="CD5" s="230">
        <v>1695</v>
      </c>
      <c r="CE5" s="228">
        <v>0</v>
      </c>
      <c r="CF5" s="229">
        <v>-1E-4</v>
      </c>
      <c r="CG5" s="228">
        <v>18</v>
      </c>
      <c r="CH5" s="228">
        <v>18</v>
      </c>
      <c r="CI5" s="228">
        <v>0</v>
      </c>
      <c r="CJ5" s="229">
        <v>1.03E-2</v>
      </c>
      <c r="CK5" s="228">
        <v>1</v>
      </c>
      <c r="CL5" s="228">
        <v>1</v>
      </c>
      <c r="CM5" s="228">
        <v>0</v>
      </c>
      <c r="CN5" s="229">
        <v>0.2</v>
      </c>
      <c r="CO5" s="228">
        <v>302</v>
      </c>
      <c r="CP5" s="228">
        <v>281</v>
      </c>
      <c r="CQ5" s="228">
        <v>21</v>
      </c>
      <c r="CR5" s="229">
        <v>7.51E-2</v>
      </c>
      <c r="CS5" s="228">
        <v>159</v>
      </c>
      <c r="CT5" s="228">
        <v>152</v>
      </c>
      <c r="CU5" s="228">
        <v>7</v>
      </c>
      <c r="CV5" s="229">
        <v>4.58E-2</v>
      </c>
      <c r="CW5" s="230">
        <v>2175</v>
      </c>
      <c r="CX5" s="230">
        <v>2147</v>
      </c>
      <c r="CY5" s="228">
        <v>28</v>
      </c>
      <c r="CZ5" s="229">
        <v>1.3100000000000001E-2</v>
      </c>
      <c r="DA5" s="228">
        <v>35.54</v>
      </c>
      <c r="DB5" s="228">
        <v>35.35</v>
      </c>
      <c r="DC5" s="228">
        <v>0.19</v>
      </c>
      <c r="DD5" s="228">
        <v>0.19</v>
      </c>
      <c r="DE5" s="228">
        <v>56.79</v>
      </c>
      <c r="DF5" s="228">
        <v>56.91</v>
      </c>
      <c r="DG5" s="228">
        <v>-21.25</v>
      </c>
      <c r="DH5" s="228">
        <v>-0.12</v>
      </c>
      <c r="DI5" s="228">
        <v>35.729999999999997</v>
      </c>
      <c r="DJ5" s="228">
        <v>35.49</v>
      </c>
      <c r="DK5" s="228">
        <v>0.24</v>
      </c>
      <c r="DL5" s="228">
        <v>0.24</v>
      </c>
      <c r="DM5" s="228">
        <v>34.950000000000003</v>
      </c>
      <c r="DN5" s="228">
        <v>34.909999999999997</v>
      </c>
      <c r="DO5" s="228">
        <v>0.04</v>
      </c>
      <c r="DP5" s="228">
        <v>0.04</v>
      </c>
      <c r="DQ5" s="228">
        <v>0.53</v>
      </c>
      <c r="DR5" s="228">
        <v>0.54</v>
      </c>
      <c r="DS5" s="228">
        <v>-0.01</v>
      </c>
      <c r="DT5" s="229">
        <v>-1.8499999999999999E-2</v>
      </c>
      <c r="DU5" s="231">
        <v>1000</v>
      </c>
      <c r="DV5" s="228">
        <v>900</v>
      </c>
      <c r="DW5" s="228">
        <v>0.31</v>
      </c>
      <c r="DX5" s="228">
        <v>0.32</v>
      </c>
      <c r="DY5" s="228">
        <v>-0.01</v>
      </c>
      <c r="DZ5" s="229">
        <v>-3.1300000000000001E-2</v>
      </c>
      <c r="EA5" s="229">
        <v>1.12E-2</v>
      </c>
      <c r="EB5" s="230">
        <v>202500</v>
      </c>
      <c r="EC5" s="229">
        <v>4.7999999999999996E-3</v>
      </c>
      <c r="ED5" s="229">
        <v>1.12E-2</v>
      </c>
      <c r="EE5" s="228">
        <v>3.35</v>
      </c>
      <c r="EF5" s="229">
        <v>3.5999999999999999E-3</v>
      </c>
      <c r="EG5" s="230">
        <v>527610</v>
      </c>
      <c r="EH5" s="230">
        <v>556432</v>
      </c>
      <c r="EI5" s="229">
        <v>-5.1799999999999999E-2</v>
      </c>
      <c r="EJ5" s="229">
        <v>0.48259999999999997</v>
      </c>
      <c r="EK5" s="228">
        <v>333.05</v>
      </c>
      <c r="EL5" s="228">
        <v>96.82</v>
      </c>
      <c r="EM5" s="228">
        <v>140.4</v>
      </c>
      <c r="EN5" s="228">
        <v>70.11</v>
      </c>
      <c r="EO5" s="228">
        <v>570.27</v>
      </c>
      <c r="EP5" s="228">
        <v>787.84</v>
      </c>
      <c r="EQ5" s="228">
        <v>-217.57</v>
      </c>
      <c r="ER5" s="229">
        <v>-0.2762</v>
      </c>
      <c r="ES5" s="228">
        <v>311.11</v>
      </c>
      <c r="ET5" s="228">
        <v>148.13</v>
      </c>
      <c r="EU5" s="231">
        <v>1714.18</v>
      </c>
      <c r="EV5" s="231">
        <v>51907388</v>
      </c>
      <c r="EW5" s="231">
        <v>2173.42</v>
      </c>
      <c r="EX5" s="231">
        <v>2126.1999999999998</v>
      </c>
      <c r="EY5" s="228">
        <v>47.22</v>
      </c>
      <c r="EZ5" s="229">
        <v>2.2200000000000001E-2</v>
      </c>
      <c r="FA5" s="229">
        <v>0.45069999999999999</v>
      </c>
      <c r="FB5" s="227" t="s">
        <v>555</v>
      </c>
      <c r="FC5">
        <f t="shared" si="0"/>
        <v>19</v>
      </c>
    </row>
    <row r="6" spans="1:159" ht="17.25" thickBot="1" x14ac:dyDescent="0.3">
      <c r="A6" s="226">
        <v>45936</v>
      </c>
      <c r="B6" s="227" t="s">
        <v>215</v>
      </c>
      <c r="C6" s="227" t="s">
        <v>159</v>
      </c>
      <c r="D6" s="228">
        <v>300</v>
      </c>
      <c r="E6" s="228">
        <v>22</v>
      </c>
      <c r="F6" s="231">
        <v>2588.8000000000002</v>
      </c>
      <c r="G6" s="231">
        <v>2607.1999999999998</v>
      </c>
      <c r="H6" s="228">
        <v>-18.399999999999999</v>
      </c>
      <c r="I6" s="229">
        <v>-7.1000000000000004E-3</v>
      </c>
      <c r="J6" s="231">
        <v>2573.5</v>
      </c>
      <c r="K6" s="231">
        <v>2589.9</v>
      </c>
      <c r="L6" s="228">
        <v>-16.399999999999999</v>
      </c>
      <c r="M6" s="229">
        <v>-6.3E-3</v>
      </c>
      <c r="N6" s="231">
        <v>2588.8000000000002</v>
      </c>
      <c r="O6" s="231">
        <v>2607.1999999999998</v>
      </c>
      <c r="P6" s="228">
        <v>-18.399999999999999</v>
      </c>
      <c r="Q6" s="229">
        <v>-7.1000000000000004E-3</v>
      </c>
      <c r="R6" s="231">
        <v>2604.3000000000002</v>
      </c>
      <c r="S6" s="231">
        <v>2621</v>
      </c>
      <c r="T6" s="228">
        <v>-16.7</v>
      </c>
      <c r="U6" s="229">
        <v>-6.4000000000000003E-3</v>
      </c>
      <c r="V6" s="231">
        <v>2617.5</v>
      </c>
      <c r="W6" s="231">
        <v>2635.1</v>
      </c>
      <c r="X6" s="228">
        <v>-17.600000000000001</v>
      </c>
      <c r="Y6" s="229">
        <v>-6.7000000000000002E-3</v>
      </c>
      <c r="Z6" s="228">
        <v>15.3</v>
      </c>
      <c r="AA6" s="228">
        <v>17.3</v>
      </c>
      <c r="AB6" s="228">
        <v>-2</v>
      </c>
      <c r="AC6" s="229">
        <v>5.8999999999999999E-3</v>
      </c>
      <c r="AD6" s="228">
        <v>15.3</v>
      </c>
      <c r="AE6" s="228">
        <v>17.3</v>
      </c>
      <c r="AF6" s="228">
        <v>-2</v>
      </c>
      <c r="AG6" s="229">
        <v>5.8999999999999999E-3</v>
      </c>
      <c r="AH6" s="228">
        <v>30.8</v>
      </c>
      <c r="AI6" s="228">
        <v>31.1</v>
      </c>
      <c r="AJ6" s="228">
        <v>-0.3</v>
      </c>
      <c r="AK6" s="229">
        <v>1.2E-2</v>
      </c>
      <c r="AL6" s="228">
        <v>44</v>
      </c>
      <c r="AM6" s="228">
        <v>45.2</v>
      </c>
      <c r="AN6" s="228">
        <v>-1.2</v>
      </c>
      <c r="AO6" s="229">
        <v>1.7100000000000001E-2</v>
      </c>
      <c r="AP6" s="231">
        <v>2588.59</v>
      </c>
      <c r="AQ6" s="231">
        <v>2603.56</v>
      </c>
      <c r="AR6" s="228">
        <v>0</v>
      </c>
      <c r="AS6" s="228">
        <v>418</v>
      </c>
      <c r="AT6" s="228">
        <v>562</v>
      </c>
      <c r="AU6" s="228">
        <v>-144</v>
      </c>
      <c r="AV6" s="229">
        <v>-0.25629999999999997</v>
      </c>
      <c r="AW6" s="228">
        <v>400</v>
      </c>
      <c r="AX6" s="228">
        <v>541</v>
      </c>
      <c r="AY6" s="228">
        <v>-141</v>
      </c>
      <c r="AZ6" s="229">
        <v>-0.26019999999999999</v>
      </c>
      <c r="BA6" s="228">
        <v>16</v>
      </c>
      <c r="BB6" s="228">
        <v>17</v>
      </c>
      <c r="BC6" s="228">
        <v>-1</v>
      </c>
      <c r="BD6" s="229">
        <v>-6.3899999999999998E-2</v>
      </c>
      <c r="BE6" s="228">
        <v>1</v>
      </c>
      <c r="BF6" s="228">
        <v>3</v>
      </c>
      <c r="BG6" s="228">
        <v>-2</v>
      </c>
      <c r="BH6" s="229">
        <v>-0.59089999999999998</v>
      </c>
      <c r="BI6" s="230">
        <v>1261</v>
      </c>
      <c r="BJ6" s="230">
        <v>2151</v>
      </c>
      <c r="BK6" s="228">
        <v>-891</v>
      </c>
      <c r="BL6" s="229">
        <v>-0.41399999999999998</v>
      </c>
      <c r="BM6" s="228">
        <v>498</v>
      </c>
      <c r="BN6" s="228">
        <v>959</v>
      </c>
      <c r="BO6" s="228">
        <v>-461</v>
      </c>
      <c r="BP6" s="229">
        <v>-0.48099999999999998</v>
      </c>
      <c r="BQ6" s="230">
        <v>2176</v>
      </c>
      <c r="BR6" s="230">
        <v>3672</v>
      </c>
      <c r="BS6" s="230">
        <v>-1496</v>
      </c>
      <c r="BT6" s="229">
        <v>-0.40739999999999998</v>
      </c>
      <c r="BU6" s="230">
        <v>682348</v>
      </c>
      <c r="BV6" s="230">
        <v>962400</v>
      </c>
      <c r="BW6" s="230">
        <v>-280052</v>
      </c>
      <c r="BX6" s="229">
        <v>-0.29099999999999998</v>
      </c>
      <c r="BY6" s="230">
        <v>3736</v>
      </c>
      <c r="BZ6" s="230">
        <v>3773</v>
      </c>
      <c r="CA6" s="228">
        <v>-37</v>
      </c>
      <c r="CB6" s="229">
        <v>-9.7999999999999997E-3</v>
      </c>
      <c r="CC6" s="230">
        <v>3675</v>
      </c>
      <c r="CD6" s="230">
        <v>3717</v>
      </c>
      <c r="CE6" s="228">
        <v>-42</v>
      </c>
      <c r="CF6" s="229">
        <v>-1.12E-2</v>
      </c>
      <c r="CG6" s="228">
        <v>59</v>
      </c>
      <c r="CH6" s="228">
        <v>55</v>
      </c>
      <c r="CI6" s="228">
        <v>4</v>
      </c>
      <c r="CJ6" s="229">
        <v>7.0999999999999994E-2</v>
      </c>
      <c r="CK6" s="228">
        <v>2</v>
      </c>
      <c r="CL6" s="228">
        <v>2</v>
      </c>
      <c r="CM6" s="228">
        <v>1</v>
      </c>
      <c r="CN6" s="229">
        <v>0.42859999999999998</v>
      </c>
      <c r="CO6" s="230">
        <v>1566</v>
      </c>
      <c r="CP6" s="230">
        <v>1472</v>
      </c>
      <c r="CQ6" s="228">
        <v>94</v>
      </c>
      <c r="CR6" s="229">
        <v>6.3899999999999998E-2</v>
      </c>
      <c r="CS6" s="228">
        <v>999</v>
      </c>
      <c r="CT6" s="228">
        <v>966</v>
      </c>
      <c r="CU6" s="228">
        <v>33</v>
      </c>
      <c r="CV6" s="229">
        <v>3.4200000000000001E-2</v>
      </c>
      <c r="CW6" s="230">
        <v>6302</v>
      </c>
      <c r="CX6" s="230">
        <v>6211</v>
      </c>
      <c r="CY6" s="228">
        <v>90</v>
      </c>
      <c r="CZ6" s="229">
        <v>1.4500000000000001E-2</v>
      </c>
      <c r="DA6" s="228">
        <v>30.79</v>
      </c>
      <c r="DB6" s="228">
        <v>29.62</v>
      </c>
      <c r="DC6" s="228">
        <v>1.17</v>
      </c>
      <c r="DD6" s="228">
        <v>1.17</v>
      </c>
      <c r="DE6" s="228">
        <v>50.18</v>
      </c>
      <c r="DF6" s="228">
        <v>50.3</v>
      </c>
      <c r="DG6" s="228">
        <v>-19.39</v>
      </c>
      <c r="DH6" s="228">
        <v>-0.12</v>
      </c>
      <c r="DI6" s="228">
        <v>31.06</v>
      </c>
      <c r="DJ6" s="228">
        <v>29.77</v>
      </c>
      <c r="DK6" s="228">
        <v>1.29</v>
      </c>
      <c r="DL6" s="228">
        <v>1.29</v>
      </c>
      <c r="DM6" s="228">
        <v>30.08</v>
      </c>
      <c r="DN6" s="228">
        <v>29.3</v>
      </c>
      <c r="DO6" s="228">
        <v>0.78</v>
      </c>
      <c r="DP6" s="228">
        <v>0.78</v>
      </c>
      <c r="DQ6" s="228">
        <v>0.64</v>
      </c>
      <c r="DR6" s="228">
        <v>0.66</v>
      </c>
      <c r="DS6" s="228">
        <v>-0.02</v>
      </c>
      <c r="DT6" s="229">
        <v>-3.0300000000000001E-2</v>
      </c>
      <c r="DU6" s="231">
        <v>2600</v>
      </c>
      <c r="DV6" s="231">
        <v>2500</v>
      </c>
      <c r="DW6" s="228">
        <v>0.39</v>
      </c>
      <c r="DX6" s="228">
        <v>0.45</v>
      </c>
      <c r="DY6" s="228">
        <v>-0.06</v>
      </c>
      <c r="DZ6" s="229">
        <v>-0.1333</v>
      </c>
      <c r="EA6" s="229">
        <v>1.6299999999999999E-2</v>
      </c>
      <c r="EB6" s="230">
        <v>217500</v>
      </c>
      <c r="EC6" s="229">
        <v>6.0000000000000001E-3</v>
      </c>
      <c r="ED6" s="229">
        <v>1.6299999999999999E-2</v>
      </c>
      <c r="EE6" s="228">
        <v>14.97</v>
      </c>
      <c r="EF6" s="229">
        <v>5.7999999999999996E-3</v>
      </c>
      <c r="EG6" s="230">
        <v>237490</v>
      </c>
      <c r="EH6" s="230">
        <v>191145</v>
      </c>
      <c r="EI6" s="229">
        <v>0.24249999999999999</v>
      </c>
      <c r="EJ6" s="229">
        <v>0.34799999999999998</v>
      </c>
      <c r="EK6" s="231">
        <v>1331.75</v>
      </c>
      <c r="EL6" s="228">
        <v>498.46</v>
      </c>
      <c r="EM6" s="228">
        <v>417.67</v>
      </c>
      <c r="EN6" s="228">
        <v>160.41999999999999</v>
      </c>
      <c r="EO6" s="231">
        <v>2247.88</v>
      </c>
      <c r="EP6" s="231">
        <v>3804.59</v>
      </c>
      <c r="EQ6" s="231">
        <v>-1556.71</v>
      </c>
      <c r="ER6" s="229">
        <v>-0.40920000000000001</v>
      </c>
      <c r="ES6" s="231">
        <v>1641.84</v>
      </c>
      <c r="ET6" s="228">
        <v>964.45</v>
      </c>
      <c r="EU6" s="231">
        <v>3736.33</v>
      </c>
      <c r="EV6" s="231">
        <v>30040977</v>
      </c>
      <c r="EW6" s="231">
        <v>6342.61</v>
      </c>
      <c r="EX6" s="231">
        <v>6279.36</v>
      </c>
      <c r="EY6" s="228">
        <v>63.25</v>
      </c>
      <c r="EZ6" s="229">
        <v>1.01E-2</v>
      </c>
      <c r="FA6" s="229">
        <v>0.81030000000000002</v>
      </c>
      <c r="FB6" s="227" t="s">
        <v>568</v>
      </c>
      <c r="FC6">
        <f t="shared" si="0"/>
        <v>61</v>
      </c>
    </row>
    <row r="7" spans="1:159" ht="17.25" thickBot="1" x14ac:dyDescent="0.3">
      <c r="A7" s="226">
        <v>45936</v>
      </c>
      <c r="B7" s="227" t="s">
        <v>161</v>
      </c>
      <c r="C7" s="227" t="s">
        <v>607</v>
      </c>
      <c r="D7" s="228">
        <v>600</v>
      </c>
      <c r="E7" s="228">
        <v>22</v>
      </c>
      <c r="F7" s="231">
        <v>1065.4000000000001</v>
      </c>
      <c r="G7" s="231">
        <v>1077.5999999999999</v>
      </c>
      <c r="H7" s="228">
        <v>-12.2</v>
      </c>
      <c r="I7" s="229">
        <v>-1.1299999999999999E-2</v>
      </c>
      <c r="J7" s="231">
        <v>1059.4000000000001</v>
      </c>
      <c r="K7" s="231">
        <v>1070.3</v>
      </c>
      <c r="L7" s="228">
        <v>-10.9</v>
      </c>
      <c r="M7" s="229">
        <v>-1.0200000000000001E-2</v>
      </c>
      <c r="N7" s="231">
        <v>1065.4000000000001</v>
      </c>
      <c r="O7" s="231">
        <v>1077.5999999999999</v>
      </c>
      <c r="P7" s="228">
        <v>-12.2</v>
      </c>
      <c r="Q7" s="229">
        <v>-1.1299999999999999E-2</v>
      </c>
      <c r="R7" s="231">
        <v>1071.5999999999999</v>
      </c>
      <c r="S7" s="231">
        <v>1083.2</v>
      </c>
      <c r="T7" s="228">
        <v>-11.6</v>
      </c>
      <c r="U7" s="229">
        <v>-1.0699999999999999E-2</v>
      </c>
      <c r="V7" s="231">
        <v>1078</v>
      </c>
      <c r="W7" s="231">
        <v>1089.0999999999999</v>
      </c>
      <c r="X7" s="228">
        <v>-11.1</v>
      </c>
      <c r="Y7" s="229">
        <v>-1.0200000000000001E-2</v>
      </c>
      <c r="Z7" s="228">
        <v>6</v>
      </c>
      <c r="AA7" s="228">
        <v>7.3</v>
      </c>
      <c r="AB7" s="228">
        <v>-1.3</v>
      </c>
      <c r="AC7" s="229">
        <v>5.7000000000000002E-3</v>
      </c>
      <c r="AD7" s="228">
        <v>6</v>
      </c>
      <c r="AE7" s="228">
        <v>7.3</v>
      </c>
      <c r="AF7" s="228">
        <v>-1.3</v>
      </c>
      <c r="AG7" s="229">
        <v>5.7000000000000002E-3</v>
      </c>
      <c r="AH7" s="228">
        <v>12.2</v>
      </c>
      <c r="AI7" s="228">
        <v>12.9</v>
      </c>
      <c r="AJ7" s="228">
        <v>-0.7</v>
      </c>
      <c r="AK7" s="229">
        <v>1.15E-2</v>
      </c>
      <c r="AL7" s="228">
        <v>18.600000000000001</v>
      </c>
      <c r="AM7" s="228">
        <v>18.8</v>
      </c>
      <c r="AN7" s="228">
        <v>-0.2</v>
      </c>
      <c r="AO7" s="229">
        <v>1.7600000000000001E-2</v>
      </c>
      <c r="AP7" s="231">
        <v>1067.78</v>
      </c>
      <c r="AQ7" s="231">
        <v>1074.48</v>
      </c>
      <c r="AR7" s="228">
        <v>0</v>
      </c>
      <c r="AS7" s="228">
        <v>206</v>
      </c>
      <c r="AT7" s="228">
        <v>294</v>
      </c>
      <c r="AU7" s="228">
        <v>-88</v>
      </c>
      <c r="AV7" s="229">
        <v>-0.2984</v>
      </c>
      <c r="AW7" s="228">
        <v>192</v>
      </c>
      <c r="AX7" s="228">
        <v>278</v>
      </c>
      <c r="AY7" s="228">
        <v>-86</v>
      </c>
      <c r="AZ7" s="229">
        <v>-0.30940000000000001</v>
      </c>
      <c r="BA7" s="228">
        <v>13</v>
      </c>
      <c r="BB7" s="228">
        <v>13</v>
      </c>
      <c r="BC7" s="228">
        <v>0</v>
      </c>
      <c r="BD7" s="229">
        <v>-2.8799999999999999E-2</v>
      </c>
      <c r="BE7" s="228">
        <v>1</v>
      </c>
      <c r="BF7" s="228">
        <v>2</v>
      </c>
      <c r="BG7" s="228">
        <v>-1</v>
      </c>
      <c r="BH7" s="229">
        <v>-0.51349999999999996</v>
      </c>
      <c r="BI7" s="228">
        <v>793</v>
      </c>
      <c r="BJ7" s="230">
        <v>1459</v>
      </c>
      <c r="BK7" s="228">
        <v>-665</v>
      </c>
      <c r="BL7" s="229">
        <v>-0.45610000000000001</v>
      </c>
      <c r="BM7" s="228">
        <v>275</v>
      </c>
      <c r="BN7" s="228">
        <v>528</v>
      </c>
      <c r="BO7" s="228">
        <v>-253</v>
      </c>
      <c r="BP7" s="229">
        <v>-0.47939999999999999</v>
      </c>
      <c r="BQ7" s="230">
        <v>1275</v>
      </c>
      <c r="BR7" s="230">
        <v>2281</v>
      </c>
      <c r="BS7" s="230">
        <v>-1006</v>
      </c>
      <c r="BT7" s="229">
        <v>-0.44119999999999998</v>
      </c>
      <c r="BU7" s="230">
        <v>1349544</v>
      </c>
      <c r="BV7" s="230">
        <v>2712066</v>
      </c>
      <c r="BW7" s="230">
        <v>-1362522</v>
      </c>
      <c r="BX7" s="229">
        <v>-0.50239999999999996</v>
      </c>
      <c r="BY7" s="230">
        <v>2139</v>
      </c>
      <c r="BZ7" s="230">
        <v>2150</v>
      </c>
      <c r="CA7" s="228">
        <v>-11</v>
      </c>
      <c r="CB7" s="229">
        <v>-5.1000000000000004E-3</v>
      </c>
      <c r="CC7" s="230">
        <v>2076</v>
      </c>
      <c r="CD7" s="230">
        <v>2091</v>
      </c>
      <c r="CE7" s="228">
        <v>-15</v>
      </c>
      <c r="CF7" s="229">
        <v>-7.1000000000000004E-3</v>
      </c>
      <c r="CG7" s="228">
        <v>59</v>
      </c>
      <c r="CH7" s="228">
        <v>57</v>
      </c>
      <c r="CI7" s="228">
        <v>3</v>
      </c>
      <c r="CJ7" s="229">
        <v>5.1999999999999998E-2</v>
      </c>
      <c r="CK7" s="228">
        <v>3</v>
      </c>
      <c r="CL7" s="228">
        <v>2</v>
      </c>
      <c r="CM7" s="228">
        <v>1</v>
      </c>
      <c r="CN7" s="229">
        <v>0.33329999999999999</v>
      </c>
      <c r="CO7" s="228">
        <v>949</v>
      </c>
      <c r="CP7" s="228">
        <v>906</v>
      </c>
      <c r="CQ7" s="228">
        <v>42</v>
      </c>
      <c r="CR7" s="229">
        <v>4.6600000000000003E-2</v>
      </c>
      <c r="CS7" s="228">
        <v>465</v>
      </c>
      <c r="CT7" s="228">
        <v>449</v>
      </c>
      <c r="CU7" s="228">
        <v>16</v>
      </c>
      <c r="CV7" s="229">
        <v>3.5000000000000003E-2</v>
      </c>
      <c r="CW7" s="230">
        <v>3552</v>
      </c>
      <c r="CX7" s="230">
        <v>3505</v>
      </c>
      <c r="CY7" s="228">
        <v>47</v>
      </c>
      <c r="CZ7" s="229">
        <v>1.34E-2</v>
      </c>
      <c r="DA7" s="228">
        <v>40.4</v>
      </c>
      <c r="DB7" s="228">
        <v>38.619999999999997</v>
      </c>
      <c r="DC7" s="228">
        <v>1.78</v>
      </c>
      <c r="DD7" s="228">
        <v>1.78</v>
      </c>
      <c r="DE7" s="228">
        <v>59.44</v>
      </c>
      <c r="DF7" s="228">
        <v>59.57</v>
      </c>
      <c r="DG7" s="228">
        <v>-19.04</v>
      </c>
      <c r="DH7" s="228">
        <v>-0.13</v>
      </c>
      <c r="DI7" s="228">
        <v>40.909999999999997</v>
      </c>
      <c r="DJ7" s="228">
        <v>38.89</v>
      </c>
      <c r="DK7" s="228">
        <v>2.02</v>
      </c>
      <c r="DL7" s="228">
        <v>2.02</v>
      </c>
      <c r="DM7" s="228">
        <v>38.94</v>
      </c>
      <c r="DN7" s="228">
        <v>37.880000000000003</v>
      </c>
      <c r="DO7" s="228">
        <v>1.06</v>
      </c>
      <c r="DP7" s="228">
        <v>1.06</v>
      </c>
      <c r="DQ7" s="228">
        <v>0.49</v>
      </c>
      <c r="DR7" s="228">
        <v>0.5</v>
      </c>
      <c r="DS7" s="228">
        <v>-0.01</v>
      </c>
      <c r="DT7" s="229">
        <v>-0.02</v>
      </c>
      <c r="DU7" s="231">
        <v>1200</v>
      </c>
      <c r="DV7" s="231">
        <v>1000</v>
      </c>
      <c r="DW7" s="228">
        <v>0.35</v>
      </c>
      <c r="DX7" s="228">
        <v>0.36</v>
      </c>
      <c r="DY7" s="228">
        <v>-0.01</v>
      </c>
      <c r="DZ7" s="229">
        <v>-2.7799999999999998E-2</v>
      </c>
      <c r="EA7" s="229">
        <v>2.9399999999999999E-2</v>
      </c>
      <c r="EB7" s="230">
        <v>553800</v>
      </c>
      <c r="EC7" s="229">
        <v>5.7999999999999996E-3</v>
      </c>
      <c r="ED7" s="229">
        <v>2.9399999999999999E-2</v>
      </c>
      <c r="EE7" s="228">
        <v>6.7</v>
      </c>
      <c r="EF7" s="229">
        <v>6.3E-3</v>
      </c>
      <c r="EG7" s="230">
        <v>368376</v>
      </c>
      <c r="EH7" s="230">
        <v>569961</v>
      </c>
      <c r="EI7" s="229">
        <v>-0.35370000000000001</v>
      </c>
      <c r="EJ7" s="229">
        <v>0.27300000000000002</v>
      </c>
      <c r="EK7" s="228">
        <v>854.23</v>
      </c>
      <c r="EL7" s="228">
        <v>275.64</v>
      </c>
      <c r="EM7" s="228">
        <v>206.77</v>
      </c>
      <c r="EN7" s="228">
        <v>132.84</v>
      </c>
      <c r="EO7" s="231">
        <v>1336.64</v>
      </c>
      <c r="EP7" s="231">
        <v>2392.75</v>
      </c>
      <c r="EQ7" s="231">
        <v>-1056.1099999999999</v>
      </c>
      <c r="ER7" s="229">
        <v>-0.44140000000000001</v>
      </c>
      <c r="ES7" s="231">
        <v>1013.31</v>
      </c>
      <c r="ET7" s="228">
        <v>451.04</v>
      </c>
      <c r="EU7" s="231">
        <v>2139.0300000000002</v>
      </c>
      <c r="EV7" s="231">
        <v>61877951</v>
      </c>
      <c r="EW7" s="231">
        <v>3603.38</v>
      </c>
      <c r="EX7" s="231">
        <v>3579.98</v>
      </c>
      <c r="EY7" s="228">
        <v>23.4</v>
      </c>
      <c r="EZ7" s="229">
        <v>6.4999999999999997E-3</v>
      </c>
      <c r="FA7" s="229">
        <v>0.53879999999999995</v>
      </c>
      <c r="FB7" s="227" t="s">
        <v>568</v>
      </c>
      <c r="FC7">
        <f t="shared" si="0"/>
        <v>63</v>
      </c>
    </row>
    <row r="8" spans="1:159" ht="17.25" thickBot="1" x14ac:dyDescent="0.3">
      <c r="A8" s="226">
        <v>45936</v>
      </c>
      <c r="B8" s="227" t="s">
        <v>215</v>
      </c>
      <c r="C8" s="227" t="s">
        <v>160</v>
      </c>
      <c r="D8" s="228">
        <v>475</v>
      </c>
      <c r="E8" s="228">
        <v>22</v>
      </c>
      <c r="F8" s="231">
        <v>1408.2</v>
      </c>
      <c r="G8" s="231">
        <v>1427.9</v>
      </c>
      <c r="H8" s="228">
        <v>-19.7</v>
      </c>
      <c r="I8" s="229">
        <v>-1.38E-2</v>
      </c>
      <c r="J8" s="231">
        <v>1400.5</v>
      </c>
      <c r="K8" s="231">
        <v>1419.1</v>
      </c>
      <c r="L8" s="228">
        <v>-18.600000000000001</v>
      </c>
      <c r="M8" s="229">
        <v>-1.3100000000000001E-2</v>
      </c>
      <c r="N8" s="231">
        <v>1408.2</v>
      </c>
      <c r="O8" s="231">
        <v>1427.9</v>
      </c>
      <c r="P8" s="228">
        <v>-19.7</v>
      </c>
      <c r="Q8" s="229">
        <v>-1.38E-2</v>
      </c>
      <c r="R8" s="231">
        <v>1415.9</v>
      </c>
      <c r="S8" s="231">
        <v>1436</v>
      </c>
      <c r="T8" s="228">
        <v>-20.100000000000001</v>
      </c>
      <c r="U8" s="229">
        <v>-1.4E-2</v>
      </c>
      <c r="V8" s="231">
        <v>1424.5</v>
      </c>
      <c r="W8" s="231">
        <v>1445</v>
      </c>
      <c r="X8" s="228">
        <v>-20.5</v>
      </c>
      <c r="Y8" s="229">
        <v>-1.4200000000000001E-2</v>
      </c>
      <c r="Z8" s="228">
        <v>7.7</v>
      </c>
      <c r="AA8" s="228">
        <v>8.8000000000000007</v>
      </c>
      <c r="AB8" s="228">
        <v>-1.1000000000000001</v>
      </c>
      <c r="AC8" s="229">
        <v>5.4999999999999997E-3</v>
      </c>
      <c r="AD8" s="228">
        <v>7.7</v>
      </c>
      <c r="AE8" s="228">
        <v>8.8000000000000007</v>
      </c>
      <c r="AF8" s="228">
        <v>-1.1000000000000001</v>
      </c>
      <c r="AG8" s="229">
        <v>5.4999999999999997E-3</v>
      </c>
      <c r="AH8" s="228">
        <v>15.4</v>
      </c>
      <c r="AI8" s="228">
        <v>16.899999999999999</v>
      </c>
      <c r="AJ8" s="228">
        <v>-1.5</v>
      </c>
      <c r="AK8" s="229">
        <v>1.0999999999999999E-2</v>
      </c>
      <c r="AL8" s="228">
        <v>24</v>
      </c>
      <c r="AM8" s="228">
        <v>25.9</v>
      </c>
      <c r="AN8" s="228">
        <v>-1.9</v>
      </c>
      <c r="AO8" s="229">
        <v>1.7100000000000001E-2</v>
      </c>
      <c r="AP8" s="231">
        <v>1408.72</v>
      </c>
      <c r="AQ8" s="231">
        <v>1416.22</v>
      </c>
      <c r="AR8" s="228">
        <v>0</v>
      </c>
      <c r="AS8" s="228">
        <v>394</v>
      </c>
      <c r="AT8" s="228">
        <v>320</v>
      </c>
      <c r="AU8" s="228">
        <v>74</v>
      </c>
      <c r="AV8" s="229">
        <v>0.23219999999999999</v>
      </c>
      <c r="AW8" s="228">
        <v>369</v>
      </c>
      <c r="AX8" s="228">
        <v>301</v>
      </c>
      <c r="AY8" s="228">
        <v>68</v>
      </c>
      <c r="AZ8" s="229">
        <v>0.22689999999999999</v>
      </c>
      <c r="BA8" s="228">
        <v>21</v>
      </c>
      <c r="BB8" s="228">
        <v>17</v>
      </c>
      <c r="BC8" s="228">
        <v>4</v>
      </c>
      <c r="BD8" s="229">
        <v>0.22389999999999999</v>
      </c>
      <c r="BE8" s="228">
        <v>4</v>
      </c>
      <c r="BF8" s="228">
        <v>2</v>
      </c>
      <c r="BG8" s="228">
        <v>2</v>
      </c>
      <c r="BH8" s="229">
        <v>1.28</v>
      </c>
      <c r="BI8" s="230">
        <v>1227</v>
      </c>
      <c r="BJ8" s="230">
        <v>1105</v>
      </c>
      <c r="BK8" s="228">
        <v>122</v>
      </c>
      <c r="BL8" s="229">
        <v>0.1105</v>
      </c>
      <c r="BM8" s="228">
        <v>639</v>
      </c>
      <c r="BN8" s="228">
        <v>412</v>
      </c>
      <c r="BO8" s="228">
        <v>227</v>
      </c>
      <c r="BP8" s="229">
        <v>0.55120000000000002</v>
      </c>
      <c r="BQ8" s="230">
        <v>2260</v>
      </c>
      <c r="BR8" s="230">
        <v>1836</v>
      </c>
      <c r="BS8" s="228">
        <v>423</v>
      </c>
      <c r="BT8" s="229">
        <v>0.23039999999999999</v>
      </c>
      <c r="BU8" s="230">
        <v>1386694</v>
      </c>
      <c r="BV8" s="230">
        <v>1628064</v>
      </c>
      <c r="BW8" s="230">
        <v>-241370</v>
      </c>
      <c r="BX8" s="229">
        <v>-0.14829999999999999</v>
      </c>
      <c r="BY8" s="230">
        <v>3189</v>
      </c>
      <c r="BZ8" s="230">
        <v>3195</v>
      </c>
      <c r="CA8" s="228">
        <v>-7</v>
      </c>
      <c r="CB8" s="229">
        <v>-2.0999999999999999E-3</v>
      </c>
      <c r="CC8" s="230">
        <v>3101</v>
      </c>
      <c r="CD8" s="230">
        <v>3115</v>
      </c>
      <c r="CE8" s="228">
        <v>-14</v>
      </c>
      <c r="CF8" s="229">
        <v>-4.5999999999999999E-3</v>
      </c>
      <c r="CG8" s="228">
        <v>83</v>
      </c>
      <c r="CH8" s="228">
        <v>77</v>
      </c>
      <c r="CI8" s="228">
        <v>6</v>
      </c>
      <c r="CJ8" s="229">
        <v>7.2700000000000001E-2</v>
      </c>
      <c r="CK8" s="228">
        <v>5</v>
      </c>
      <c r="CL8" s="228">
        <v>3</v>
      </c>
      <c r="CM8" s="228">
        <v>2</v>
      </c>
      <c r="CN8" s="229">
        <v>0.87180000000000002</v>
      </c>
      <c r="CO8" s="228">
        <v>980</v>
      </c>
      <c r="CP8" s="228">
        <v>832</v>
      </c>
      <c r="CQ8" s="228">
        <v>148</v>
      </c>
      <c r="CR8" s="229">
        <v>0.1784</v>
      </c>
      <c r="CS8" s="228">
        <v>579</v>
      </c>
      <c r="CT8" s="228">
        <v>553</v>
      </c>
      <c r="CU8" s="228">
        <v>26</v>
      </c>
      <c r="CV8" s="229">
        <v>4.7300000000000002E-2</v>
      </c>
      <c r="CW8" s="230">
        <v>4748</v>
      </c>
      <c r="CX8" s="230">
        <v>4580</v>
      </c>
      <c r="CY8" s="228">
        <v>168</v>
      </c>
      <c r="CZ8" s="229">
        <v>3.6700000000000003E-2</v>
      </c>
      <c r="DA8" s="228">
        <v>23.13</v>
      </c>
      <c r="DB8" s="228">
        <v>21.36</v>
      </c>
      <c r="DC8" s="228">
        <v>1.77</v>
      </c>
      <c r="DD8" s="228">
        <v>1.77</v>
      </c>
      <c r="DE8" s="228">
        <v>39.58</v>
      </c>
      <c r="DF8" s="228">
        <v>39.630000000000003</v>
      </c>
      <c r="DG8" s="228">
        <v>-16.45</v>
      </c>
      <c r="DH8" s="228">
        <v>-0.05</v>
      </c>
      <c r="DI8" s="228">
        <v>23.46</v>
      </c>
      <c r="DJ8" s="228">
        <v>21.52</v>
      </c>
      <c r="DK8" s="228">
        <v>1.94</v>
      </c>
      <c r="DL8" s="228">
        <v>1.94</v>
      </c>
      <c r="DM8" s="228">
        <v>22.51</v>
      </c>
      <c r="DN8" s="228">
        <v>20.92</v>
      </c>
      <c r="DO8" s="228">
        <v>1.59</v>
      </c>
      <c r="DP8" s="228">
        <v>1.59</v>
      </c>
      <c r="DQ8" s="228">
        <v>0.59</v>
      </c>
      <c r="DR8" s="228">
        <v>0.66</v>
      </c>
      <c r="DS8" s="228">
        <v>-7.0000000000000007E-2</v>
      </c>
      <c r="DT8" s="229">
        <v>-0.1061</v>
      </c>
      <c r="DU8" s="231">
        <v>1500</v>
      </c>
      <c r="DV8" s="231">
        <v>1400</v>
      </c>
      <c r="DW8" s="228">
        <v>0.52</v>
      </c>
      <c r="DX8" s="228">
        <v>0.37</v>
      </c>
      <c r="DY8" s="228">
        <v>0.15</v>
      </c>
      <c r="DZ8" s="229">
        <v>0.40539999999999998</v>
      </c>
      <c r="EA8" s="229">
        <v>2.75E-2</v>
      </c>
      <c r="EB8" s="230">
        <v>567625</v>
      </c>
      <c r="EC8" s="229">
        <v>5.4999999999999997E-3</v>
      </c>
      <c r="ED8" s="229">
        <v>2.75E-2</v>
      </c>
      <c r="EE8" s="228">
        <v>7.5</v>
      </c>
      <c r="EF8" s="229">
        <v>5.3E-3</v>
      </c>
      <c r="EG8" s="230">
        <v>520448</v>
      </c>
      <c r="EH8" s="230">
        <v>827770</v>
      </c>
      <c r="EI8" s="229">
        <v>-0.37130000000000002</v>
      </c>
      <c r="EJ8" s="229">
        <v>0.37530000000000002</v>
      </c>
      <c r="EK8" s="231">
        <v>1277.98</v>
      </c>
      <c r="EL8" s="228">
        <v>637.88</v>
      </c>
      <c r="EM8" s="228">
        <v>394.28</v>
      </c>
      <c r="EN8" s="228">
        <v>161.93</v>
      </c>
      <c r="EO8" s="231">
        <v>2310.14</v>
      </c>
      <c r="EP8" s="231">
        <v>1907.65</v>
      </c>
      <c r="EQ8" s="228">
        <v>402.5</v>
      </c>
      <c r="ER8" s="229">
        <v>0.21099999999999999</v>
      </c>
      <c r="ES8" s="231">
        <v>1023.05</v>
      </c>
      <c r="ET8" s="228">
        <v>569.79999999999995</v>
      </c>
      <c r="EU8" s="231">
        <v>3189.27</v>
      </c>
      <c r="EV8" s="231">
        <v>73799006</v>
      </c>
      <c r="EW8" s="231">
        <v>4782.12</v>
      </c>
      <c r="EX8" s="231">
        <v>4654.8500000000004</v>
      </c>
      <c r="EY8" s="228">
        <v>127.27</v>
      </c>
      <c r="EZ8" s="229">
        <v>2.7300000000000001E-2</v>
      </c>
      <c r="FA8" s="229">
        <v>0.45689999999999997</v>
      </c>
      <c r="FB8" s="227" t="s">
        <v>568</v>
      </c>
      <c r="FC8">
        <f t="shared" si="0"/>
        <v>88</v>
      </c>
    </row>
    <row r="9" spans="1:159" ht="17.25" thickBot="1" x14ac:dyDescent="0.3">
      <c r="A9" s="226">
        <v>45936</v>
      </c>
      <c r="B9" s="227" t="s">
        <v>170</v>
      </c>
      <c r="C9" s="227" t="s">
        <v>497</v>
      </c>
      <c r="D9" s="228">
        <v>125</v>
      </c>
      <c r="E9" s="228">
        <v>22</v>
      </c>
      <c r="F9" s="231">
        <v>5526.5</v>
      </c>
      <c r="G9" s="231">
        <v>5462</v>
      </c>
      <c r="H9" s="228">
        <v>64.5</v>
      </c>
      <c r="I9" s="229">
        <v>1.18E-2</v>
      </c>
      <c r="J9" s="231">
        <v>5494</v>
      </c>
      <c r="K9" s="231">
        <v>5442</v>
      </c>
      <c r="L9" s="228">
        <v>52</v>
      </c>
      <c r="M9" s="229">
        <v>9.5999999999999992E-3</v>
      </c>
      <c r="N9" s="231">
        <v>5526.5</v>
      </c>
      <c r="O9" s="231">
        <v>5462</v>
      </c>
      <c r="P9" s="228">
        <v>64.5</v>
      </c>
      <c r="Q9" s="229">
        <v>1.18E-2</v>
      </c>
      <c r="R9" s="231">
        <v>5560</v>
      </c>
      <c r="S9" s="231">
        <v>5481.5</v>
      </c>
      <c r="T9" s="228">
        <v>78.5</v>
      </c>
      <c r="U9" s="229">
        <v>1.43E-2</v>
      </c>
      <c r="V9" s="231">
        <v>5524</v>
      </c>
      <c r="W9" s="231">
        <v>5524</v>
      </c>
      <c r="X9" s="228">
        <v>0</v>
      </c>
      <c r="Y9" s="229">
        <v>0</v>
      </c>
      <c r="Z9" s="228">
        <v>32.5</v>
      </c>
      <c r="AA9" s="228">
        <v>20</v>
      </c>
      <c r="AB9" s="228">
        <v>12.5</v>
      </c>
      <c r="AC9" s="229">
        <v>5.8999999999999999E-3</v>
      </c>
      <c r="AD9" s="228">
        <v>32.5</v>
      </c>
      <c r="AE9" s="228">
        <v>20</v>
      </c>
      <c r="AF9" s="228">
        <v>12.5</v>
      </c>
      <c r="AG9" s="229">
        <v>5.8999999999999999E-3</v>
      </c>
      <c r="AH9" s="228">
        <v>66</v>
      </c>
      <c r="AI9" s="228">
        <v>39.5</v>
      </c>
      <c r="AJ9" s="228">
        <v>26.5</v>
      </c>
      <c r="AK9" s="229">
        <v>1.2E-2</v>
      </c>
      <c r="AL9" s="228">
        <v>30</v>
      </c>
      <c r="AM9" s="228">
        <v>82</v>
      </c>
      <c r="AN9" s="228">
        <v>-52</v>
      </c>
      <c r="AO9" s="229">
        <v>5.4999999999999997E-3</v>
      </c>
      <c r="AP9" s="231">
        <v>5474.33</v>
      </c>
      <c r="AQ9" s="231">
        <v>5503.71</v>
      </c>
      <c r="AR9" s="228">
        <v>0</v>
      </c>
      <c r="AS9" s="228">
        <v>77</v>
      </c>
      <c r="AT9" s="228">
        <v>48</v>
      </c>
      <c r="AU9" s="228">
        <v>29</v>
      </c>
      <c r="AV9" s="229">
        <v>0.60780000000000001</v>
      </c>
      <c r="AW9" s="228">
        <v>75</v>
      </c>
      <c r="AX9" s="228">
        <v>46</v>
      </c>
      <c r="AY9" s="228">
        <v>29</v>
      </c>
      <c r="AZ9" s="229">
        <v>0.63570000000000004</v>
      </c>
      <c r="BA9" s="228">
        <v>2</v>
      </c>
      <c r="BB9" s="228">
        <v>2</v>
      </c>
      <c r="BC9" s="228">
        <v>0</v>
      </c>
      <c r="BD9" s="229">
        <v>0</v>
      </c>
      <c r="BE9" s="228">
        <v>0</v>
      </c>
      <c r="BF9" s="228">
        <v>0</v>
      </c>
      <c r="BG9" s="228">
        <v>0</v>
      </c>
      <c r="BH9" s="229">
        <v>-1</v>
      </c>
      <c r="BI9" s="228">
        <v>153</v>
      </c>
      <c r="BJ9" s="228">
        <v>182</v>
      </c>
      <c r="BK9" s="228">
        <v>-29</v>
      </c>
      <c r="BL9" s="229">
        <v>-0.15820000000000001</v>
      </c>
      <c r="BM9" s="228">
        <v>55</v>
      </c>
      <c r="BN9" s="228">
        <v>36</v>
      </c>
      <c r="BO9" s="228">
        <v>18</v>
      </c>
      <c r="BP9" s="229">
        <v>0.50280000000000002</v>
      </c>
      <c r="BQ9" s="228">
        <v>285</v>
      </c>
      <c r="BR9" s="228">
        <v>266</v>
      </c>
      <c r="BS9" s="228">
        <v>19</v>
      </c>
      <c r="BT9" s="229">
        <v>7.0599999999999996E-2</v>
      </c>
      <c r="BU9" s="230">
        <v>107272</v>
      </c>
      <c r="BV9" s="230">
        <v>111463</v>
      </c>
      <c r="BW9" s="230">
        <v>-4191</v>
      </c>
      <c r="BX9" s="229">
        <v>-3.7600000000000001E-2</v>
      </c>
      <c r="BY9" s="228">
        <v>823</v>
      </c>
      <c r="BZ9" s="228">
        <v>812</v>
      </c>
      <c r="CA9" s="228">
        <v>11</v>
      </c>
      <c r="CB9" s="229">
        <v>1.34E-2</v>
      </c>
      <c r="CC9" s="228">
        <v>818</v>
      </c>
      <c r="CD9" s="228">
        <v>808</v>
      </c>
      <c r="CE9" s="228">
        <v>10</v>
      </c>
      <c r="CF9" s="229">
        <v>1.2699999999999999E-2</v>
      </c>
      <c r="CG9" s="228">
        <v>5</v>
      </c>
      <c r="CH9" s="228">
        <v>4</v>
      </c>
      <c r="CI9" s="228">
        <v>1</v>
      </c>
      <c r="CJ9" s="229">
        <v>0.127</v>
      </c>
      <c r="CK9" s="228">
        <v>0</v>
      </c>
      <c r="CL9" s="228">
        <v>0</v>
      </c>
      <c r="CM9" s="228">
        <v>0</v>
      </c>
      <c r="CN9" s="229">
        <v>0</v>
      </c>
      <c r="CO9" s="228">
        <v>85</v>
      </c>
      <c r="CP9" s="228">
        <v>65</v>
      </c>
      <c r="CQ9" s="228">
        <v>20</v>
      </c>
      <c r="CR9" s="229">
        <v>0.31309999999999999</v>
      </c>
      <c r="CS9" s="228">
        <v>54</v>
      </c>
      <c r="CT9" s="228">
        <v>47</v>
      </c>
      <c r="CU9" s="228">
        <v>7</v>
      </c>
      <c r="CV9" s="229">
        <v>0.15540000000000001</v>
      </c>
      <c r="CW9" s="228">
        <v>963</v>
      </c>
      <c r="CX9" s="228">
        <v>924</v>
      </c>
      <c r="CY9" s="228">
        <v>38</v>
      </c>
      <c r="CZ9" s="229">
        <v>4.1599999999999998E-2</v>
      </c>
      <c r="DA9" s="228">
        <v>21.88</v>
      </c>
      <c r="DB9" s="228">
        <v>20.72</v>
      </c>
      <c r="DC9" s="228">
        <v>1.1599999999999999</v>
      </c>
      <c r="DD9" s="228">
        <v>1.1599999999999999</v>
      </c>
      <c r="DE9" s="228">
        <v>28.36</v>
      </c>
      <c r="DF9" s="228">
        <v>28.39</v>
      </c>
      <c r="DG9" s="228">
        <v>-6.48</v>
      </c>
      <c r="DH9" s="228">
        <v>-0.03</v>
      </c>
      <c r="DI9" s="228">
        <v>21.68</v>
      </c>
      <c r="DJ9" s="228">
        <v>20.75</v>
      </c>
      <c r="DK9" s="228">
        <v>0.93</v>
      </c>
      <c r="DL9" s="228">
        <v>0.93</v>
      </c>
      <c r="DM9" s="228">
        <v>22.42</v>
      </c>
      <c r="DN9" s="228">
        <v>20.56</v>
      </c>
      <c r="DO9" s="228">
        <v>1.86</v>
      </c>
      <c r="DP9" s="228">
        <v>1.86</v>
      </c>
      <c r="DQ9" s="228">
        <v>0.64</v>
      </c>
      <c r="DR9" s="228">
        <v>0.73</v>
      </c>
      <c r="DS9" s="228">
        <v>-0.09</v>
      </c>
      <c r="DT9" s="229">
        <v>-0.12330000000000001</v>
      </c>
      <c r="DU9" s="231">
        <v>6000</v>
      </c>
      <c r="DV9" s="231">
        <v>5500</v>
      </c>
      <c r="DW9" s="228">
        <v>0.36</v>
      </c>
      <c r="DX9" s="228">
        <v>0.2</v>
      </c>
      <c r="DY9" s="228">
        <v>0.16</v>
      </c>
      <c r="DZ9" s="229">
        <v>0.8</v>
      </c>
      <c r="EA9" s="229">
        <v>6.0000000000000001E-3</v>
      </c>
      <c r="EB9" s="230">
        <v>8000</v>
      </c>
      <c r="EC9" s="229">
        <v>6.1000000000000004E-3</v>
      </c>
      <c r="ED9" s="229">
        <v>6.0000000000000001E-3</v>
      </c>
      <c r="EE9" s="228">
        <v>29.38</v>
      </c>
      <c r="EF9" s="229">
        <v>5.4000000000000003E-3</v>
      </c>
      <c r="EG9" s="230">
        <v>58889</v>
      </c>
      <c r="EH9" s="230">
        <v>74780</v>
      </c>
      <c r="EI9" s="229">
        <v>-0.21249999999999999</v>
      </c>
      <c r="EJ9" s="229">
        <v>0.54900000000000004</v>
      </c>
      <c r="EK9" s="228">
        <v>156.6</v>
      </c>
      <c r="EL9" s="228">
        <v>53.56</v>
      </c>
      <c r="EM9" s="228">
        <v>76.58</v>
      </c>
      <c r="EN9" s="228">
        <v>32.26</v>
      </c>
      <c r="EO9" s="228">
        <v>286.75</v>
      </c>
      <c r="EP9" s="228">
        <v>270.54000000000002</v>
      </c>
      <c r="EQ9" s="228">
        <v>16.21</v>
      </c>
      <c r="ER9" s="229">
        <v>5.9900000000000002E-2</v>
      </c>
      <c r="ES9" s="228">
        <v>87.53</v>
      </c>
      <c r="ET9" s="228">
        <v>52.66</v>
      </c>
      <c r="EU9" s="228">
        <v>823.13</v>
      </c>
      <c r="EV9" s="231">
        <v>6130387</v>
      </c>
      <c r="EW9" s="228">
        <v>963.32</v>
      </c>
      <c r="EX9" s="228">
        <v>915.01</v>
      </c>
      <c r="EY9" s="228">
        <v>48.31</v>
      </c>
      <c r="EZ9" s="229">
        <v>5.28E-2</v>
      </c>
      <c r="FA9" s="229">
        <v>0.28420000000000001</v>
      </c>
      <c r="FB9" s="227" t="s">
        <v>555</v>
      </c>
      <c r="FC9">
        <f t="shared" si="0"/>
        <v>5</v>
      </c>
    </row>
    <row r="10" spans="1:159" ht="17.25" thickBot="1" x14ac:dyDescent="0.3">
      <c r="A10" s="226">
        <v>45936</v>
      </c>
      <c r="B10" s="227" t="s">
        <v>184</v>
      </c>
      <c r="C10" s="227" t="s">
        <v>683</v>
      </c>
      <c r="D10" s="228">
        <v>100</v>
      </c>
      <c r="E10" s="228">
        <v>22</v>
      </c>
      <c r="F10" s="231">
        <v>8170</v>
      </c>
      <c r="G10" s="231">
        <v>8202</v>
      </c>
      <c r="H10" s="228">
        <v>-32</v>
      </c>
      <c r="I10" s="229">
        <v>-3.8999999999999998E-3</v>
      </c>
      <c r="J10" s="231">
        <v>8174.5</v>
      </c>
      <c r="K10" s="231">
        <v>8214.5</v>
      </c>
      <c r="L10" s="228">
        <v>-40</v>
      </c>
      <c r="M10" s="229">
        <v>-4.8999999999999998E-3</v>
      </c>
      <c r="N10" s="231">
        <v>8170</v>
      </c>
      <c r="O10" s="231">
        <v>8202</v>
      </c>
      <c r="P10" s="228">
        <v>-32</v>
      </c>
      <c r="Q10" s="229">
        <v>-3.8999999999999998E-3</v>
      </c>
      <c r="R10" s="231">
        <v>8120</v>
      </c>
      <c r="S10" s="231">
        <v>8139.5</v>
      </c>
      <c r="T10" s="228">
        <v>-19.5</v>
      </c>
      <c r="U10" s="229">
        <v>-2.3999999999999998E-3</v>
      </c>
      <c r="V10" s="228">
        <v>0</v>
      </c>
      <c r="W10" s="228">
        <v>0</v>
      </c>
      <c r="X10" s="228">
        <v>0</v>
      </c>
      <c r="Y10" s="229">
        <v>0</v>
      </c>
      <c r="Z10" s="228">
        <v>-4.5</v>
      </c>
      <c r="AA10" s="228">
        <v>-12.5</v>
      </c>
      <c r="AB10" s="228">
        <v>8</v>
      </c>
      <c r="AC10" s="229">
        <v>-5.9999999999999995E-4</v>
      </c>
      <c r="AD10" s="228">
        <v>-4.5</v>
      </c>
      <c r="AE10" s="228">
        <v>-12.5</v>
      </c>
      <c r="AF10" s="228">
        <v>8</v>
      </c>
      <c r="AG10" s="229">
        <v>-5.9999999999999995E-4</v>
      </c>
      <c r="AH10" s="228">
        <v>-54.5</v>
      </c>
      <c r="AI10" s="228">
        <v>-75</v>
      </c>
      <c r="AJ10" s="228">
        <v>20.5</v>
      </c>
      <c r="AK10" s="229">
        <v>-6.7000000000000002E-3</v>
      </c>
      <c r="AL10" s="228">
        <v>0</v>
      </c>
      <c r="AM10" s="228">
        <v>0</v>
      </c>
      <c r="AN10" s="228">
        <v>0</v>
      </c>
      <c r="AO10" s="229">
        <v>0</v>
      </c>
      <c r="AP10" s="231">
        <v>8126.91</v>
      </c>
      <c r="AQ10" s="231">
        <v>8086.38</v>
      </c>
      <c r="AR10" s="228">
        <v>0</v>
      </c>
      <c r="AS10" s="228">
        <v>106</v>
      </c>
      <c r="AT10" s="228">
        <v>67</v>
      </c>
      <c r="AU10" s="228">
        <v>38</v>
      </c>
      <c r="AV10" s="229">
        <v>0.56969999999999998</v>
      </c>
      <c r="AW10" s="228">
        <v>97</v>
      </c>
      <c r="AX10" s="228">
        <v>66</v>
      </c>
      <c r="AY10" s="228">
        <v>32</v>
      </c>
      <c r="AZ10" s="229">
        <v>0.48380000000000001</v>
      </c>
      <c r="BA10" s="228">
        <v>9</v>
      </c>
      <c r="BB10" s="228">
        <v>2</v>
      </c>
      <c r="BC10" s="228">
        <v>7</v>
      </c>
      <c r="BD10" s="229">
        <v>3.5651999999999999</v>
      </c>
      <c r="BE10" s="228">
        <v>0</v>
      </c>
      <c r="BF10" s="228">
        <v>0</v>
      </c>
      <c r="BG10" s="228">
        <v>0</v>
      </c>
      <c r="BH10" s="229">
        <v>0</v>
      </c>
      <c r="BI10" s="228">
        <v>277</v>
      </c>
      <c r="BJ10" s="228">
        <v>172</v>
      </c>
      <c r="BK10" s="228">
        <v>106</v>
      </c>
      <c r="BL10" s="229">
        <v>0.6159</v>
      </c>
      <c r="BM10" s="228">
        <v>78</v>
      </c>
      <c r="BN10" s="228">
        <v>59</v>
      </c>
      <c r="BO10" s="228">
        <v>20</v>
      </c>
      <c r="BP10" s="229">
        <v>0.33429999999999999</v>
      </c>
      <c r="BQ10" s="228">
        <v>461</v>
      </c>
      <c r="BR10" s="228">
        <v>298</v>
      </c>
      <c r="BS10" s="228">
        <v>164</v>
      </c>
      <c r="BT10" s="229">
        <v>0.54990000000000006</v>
      </c>
      <c r="BU10" s="230">
        <v>125682</v>
      </c>
      <c r="BV10" s="230">
        <v>116302</v>
      </c>
      <c r="BW10" s="230">
        <v>9380</v>
      </c>
      <c r="BX10" s="229">
        <v>8.0699999999999994E-2</v>
      </c>
      <c r="BY10" s="228">
        <v>412</v>
      </c>
      <c r="BZ10" s="228">
        <v>405</v>
      </c>
      <c r="CA10" s="228">
        <v>7</v>
      </c>
      <c r="CB10" s="229">
        <v>1.7100000000000001E-2</v>
      </c>
      <c r="CC10" s="228">
        <v>393</v>
      </c>
      <c r="CD10" s="228">
        <v>389</v>
      </c>
      <c r="CE10" s="228">
        <v>3</v>
      </c>
      <c r="CF10" s="229">
        <v>8.3999999999999995E-3</v>
      </c>
      <c r="CG10" s="228">
        <v>19</v>
      </c>
      <c r="CH10" s="228">
        <v>16</v>
      </c>
      <c r="CI10" s="228">
        <v>4</v>
      </c>
      <c r="CJ10" s="229">
        <v>0.2356</v>
      </c>
      <c r="CK10" s="228">
        <v>0</v>
      </c>
      <c r="CL10" s="228">
        <v>0</v>
      </c>
      <c r="CM10" s="228">
        <v>0</v>
      </c>
      <c r="CN10" s="229">
        <v>0</v>
      </c>
      <c r="CO10" s="228">
        <v>276</v>
      </c>
      <c r="CP10" s="228">
        <v>265</v>
      </c>
      <c r="CQ10" s="228">
        <v>11</v>
      </c>
      <c r="CR10" s="229">
        <v>4.1599999999999998E-2</v>
      </c>
      <c r="CS10" s="228">
        <v>143</v>
      </c>
      <c r="CT10" s="228">
        <v>137</v>
      </c>
      <c r="CU10" s="228">
        <v>6</v>
      </c>
      <c r="CV10" s="229">
        <v>4.6600000000000003E-2</v>
      </c>
      <c r="CW10" s="228">
        <v>831</v>
      </c>
      <c r="CX10" s="228">
        <v>807</v>
      </c>
      <c r="CY10" s="228">
        <v>24</v>
      </c>
      <c r="CZ10" s="229">
        <v>3.0200000000000001E-2</v>
      </c>
      <c r="DA10" s="228">
        <v>31.65</v>
      </c>
      <c r="DB10" s="228">
        <v>30.42</v>
      </c>
      <c r="DC10" s="228">
        <v>1.23</v>
      </c>
      <c r="DD10" s="228">
        <v>1.23</v>
      </c>
      <c r="DE10" s="228">
        <v>55.39</v>
      </c>
      <c r="DF10" s="228">
        <v>55.52</v>
      </c>
      <c r="DG10" s="228">
        <v>-23.74</v>
      </c>
      <c r="DH10" s="228">
        <v>-0.13</v>
      </c>
      <c r="DI10" s="228">
        <v>31.45</v>
      </c>
      <c r="DJ10" s="228">
        <v>30.27</v>
      </c>
      <c r="DK10" s="228">
        <v>1.18</v>
      </c>
      <c r="DL10" s="228">
        <v>1.18</v>
      </c>
      <c r="DM10" s="228">
        <v>32.340000000000003</v>
      </c>
      <c r="DN10" s="228">
        <v>30.85</v>
      </c>
      <c r="DO10" s="228">
        <v>1.49</v>
      </c>
      <c r="DP10" s="228">
        <v>1.49</v>
      </c>
      <c r="DQ10" s="228">
        <v>0.52</v>
      </c>
      <c r="DR10" s="228">
        <v>0.52</v>
      </c>
      <c r="DS10" s="228">
        <v>0</v>
      </c>
      <c r="DT10" s="229">
        <v>0</v>
      </c>
      <c r="DU10" s="231">
        <v>8500</v>
      </c>
      <c r="DV10" s="231">
        <v>8000</v>
      </c>
      <c r="DW10" s="228">
        <v>0.28000000000000003</v>
      </c>
      <c r="DX10" s="228">
        <v>0.34</v>
      </c>
      <c r="DY10" s="228">
        <v>-0.06</v>
      </c>
      <c r="DZ10" s="229">
        <v>-0.17649999999999999</v>
      </c>
      <c r="EA10" s="229">
        <v>4.6800000000000001E-2</v>
      </c>
      <c r="EB10" s="230">
        <v>19100</v>
      </c>
      <c r="EC10" s="229">
        <v>-6.1000000000000004E-3</v>
      </c>
      <c r="ED10" s="229">
        <v>4.6800000000000001E-2</v>
      </c>
      <c r="EE10" s="228">
        <v>-40.53</v>
      </c>
      <c r="EF10" s="229">
        <v>-5.0000000000000001E-3</v>
      </c>
      <c r="EG10" s="230">
        <v>50764</v>
      </c>
      <c r="EH10" s="230">
        <v>50616</v>
      </c>
      <c r="EI10" s="229">
        <v>2.8999999999999998E-3</v>
      </c>
      <c r="EJ10" s="229">
        <v>0.40389999999999998</v>
      </c>
      <c r="EK10" s="228">
        <v>292.11</v>
      </c>
      <c r="EL10" s="228">
        <v>76.75</v>
      </c>
      <c r="EM10" s="228">
        <v>105.2</v>
      </c>
      <c r="EN10" s="228">
        <v>39.4</v>
      </c>
      <c r="EO10" s="228">
        <v>474.06</v>
      </c>
      <c r="EP10" s="228">
        <v>306.70999999999998</v>
      </c>
      <c r="EQ10" s="228">
        <v>167.36</v>
      </c>
      <c r="ER10" s="229">
        <v>0.54569999999999996</v>
      </c>
      <c r="ES10" s="228">
        <v>284.52999999999997</v>
      </c>
      <c r="ET10" s="228">
        <v>139.35</v>
      </c>
      <c r="EU10" s="228">
        <v>411.9</v>
      </c>
      <c r="EV10" s="231">
        <v>3067454</v>
      </c>
      <c r="EW10" s="228">
        <v>835.78</v>
      </c>
      <c r="EX10" s="228">
        <v>813.88</v>
      </c>
      <c r="EY10" s="228">
        <v>21.9</v>
      </c>
      <c r="EZ10" s="229">
        <v>2.69E-2</v>
      </c>
      <c r="FA10" s="229">
        <v>0.33169999999999999</v>
      </c>
      <c r="FB10" s="227" t="s">
        <v>567</v>
      </c>
      <c r="FC10">
        <f t="shared" si="0"/>
        <v>19</v>
      </c>
    </row>
    <row r="11" spans="1:159" ht="17.25" thickBot="1" x14ac:dyDescent="0.3">
      <c r="A11" s="226">
        <v>45936</v>
      </c>
      <c r="B11" s="227" t="s">
        <v>157</v>
      </c>
      <c r="C11" s="227" t="s">
        <v>164</v>
      </c>
      <c r="D11" s="228">
        <v>1050</v>
      </c>
      <c r="E11" s="228">
        <v>22</v>
      </c>
      <c r="F11" s="228">
        <v>576.4</v>
      </c>
      <c r="G11" s="228">
        <v>579.65</v>
      </c>
      <c r="H11" s="228">
        <v>-3.25</v>
      </c>
      <c r="I11" s="229">
        <v>-5.5999999999999999E-3</v>
      </c>
      <c r="J11" s="228">
        <v>573.79999999999995</v>
      </c>
      <c r="K11" s="228">
        <v>576.15</v>
      </c>
      <c r="L11" s="228">
        <v>-2.35</v>
      </c>
      <c r="M11" s="229">
        <v>-4.1000000000000003E-3</v>
      </c>
      <c r="N11" s="228">
        <v>576.4</v>
      </c>
      <c r="O11" s="228">
        <v>579.65</v>
      </c>
      <c r="P11" s="228">
        <v>-3.25</v>
      </c>
      <c r="Q11" s="229">
        <v>-5.5999999999999999E-3</v>
      </c>
      <c r="R11" s="228">
        <v>579.70000000000005</v>
      </c>
      <c r="S11" s="228">
        <v>582.4</v>
      </c>
      <c r="T11" s="228">
        <v>-2.7</v>
      </c>
      <c r="U11" s="229">
        <v>-4.5999999999999999E-3</v>
      </c>
      <c r="V11" s="228">
        <v>583</v>
      </c>
      <c r="W11" s="228">
        <v>586.15</v>
      </c>
      <c r="X11" s="228">
        <v>-3.15</v>
      </c>
      <c r="Y11" s="229">
        <v>-5.4000000000000003E-3</v>
      </c>
      <c r="Z11" s="228">
        <v>2.6</v>
      </c>
      <c r="AA11" s="228">
        <v>3.5</v>
      </c>
      <c r="AB11" s="228">
        <v>-0.9</v>
      </c>
      <c r="AC11" s="229">
        <v>4.4999999999999997E-3</v>
      </c>
      <c r="AD11" s="228">
        <v>2.6</v>
      </c>
      <c r="AE11" s="228">
        <v>3.5</v>
      </c>
      <c r="AF11" s="228">
        <v>-0.9</v>
      </c>
      <c r="AG11" s="229">
        <v>4.4999999999999997E-3</v>
      </c>
      <c r="AH11" s="228">
        <v>5.9</v>
      </c>
      <c r="AI11" s="228">
        <v>6.25</v>
      </c>
      <c r="AJ11" s="228">
        <v>-0.35</v>
      </c>
      <c r="AK11" s="229">
        <v>1.03E-2</v>
      </c>
      <c r="AL11" s="228">
        <v>9.1999999999999993</v>
      </c>
      <c r="AM11" s="228">
        <v>10</v>
      </c>
      <c r="AN11" s="228">
        <v>-0.8</v>
      </c>
      <c r="AO11" s="229">
        <v>1.6E-2</v>
      </c>
      <c r="AP11" s="228">
        <v>576.22</v>
      </c>
      <c r="AQ11" s="228">
        <v>579.91999999999996</v>
      </c>
      <c r="AR11" s="228">
        <v>0</v>
      </c>
      <c r="AS11" s="228">
        <v>114</v>
      </c>
      <c r="AT11" s="228">
        <v>254</v>
      </c>
      <c r="AU11" s="228">
        <v>-140</v>
      </c>
      <c r="AV11" s="229">
        <v>-0.55089999999999995</v>
      </c>
      <c r="AW11" s="228">
        <v>107</v>
      </c>
      <c r="AX11" s="228">
        <v>243</v>
      </c>
      <c r="AY11" s="228">
        <v>-137</v>
      </c>
      <c r="AZ11" s="229">
        <v>-0.56169999999999998</v>
      </c>
      <c r="BA11" s="228">
        <v>7</v>
      </c>
      <c r="BB11" s="228">
        <v>10</v>
      </c>
      <c r="BC11" s="228">
        <v>-3</v>
      </c>
      <c r="BD11" s="229">
        <v>-0.26250000000000001</v>
      </c>
      <c r="BE11" s="228">
        <v>0</v>
      </c>
      <c r="BF11" s="228">
        <v>1</v>
      </c>
      <c r="BG11" s="228">
        <v>-1</v>
      </c>
      <c r="BH11" s="229">
        <v>-0.73329999999999995</v>
      </c>
      <c r="BI11" s="228">
        <v>242</v>
      </c>
      <c r="BJ11" s="228">
        <v>453</v>
      </c>
      <c r="BK11" s="228">
        <v>-212</v>
      </c>
      <c r="BL11" s="229">
        <v>-0.4672</v>
      </c>
      <c r="BM11" s="228">
        <v>100</v>
      </c>
      <c r="BN11" s="228">
        <v>181</v>
      </c>
      <c r="BO11" s="228">
        <v>-81</v>
      </c>
      <c r="BP11" s="229">
        <v>-0.44690000000000002</v>
      </c>
      <c r="BQ11" s="228">
        <v>456</v>
      </c>
      <c r="BR11" s="228">
        <v>889</v>
      </c>
      <c r="BS11" s="228">
        <v>-433</v>
      </c>
      <c r="BT11" s="229">
        <v>-0.48699999999999999</v>
      </c>
      <c r="BU11" s="230">
        <v>937622</v>
      </c>
      <c r="BV11" s="230">
        <v>2118373</v>
      </c>
      <c r="BW11" s="230">
        <v>-1180751</v>
      </c>
      <c r="BX11" s="229">
        <v>-0.55740000000000001</v>
      </c>
      <c r="BY11" s="230">
        <v>2373</v>
      </c>
      <c r="BZ11" s="230">
        <v>2364</v>
      </c>
      <c r="CA11" s="228">
        <v>9</v>
      </c>
      <c r="CB11" s="229">
        <v>3.5999999999999999E-3</v>
      </c>
      <c r="CC11" s="230">
        <v>2332</v>
      </c>
      <c r="CD11" s="230">
        <v>2326</v>
      </c>
      <c r="CE11" s="228">
        <v>7</v>
      </c>
      <c r="CF11" s="229">
        <v>2.8999999999999998E-3</v>
      </c>
      <c r="CG11" s="228">
        <v>40</v>
      </c>
      <c r="CH11" s="228">
        <v>38</v>
      </c>
      <c r="CI11" s="228">
        <v>2</v>
      </c>
      <c r="CJ11" s="229">
        <v>4.1300000000000003E-2</v>
      </c>
      <c r="CK11" s="228">
        <v>1</v>
      </c>
      <c r="CL11" s="228">
        <v>1</v>
      </c>
      <c r="CM11" s="228">
        <v>0</v>
      </c>
      <c r="CN11" s="229">
        <v>0.4</v>
      </c>
      <c r="CO11" s="228">
        <v>540</v>
      </c>
      <c r="CP11" s="228">
        <v>497</v>
      </c>
      <c r="CQ11" s="228">
        <v>43</v>
      </c>
      <c r="CR11" s="229">
        <v>8.5699999999999998E-2</v>
      </c>
      <c r="CS11" s="228">
        <v>422</v>
      </c>
      <c r="CT11" s="228">
        <v>402</v>
      </c>
      <c r="CU11" s="228">
        <v>20</v>
      </c>
      <c r="CV11" s="229">
        <v>4.9099999999999998E-2</v>
      </c>
      <c r="CW11" s="230">
        <v>3335</v>
      </c>
      <c r="CX11" s="230">
        <v>3264</v>
      </c>
      <c r="CY11" s="228">
        <v>71</v>
      </c>
      <c r="CZ11" s="229">
        <v>2.1700000000000001E-2</v>
      </c>
      <c r="DA11" s="228">
        <v>25.14</v>
      </c>
      <c r="DB11" s="228">
        <v>23.58</v>
      </c>
      <c r="DC11" s="228">
        <v>1.56</v>
      </c>
      <c r="DD11" s="228">
        <v>1.56</v>
      </c>
      <c r="DE11" s="228">
        <v>34.520000000000003</v>
      </c>
      <c r="DF11" s="228">
        <v>34.6</v>
      </c>
      <c r="DG11" s="228">
        <v>-9.3800000000000008</v>
      </c>
      <c r="DH11" s="228">
        <v>-0.08</v>
      </c>
      <c r="DI11" s="228">
        <v>25.15</v>
      </c>
      <c r="DJ11" s="228">
        <v>23.39</v>
      </c>
      <c r="DK11" s="228">
        <v>1.76</v>
      </c>
      <c r="DL11" s="228">
        <v>1.76</v>
      </c>
      <c r="DM11" s="228">
        <v>25.11</v>
      </c>
      <c r="DN11" s="228">
        <v>24.03</v>
      </c>
      <c r="DO11" s="228">
        <v>1.08</v>
      </c>
      <c r="DP11" s="228">
        <v>1.08</v>
      </c>
      <c r="DQ11" s="228">
        <v>0.78</v>
      </c>
      <c r="DR11" s="228">
        <v>0.81</v>
      </c>
      <c r="DS11" s="228">
        <v>-0.03</v>
      </c>
      <c r="DT11" s="229">
        <v>-3.6999999999999998E-2</v>
      </c>
      <c r="DU11" s="228">
        <v>600</v>
      </c>
      <c r="DV11" s="228">
        <v>650</v>
      </c>
      <c r="DW11" s="228">
        <v>0.42</v>
      </c>
      <c r="DX11" s="228">
        <v>0.4</v>
      </c>
      <c r="DY11" s="228">
        <v>0.02</v>
      </c>
      <c r="DZ11" s="229">
        <v>0.05</v>
      </c>
      <c r="EA11" s="229">
        <v>1.7100000000000001E-2</v>
      </c>
      <c r="EB11" s="230">
        <v>670950</v>
      </c>
      <c r="EC11" s="229">
        <v>5.7000000000000002E-3</v>
      </c>
      <c r="ED11" s="229">
        <v>1.7100000000000001E-2</v>
      </c>
      <c r="EE11" s="228">
        <v>3.7</v>
      </c>
      <c r="EF11" s="229">
        <v>6.4000000000000003E-3</v>
      </c>
      <c r="EG11" s="230">
        <v>525393</v>
      </c>
      <c r="EH11" s="230">
        <v>1217302</v>
      </c>
      <c r="EI11" s="229">
        <v>-0.56840000000000002</v>
      </c>
      <c r="EJ11" s="229">
        <v>0.56030000000000002</v>
      </c>
      <c r="EK11" s="228">
        <v>251.9</v>
      </c>
      <c r="EL11" s="228">
        <v>100.19</v>
      </c>
      <c r="EM11" s="228">
        <v>114.1</v>
      </c>
      <c r="EN11" s="228">
        <v>126.34</v>
      </c>
      <c r="EO11" s="228">
        <v>466.19</v>
      </c>
      <c r="EP11" s="228">
        <v>910.11</v>
      </c>
      <c r="EQ11" s="228">
        <v>-443.92</v>
      </c>
      <c r="ER11" s="229">
        <v>-0.48780000000000001</v>
      </c>
      <c r="ES11" s="228">
        <v>564.55999999999995</v>
      </c>
      <c r="ET11" s="228">
        <v>425.97</v>
      </c>
      <c r="EU11" s="231">
        <v>2373.1799999999998</v>
      </c>
      <c r="EV11" s="231">
        <v>119762774</v>
      </c>
      <c r="EW11" s="231">
        <v>3363.72</v>
      </c>
      <c r="EX11" s="231">
        <v>3305.39</v>
      </c>
      <c r="EY11" s="228">
        <v>58.33</v>
      </c>
      <c r="EZ11" s="229">
        <v>1.7600000000000001E-2</v>
      </c>
      <c r="FA11" s="229">
        <v>0.48309999999999997</v>
      </c>
      <c r="FB11" s="227" t="s">
        <v>567</v>
      </c>
      <c r="FC11">
        <f t="shared" si="0"/>
        <v>41</v>
      </c>
    </row>
    <row r="12" spans="1:159" ht="17.25" thickBot="1" x14ac:dyDescent="0.3">
      <c r="A12" s="226">
        <v>45936</v>
      </c>
      <c r="B12" s="227" t="s">
        <v>175</v>
      </c>
      <c r="C12" s="227" t="s">
        <v>610</v>
      </c>
      <c r="D12" s="228">
        <v>250</v>
      </c>
      <c r="E12" s="228">
        <v>22</v>
      </c>
      <c r="F12" s="231">
        <v>2275.9</v>
      </c>
      <c r="G12" s="231">
        <v>2206.1999999999998</v>
      </c>
      <c r="H12" s="228">
        <v>69.7</v>
      </c>
      <c r="I12" s="229">
        <v>3.1600000000000003E-2</v>
      </c>
      <c r="J12" s="231">
        <v>2265.1999999999998</v>
      </c>
      <c r="K12" s="231">
        <v>2201.3000000000002</v>
      </c>
      <c r="L12" s="228">
        <v>63.9</v>
      </c>
      <c r="M12" s="229">
        <v>2.9000000000000001E-2</v>
      </c>
      <c r="N12" s="231">
        <v>2275.9</v>
      </c>
      <c r="O12" s="231">
        <v>2206.1999999999998</v>
      </c>
      <c r="P12" s="228">
        <v>69.7</v>
      </c>
      <c r="Q12" s="229">
        <v>3.1600000000000003E-2</v>
      </c>
      <c r="R12" s="231">
        <v>2272.3000000000002</v>
      </c>
      <c r="S12" s="231">
        <v>2203.8000000000002</v>
      </c>
      <c r="T12" s="228">
        <v>68.5</v>
      </c>
      <c r="U12" s="229">
        <v>3.1099999999999999E-2</v>
      </c>
      <c r="V12" s="231">
        <v>2272.3000000000002</v>
      </c>
      <c r="W12" s="231">
        <v>2204.6999999999998</v>
      </c>
      <c r="X12" s="228">
        <v>67.599999999999994</v>
      </c>
      <c r="Y12" s="229">
        <v>3.0700000000000002E-2</v>
      </c>
      <c r="Z12" s="228">
        <v>10.7</v>
      </c>
      <c r="AA12" s="228">
        <v>4.9000000000000004</v>
      </c>
      <c r="AB12" s="228">
        <v>5.8</v>
      </c>
      <c r="AC12" s="229">
        <v>4.7000000000000002E-3</v>
      </c>
      <c r="AD12" s="228">
        <v>10.7</v>
      </c>
      <c r="AE12" s="228">
        <v>4.9000000000000004</v>
      </c>
      <c r="AF12" s="228">
        <v>5.8</v>
      </c>
      <c r="AG12" s="229">
        <v>4.7000000000000002E-3</v>
      </c>
      <c r="AH12" s="228">
        <v>7.1</v>
      </c>
      <c r="AI12" s="228">
        <v>2.5</v>
      </c>
      <c r="AJ12" s="228">
        <v>4.5999999999999996</v>
      </c>
      <c r="AK12" s="229">
        <v>3.0999999999999999E-3</v>
      </c>
      <c r="AL12" s="228">
        <v>7.1</v>
      </c>
      <c r="AM12" s="228">
        <v>3.4</v>
      </c>
      <c r="AN12" s="228">
        <v>3.7</v>
      </c>
      <c r="AO12" s="229">
        <v>3.0999999999999999E-3</v>
      </c>
      <c r="AP12" s="231">
        <v>2245.42</v>
      </c>
      <c r="AQ12" s="231">
        <v>2246.4899999999998</v>
      </c>
      <c r="AR12" s="228">
        <v>0</v>
      </c>
      <c r="AS12" s="228">
        <v>470</v>
      </c>
      <c r="AT12" s="228">
        <v>174</v>
      </c>
      <c r="AU12" s="228">
        <v>297</v>
      </c>
      <c r="AV12" s="229">
        <v>1.7093</v>
      </c>
      <c r="AW12" s="228">
        <v>439</v>
      </c>
      <c r="AX12" s="228">
        <v>155</v>
      </c>
      <c r="AY12" s="228">
        <v>284</v>
      </c>
      <c r="AZ12" s="229">
        <v>1.8389</v>
      </c>
      <c r="BA12" s="228">
        <v>27</v>
      </c>
      <c r="BB12" s="228">
        <v>17</v>
      </c>
      <c r="BC12" s="228">
        <v>11</v>
      </c>
      <c r="BD12" s="229">
        <v>0.63919999999999999</v>
      </c>
      <c r="BE12" s="228">
        <v>4</v>
      </c>
      <c r="BF12" s="228">
        <v>2</v>
      </c>
      <c r="BG12" s="228">
        <v>2</v>
      </c>
      <c r="BH12" s="229">
        <v>0.70730000000000004</v>
      </c>
      <c r="BI12" s="230">
        <v>1245</v>
      </c>
      <c r="BJ12" s="228">
        <v>514</v>
      </c>
      <c r="BK12" s="228">
        <v>731</v>
      </c>
      <c r="BL12" s="229">
        <v>1.4232</v>
      </c>
      <c r="BM12" s="228">
        <v>538</v>
      </c>
      <c r="BN12" s="228">
        <v>226</v>
      </c>
      <c r="BO12" s="228">
        <v>312</v>
      </c>
      <c r="BP12" s="229">
        <v>1.3832</v>
      </c>
      <c r="BQ12" s="230">
        <v>2252</v>
      </c>
      <c r="BR12" s="228">
        <v>913</v>
      </c>
      <c r="BS12" s="230">
        <v>1340</v>
      </c>
      <c r="BT12" s="229">
        <v>1.4677</v>
      </c>
      <c r="BU12" s="230">
        <v>1176176</v>
      </c>
      <c r="BV12" s="230">
        <v>480096</v>
      </c>
      <c r="BW12" s="230">
        <v>696080</v>
      </c>
      <c r="BX12" s="229">
        <v>1.4499</v>
      </c>
      <c r="BY12" s="228">
        <v>874</v>
      </c>
      <c r="BZ12" s="228">
        <v>866</v>
      </c>
      <c r="CA12" s="228">
        <v>8</v>
      </c>
      <c r="CB12" s="229">
        <v>8.8000000000000005E-3</v>
      </c>
      <c r="CC12" s="228">
        <v>812</v>
      </c>
      <c r="CD12" s="228">
        <v>803</v>
      </c>
      <c r="CE12" s="228">
        <v>9</v>
      </c>
      <c r="CF12" s="229">
        <v>1.11E-2</v>
      </c>
      <c r="CG12" s="228">
        <v>56</v>
      </c>
      <c r="CH12" s="228">
        <v>59</v>
      </c>
      <c r="CI12" s="228">
        <v>-3</v>
      </c>
      <c r="CJ12" s="229">
        <v>-5.7599999999999998E-2</v>
      </c>
      <c r="CK12" s="228">
        <v>6</v>
      </c>
      <c r="CL12" s="228">
        <v>4</v>
      </c>
      <c r="CM12" s="228">
        <v>2</v>
      </c>
      <c r="CN12" s="229">
        <v>0.58730000000000004</v>
      </c>
      <c r="CO12" s="228">
        <v>341</v>
      </c>
      <c r="CP12" s="228">
        <v>313</v>
      </c>
      <c r="CQ12" s="228">
        <v>27</v>
      </c>
      <c r="CR12" s="229">
        <v>8.7099999999999997E-2</v>
      </c>
      <c r="CS12" s="228">
        <v>273</v>
      </c>
      <c r="CT12" s="228">
        <v>266</v>
      </c>
      <c r="CU12" s="228">
        <v>7</v>
      </c>
      <c r="CV12" s="229">
        <v>2.7199999999999998E-2</v>
      </c>
      <c r="CW12" s="230">
        <v>1487</v>
      </c>
      <c r="CX12" s="230">
        <v>1445</v>
      </c>
      <c r="CY12" s="228">
        <v>42</v>
      </c>
      <c r="CZ12" s="229">
        <v>2.92E-2</v>
      </c>
      <c r="DA12" s="228">
        <v>43.24</v>
      </c>
      <c r="DB12" s="228">
        <v>42.42</v>
      </c>
      <c r="DC12" s="228">
        <v>0.82</v>
      </c>
      <c r="DD12" s="228">
        <v>0.82</v>
      </c>
      <c r="DE12" s="228">
        <v>56.32</v>
      </c>
      <c r="DF12" s="228">
        <v>56.31</v>
      </c>
      <c r="DG12" s="228">
        <v>-13.08</v>
      </c>
      <c r="DH12" s="228">
        <v>0.01</v>
      </c>
      <c r="DI12" s="228">
        <v>42.86</v>
      </c>
      <c r="DJ12" s="228">
        <v>42.14</v>
      </c>
      <c r="DK12" s="228">
        <v>0.72</v>
      </c>
      <c r="DL12" s="228">
        <v>0.72</v>
      </c>
      <c r="DM12" s="228">
        <v>44.13</v>
      </c>
      <c r="DN12" s="228">
        <v>43.06</v>
      </c>
      <c r="DO12" s="228">
        <v>1.07</v>
      </c>
      <c r="DP12" s="228">
        <v>1.07</v>
      </c>
      <c r="DQ12" s="228">
        <v>0.8</v>
      </c>
      <c r="DR12" s="228">
        <v>0.85</v>
      </c>
      <c r="DS12" s="228">
        <v>-0.05</v>
      </c>
      <c r="DT12" s="229">
        <v>-5.8799999999999998E-2</v>
      </c>
      <c r="DU12" s="231">
        <v>2300</v>
      </c>
      <c r="DV12" s="231">
        <v>2100</v>
      </c>
      <c r="DW12" s="228">
        <v>0.43</v>
      </c>
      <c r="DX12" s="228">
        <v>0.44</v>
      </c>
      <c r="DY12" s="228">
        <v>-0.01</v>
      </c>
      <c r="DZ12" s="229">
        <v>-2.2700000000000001E-2</v>
      </c>
      <c r="EA12" s="229">
        <v>7.0400000000000004E-2</v>
      </c>
      <c r="EB12" s="230">
        <v>276000</v>
      </c>
      <c r="EC12" s="229">
        <v>-1.6000000000000001E-3</v>
      </c>
      <c r="ED12" s="229">
        <v>7.0400000000000004E-2</v>
      </c>
      <c r="EE12" s="228">
        <v>1.07</v>
      </c>
      <c r="EF12" s="229">
        <v>5.0000000000000001E-4</v>
      </c>
      <c r="EG12" s="230">
        <v>313197</v>
      </c>
      <c r="EH12" s="230">
        <v>108684</v>
      </c>
      <c r="EI12" s="229">
        <v>1.8816999999999999</v>
      </c>
      <c r="EJ12" s="229">
        <v>0.26629999999999998</v>
      </c>
      <c r="EK12" s="231">
        <v>1311.17</v>
      </c>
      <c r="EL12" s="228">
        <v>519.72</v>
      </c>
      <c r="EM12" s="228">
        <v>464.04</v>
      </c>
      <c r="EN12" s="228">
        <v>96.74</v>
      </c>
      <c r="EO12" s="231">
        <v>2294.9299999999998</v>
      </c>
      <c r="EP12" s="228">
        <v>914.94</v>
      </c>
      <c r="EQ12" s="231">
        <v>1380</v>
      </c>
      <c r="ER12" s="229">
        <v>1.5083</v>
      </c>
      <c r="ES12" s="228">
        <v>350.41</v>
      </c>
      <c r="ET12" s="228">
        <v>253.04</v>
      </c>
      <c r="EU12" s="228">
        <v>873.51</v>
      </c>
      <c r="EV12" s="231">
        <v>9647634</v>
      </c>
      <c r="EW12" s="231">
        <v>1476.95</v>
      </c>
      <c r="EX12" s="231">
        <v>1403.21</v>
      </c>
      <c r="EY12" s="228">
        <v>73.739999999999995</v>
      </c>
      <c r="EZ12" s="229">
        <v>5.2600000000000001E-2</v>
      </c>
      <c r="FA12" s="229">
        <v>0.6774</v>
      </c>
      <c r="FB12" s="227" t="s">
        <v>555</v>
      </c>
      <c r="FC12">
        <f t="shared" si="0"/>
        <v>62</v>
      </c>
    </row>
    <row r="13" spans="1:159" ht="17.25" thickBot="1" x14ac:dyDescent="0.3">
      <c r="A13" s="226">
        <v>45936</v>
      </c>
      <c r="B13" s="227" t="s">
        <v>227</v>
      </c>
      <c r="C13" s="227" t="s">
        <v>599</v>
      </c>
      <c r="D13" s="228">
        <v>350</v>
      </c>
      <c r="E13" s="228">
        <v>22</v>
      </c>
      <c r="F13" s="231">
        <v>1750.5</v>
      </c>
      <c r="G13" s="231">
        <v>1744.7</v>
      </c>
      <c r="H13" s="228">
        <v>5.8</v>
      </c>
      <c r="I13" s="229">
        <v>3.3E-3</v>
      </c>
      <c r="J13" s="231">
        <v>1742</v>
      </c>
      <c r="K13" s="231">
        <v>1738.2</v>
      </c>
      <c r="L13" s="228">
        <v>3.8</v>
      </c>
      <c r="M13" s="229">
        <v>2.2000000000000001E-3</v>
      </c>
      <c r="N13" s="231">
        <v>1750.5</v>
      </c>
      <c r="O13" s="231">
        <v>1744.7</v>
      </c>
      <c r="P13" s="228">
        <v>5.8</v>
      </c>
      <c r="Q13" s="229">
        <v>3.3E-3</v>
      </c>
      <c r="R13" s="231">
        <v>1760.5</v>
      </c>
      <c r="S13" s="231">
        <v>1754.3</v>
      </c>
      <c r="T13" s="228">
        <v>6.2</v>
      </c>
      <c r="U13" s="229">
        <v>3.5000000000000001E-3</v>
      </c>
      <c r="V13" s="231">
        <v>1770</v>
      </c>
      <c r="W13" s="231">
        <v>1762.6</v>
      </c>
      <c r="X13" s="228">
        <v>7.4</v>
      </c>
      <c r="Y13" s="229">
        <v>4.1999999999999997E-3</v>
      </c>
      <c r="Z13" s="228">
        <v>8.5</v>
      </c>
      <c r="AA13" s="228">
        <v>6.5</v>
      </c>
      <c r="AB13" s="228">
        <v>2</v>
      </c>
      <c r="AC13" s="229">
        <v>4.8999999999999998E-3</v>
      </c>
      <c r="AD13" s="228">
        <v>8.5</v>
      </c>
      <c r="AE13" s="228">
        <v>6.5</v>
      </c>
      <c r="AF13" s="228">
        <v>2</v>
      </c>
      <c r="AG13" s="229">
        <v>4.8999999999999998E-3</v>
      </c>
      <c r="AH13" s="228">
        <v>18.5</v>
      </c>
      <c r="AI13" s="228">
        <v>16.100000000000001</v>
      </c>
      <c r="AJ13" s="228">
        <v>2.4</v>
      </c>
      <c r="AK13" s="229">
        <v>1.06E-2</v>
      </c>
      <c r="AL13" s="228">
        <v>28</v>
      </c>
      <c r="AM13" s="228">
        <v>24.4</v>
      </c>
      <c r="AN13" s="228">
        <v>3.6</v>
      </c>
      <c r="AO13" s="229">
        <v>1.61E-2</v>
      </c>
      <c r="AP13" s="231">
        <v>1744.16</v>
      </c>
      <c r="AQ13" s="231">
        <v>1752.77</v>
      </c>
      <c r="AR13" s="228">
        <v>0</v>
      </c>
      <c r="AS13" s="228">
        <v>99</v>
      </c>
      <c r="AT13" s="228">
        <v>187</v>
      </c>
      <c r="AU13" s="228">
        <v>-88</v>
      </c>
      <c r="AV13" s="229">
        <v>-0.47170000000000001</v>
      </c>
      <c r="AW13" s="228">
        <v>95</v>
      </c>
      <c r="AX13" s="228">
        <v>181</v>
      </c>
      <c r="AY13" s="228">
        <v>-86</v>
      </c>
      <c r="AZ13" s="229">
        <v>-0.47610000000000002</v>
      </c>
      <c r="BA13" s="228">
        <v>4</v>
      </c>
      <c r="BB13" s="228">
        <v>6</v>
      </c>
      <c r="BC13" s="228">
        <v>-2</v>
      </c>
      <c r="BD13" s="229">
        <v>-0.33979999999999999</v>
      </c>
      <c r="BE13" s="228">
        <v>0</v>
      </c>
      <c r="BF13" s="228">
        <v>0</v>
      </c>
      <c r="BG13" s="228">
        <v>0</v>
      </c>
      <c r="BH13" s="229">
        <v>-0.6</v>
      </c>
      <c r="BI13" s="228">
        <v>149</v>
      </c>
      <c r="BJ13" s="228">
        <v>252</v>
      </c>
      <c r="BK13" s="228">
        <v>-102</v>
      </c>
      <c r="BL13" s="229">
        <v>-0.40600000000000003</v>
      </c>
      <c r="BM13" s="228">
        <v>57</v>
      </c>
      <c r="BN13" s="228">
        <v>86</v>
      </c>
      <c r="BO13" s="228">
        <v>-29</v>
      </c>
      <c r="BP13" s="229">
        <v>-0.33860000000000001</v>
      </c>
      <c r="BQ13" s="228">
        <v>305</v>
      </c>
      <c r="BR13" s="228">
        <v>525</v>
      </c>
      <c r="BS13" s="228">
        <v>-220</v>
      </c>
      <c r="BT13" s="229">
        <v>-0.41839999999999999</v>
      </c>
      <c r="BU13" s="230">
        <v>193728</v>
      </c>
      <c r="BV13" s="230">
        <v>696849</v>
      </c>
      <c r="BW13" s="230">
        <v>-503121</v>
      </c>
      <c r="BX13" s="229">
        <v>-0.72199999999999998</v>
      </c>
      <c r="BY13" s="230">
        <v>1703</v>
      </c>
      <c r="BZ13" s="230">
        <v>1707</v>
      </c>
      <c r="CA13" s="228">
        <v>-3</v>
      </c>
      <c r="CB13" s="229">
        <v>-2E-3</v>
      </c>
      <c r="CC13" s="230">
        <v>1692</v>
      </c>
      <c r="CD13" s="230">
        <v>1696</v>
      </c>
      <c r="CE13" s="228">
        <v>-4</v>
      </c>
      <c r="CF13" s="229">
        <v>-2.3999999999999998E-3</v>
      </c>
      <c r="CG13" s="228">
        <v>11</v>
      </c>
      <c r="CH13" s="228">
        <v>10</v>
      </c>
      <c r="CI13" s="228">
        <v>0</v>
      </c>
      <c r="CJ13" s="229">
        <v>4.24E-2</v>
      </c>
      <c r="CK13" s="228">
        <v>1</v>
      </c>
      <c r="CL13" s="228">
        <v>0</v>
      </c>
      <c r="CM13" s="228">
        <v>0</v>
      </c>
      <c r="CN13" s="229">
        <v>0.28570000000000001</v>
      </c>
      <c r="CO13" s="228">
        <v>153</v>
      </c>
      <c r="CP13" s="228">
        <v>158</v>
      </c>
      <c r="CQ13" s="228">
        <v>-4</v>
      </c>
      <c r="CR13" s="229">
        <v>-2.8299999999999999E-2</v>
      </c>
      <c r="CS13" s="228">
        <v>99</v>
      </c>
      <c r="CT13" s="228">
        <v>98</v>
      </c>
      <c r="CU13" s="228">
        <v>2</v>
      </c>
      <c r="CV13" s="229">
        <v>1.6899999999999998E-2</v>
      </c>
      <c r="CW13" s="230">
        <v>1956</v>
      </c>
      <c r="CX13" s="230">
        <v>1963</v>
      </c>
      <c r="CY13" s="228">
        <v>-6</v>
      </c>
      <c r="CZ13" s="229">
        <v>-3.2000000000000002E-3</v>
      </c>
      <c r="DA13" s="228">
        <v>26.19</v>
      </c>
      <c r="DB13" s="228">
        <v>26.73</v>
      </c>
      <c r="DC13" s="228">
        <v>-0.54</v>
      </c>
      <c r="DD13" s="228">
        <v>-0.54</v>
      </c>
      <c r="DE13" s="228">
        <v>35.36</v>
      </c>
      <c r="DF13" s="228">
        <v>35.450000000000003</v>
      </c>
      <c r="DG13" s="228">
        <v>-9.17</v>
      </c>
      <c r="DH13" s="228">
        <v>-0.09</v>
      </c>
      <c r="DI13" s="228">
        <v>26.15</v>
      </c>
      <c r="DJ13" s="228">
        <v>26.68</v>
      </c>
      <c r="DK13" s="228">
        <v>-0.53</v>
      </c>
      <c r="DL13" s="228">
        <v>-0.53</v>
      </c>
      <c r="DM13" s="228">
        <v>26.32</v>
      </c>
      <c r="DN13" s="228">
        <v>26.86</v>
      </c>
      <c r="DO13" s="228">
        <v>-0.54</v>
      </c>
      <c r="DP13" s="228">
        <v>-0.54</v>
      </c>
      <c r="DQ13" s="228">
        <v>0.65</v>
      </c>
      <c r="DR13" s="228">
        <v>0.62</v>
      </c>
      <c r="DS13" s="228">
        <v>0.03</v>
      </c>
      <c r="DT13" s="229">
        <v>4.8399999999999999E-2</v>
      </c>
      <c r="DU13" s="231">
        <v>1700</v>
      </c>
      <c r="DV13" s="231">
        <v>1700</v>
      </c>
      <c r="DW13" s="228">
        <v>0.38</v>
      </c>
      <c r="DX13" s="228">
        <v>0.34</v>
      </c>
      <c r="DY13" s="228">
        <v>0.04</v>
      </c>
      <c r="DZ13" s="229">
        <v>0.1176</v>
      </c>
      <c r="EA13" s="229">
        <v>6.4999999999999997E-3</v>
      </c>
      <c r="EB13" s="230">
        <v>60200</v>
      </c>
      <c r="EC13" s="229">
        <v>5.7000000000000002E-3</v>
      </c>
      <c r="ED13" s="229">
        <v>6.4999999999999997E-3</v>
      </c>
      <c r="EE13" s="228">
        <v>8.61</v>
      </c>
      <c r="EF13" s="229">
        <v>4.8999999999999998E-3</v>
      </c>
      <c r="EG13" s="230">
        <v>75542</v>
      </c>
      <c r="EH13" s="230">
        <v>418237</v>
      </c>
      <c r="EI13" s="229">
        <v>-0.81940000000000002</v>
      </c>
      <c r="EJ13" s="229">
        <v>0.38990000000000002</v>
      </c>
      <c r="EK13" s="228">
        <v>153.86000000000001</v>
      </c>
      <c r="EL13" s="228">
        <v>55.9</v>
      </c>
      <c r="EM13" s="228">
        <v>98.61</v>
      </c>
      <c r="EN13" s="228">
        <v>68.64</v>
      </c>
      <c r="EO13" s="228">
        <v>308.37</v>
      </c>
      <c r="EP13" s="228">
        <v>531.83000000000004</v>
      </c>
      <c r="EQ13" s="228">
        <v>-223.45</v>
      </c>
      <c r="ER13" s="229">
        <v>-0.42020000000000002</v>
      </c>
      <c r="ES13" s="228">
        <v>154.09</v>
      </c>
      <c r="ET13" s="228">
        <v>93.71</v>
      </c>
      <c r="EU13" s="231">
        <v>1703.49</v>
      </c>
      <c r="EV13" s="231">
        <v>27232196</v>
      </c>
      <c r="EW13" s="231">
        <v>1951.29</v>
      </c>
      <c r="EX13" s="231">
        <v>1951.77</v>
      </c>
      <c r="EY13" s="228">
        <v>-0.48</v>
      </c>
      <c r="EZ13" s="229">
        <v>-2.0000000000000001E-4</v>
      </c>
      <c r="FA13" s="229">
        <v>0.41039999999999999</v>
      </c>
      <c r="FB13" s="227" t="s">
        <v>556</v>
      </c>
      <c r="FC13">
        <f t="shared" si="0"/>
        <v>11</v>
      </c>
    </row>
    <row r="14" spans="1:159" ht="17.25" thickBot="1" x14ac:dyDescent="0.3">
      <c r="A14" s="226">
        <v>45936</v>
      </c>
      <c r="B14" s="227" t="s">
        <v>170</v>
      </c>
      <c r="C14" s="227" t="s">
        <v>165</v>
      </c>
      <c r="D14" s="228">
        <v>125</v>
      </c>
      <c r="E14" s="228">
        <v>22</v>
      </c>
      <c r="F14" s="231">
        <v>7687.5</v>
      </c>
      <c r="G14" s="231">
        <v>7483</v>
      </c>
      <c r="H14" s="228">
        <v>204.5</v>
      </c>
      <c r="I14" s="229">
        <v>2.7300000000000001E-2</v>
      </c>
      <c r="J14" s="231">
        <v>7662</v>
      </c>
      <c r="K14" s="231">
        <v>7449.5</v>
      </c>
      <c r="L14" s="228">
        <v>212.5</v>
      </c>
      <c r="M14" s="229">
        <v>2.8500000000000001E-2</v>
      </c>
      <c r="N14" s="231">
        <v>7687.5</v>
      </c>
      <c r="O14" s="231">
        <v>7483</v>
      </c>
      <c r="P14" s="228">
        <v>204.5</v>
      </c>
      <c r="Q14" s="229">
        <v>2.7300000000000001E-2</v>
      </c>
      <c r="R14" s="231">
        <v>7726</v>
      </c>
      <c r="S14" s="231">
        <v>7521</v>
      </c>
      <c r="T14" s="228">
        <v>205</v>
      </c>
      <c r="U14" s="229">
        <v>2.7300000000000001E-2</v>
      </c>
      <c r="V14" s="231">
        <v>7769</v>
      </c>
      <c r="W14" s="231">
        <v>7562</v>
      </c>
      <c r="X14" s="228">
        <v>207</v>
      </c>
      <c r="Y14" s="229">
        <v>2.7400000000000001E-2</v>
      </c>
      <c r="Z14" s="228">
        <v>25.5</v>
      </c>
      <c r="AA14" s="228">
        <v>33.5</v>
      </c>
      <c r="AB14" s="228">
        <v>-8</v>
      </c>
      <c r="AC14" s="229">
        <v>3.3E-3</v>
      </c>
      <c r="AD14" s="228">
        <v>25.5</v>
      </c>
      <c r="AE14" s="228">
        <v>33.5</v>
      </c>
      <c r="AF14" s="228">
        <v>-8</v>
      </c>
      <c r="AG14" s="229">
        <v>3.3E-3</v>
      </c>
      <c r="AH14" s="228">
        <v>64</v>
      </c>
      <c r="AI14" s="228">
        <v>71.5</v>
      </c>
      <c r="AJ14" s="228">
        <v>-7.5</v>
      </c>
      <c r="AK14" s="229">
        <v>8.3999999999999995E-3</v>
      </c>
      <c r="AL14" s="228">
        <v>107</v>
      </c>
      <c r="AM14" s="228">
        <v>112.5</v>
      </c>
      <c r="AN14" s="228">
        <v>-5.5</v>
      </c>
      <c r="AO14" s="229">
        <v>1.4E-2</v>
      </c>
      <c r="AP14" s="231">
        <v>7666.1</v>
      </c>
      <c r="AQ14" s="231">
        <v>7702.95</v>
      </c>
      <c r="AR14" s="228">
        <v>0</v>
      </c>
      <c r="AS14" s="228">
        <v>454</v>
      </c>
      <c r="AT14" s="228">
        <v>198</v>
      </c>
      <c r="AU14" s="228">
        <v>257</v>
      </c>
      <c r="AV14" s="229">
        <v>1.2996000000000001</v>
      </c>
      <c r="AW14" s="228">
        <v>438</v>
      </c>
      <c r="AX14" s="228">
        <v>194</v>
      </c>
      <c r="AY14" s="228">
        <v>244</v>
      </c>
      <c r="AZ14" s="229">
        <v>1.2604</v>
      </c>
      <c r="BA14" s="228">
        <v>15</v>
      </c>
      <c r="BB14" s="228">
        <v>3</v>
      </c>
      <c r="BC14" s="228">
        <v>12</v>
      </c>
      <c r="BD14" s="229">
        <v>4</v>
      </c>
      <c r="BE14" s="228">
        <v>1</v>
      </c>
      <c r="BF14" s="228">
        <v>1</v>
      </c>
      <c r="BG14" s="228">
        <v>0</v>
      </c>
      <c r="BH14" s="229">
        <v>0.375</v>
      </c>
      <c r="BI14" s="230">
        <v>2741</v>
      </c>
      <c r="BJ14" s="228">
        <v>499</v>
      </c>
      <c r="BK14" s="230">
        <v>2242</v>
      </c>
      <c r="BL14" s="229">
        <v>4.4943999999999997</v>
      </c>
      <c r="BM14" s="228">
        <v>997</v>
      </c>
      <c r="BN14" s="228">
        <v>153</v>
      </c>
      <c r="BO14" s="228">
        <v>844</v>
      </c>
      <c r="BP14" s="229">
        <v>5.5103999999999997</v>
      </c>
      <c r="BQ14" s="230">
        <v>4192</v>
      </c>
      <c r="BR14" s="228">
        <v>850</v>
      </c>
      <c r="BS14" s="230">
        <v>3343</v>
      </c>
      <c r="BT14" s="229">
        <v>3.9344999999999999</v>
      </c>
      <c r="BU14" s="230">
        <v>433883</v>
      </c>
      <c r="BV14" s="230">
        <v>481607</v>
      </c>
      <c r="BW14" s="230">
        <v>-47724</v>
      </c>
      <c r="BX14" s="229">
        <v>-9.9099999999999994E-2</v>
      </c>
      <c r="BY14" s="230">
        <v>2162</v>
      </c>
      <c r="BZ14" s="230">
        <v>2178</v>
      </c>
      <c r="CA14" s="228">
        <v>-16</v>
      </c>
      <c r="CB14" s="229">
        <v>-7.4000000000000003E-3</v>
      </c>
      <c r="CC14" s="230">
        <v>2137</v>
      </c>
      <c r="CD14" s="230">
        <v>2154</v>
      </c>
      <c r="CE14" s="228">
        <v>-17</v>
      </c>
      <c r="CF14" s="229">
        <v>-7.7000000000000002E-3</v>
      </c>
      <c r="CG14" s="228">
        <v>22</v>
      </c>
      <c r="CH14" s="228">
        <v>22</v>
      </c>
      <c r="CI14" s="228">
        <v>0</v>
      </c>
      <c r="CJ14" s="229">
        <v>-8.5000000000000006E-3</v>
      </c>
      <c r="CK14" s="228">
        <v>2</v>
      </c>
      <c r="CL14" s="228">
        <v>1</v>
      </c>
      <c r="CM14" s="228">
        <v>1</v>
      </c>
      <c r="CN14" s="229">
        <v>0.4</v>
      </c>
      <c r="CO14" s="228">
        <v>464</v>
      </c>
      <c r="CP14" s="228">
        <v>402</v>
      </c>
      <c r="CQ14" s="228">
        <v>62</v>
      </c>
      <c r="CR14" s="229">
        <v>0.1547</v>
      </c>
      <c r="CS14" s="228">
        <v>308</v>
      </c>
      <c r="CT14" s="228">
        <v>214</v>
      </c>
      <c r="CU14" s="228">
        <v>94</v>
      </c>
      <c r="CV14" s="229">
        <v>0.44159999999999999</v>
      </c>
      <c r="CW14" s="230">
        <v>2934</v>
      </c>
      <c r="CX14" s="230">
        <v>2794</v>
      </c>
      <c r="CY14" s="228">
        <v>140</v>
      </c>
      <c r="CZ14" s="229">
        <v>5.0299999999999997E-2</v>
      </c>
      <c r="DA14" s="228">
        <v>17.149999999999999</v>
      </c>
      <c r="DB14" s="228">
        <v>17.010000000000002</v>
      </c>
      <c r="DC14" s="228">
        <v>0.14000000000000001</v>
      </c>
      <c r="DD14" s="228">
        <v>0.14000000000000001</v>
      </c>
      <c r="DE14" s="228">
        <v>26.89</v>
      </c>
      <c r="DF14" s="228">
        <v>26.69</v>
      </c>
      <c r="DG14" s="228">
        <v>-9.74</v>
      </c>
      <c r="DH14" s="228">
        <v>0.2</v>
      </c>
      <c r="DI14" s="228">
        <v>17.010000000000002</v>
      </c>
      <c r="DJ14" s="228">
        <v>17.010000000000002</v>
      </c>
      <c r="DK14" s="228">
        <v>0</v>
      </c>
      <c r="DL14" s="228">
        <v>0</v>
      </c>
      <c r="DM14" s="228">
        <v>17.55</v>
      </c>
      <c r="DN14" s="228">
        <v>17.03</v>
      </c>
      <c r="DO14" s="228">
        <v>0.52</v>
      </c>
      <c r="DP14" s="228">
        <v>0.52</v>
      </c>
      <c r="DQ14" s="228">
        <v>0.66</v>
      </c>
      <c r="DR14" s="228">
        <v>0.53</v>
      </c>
      <c r="DS14" s="228">
        <v>0.13</v>
      </c>
      <c r="DT14" s="229">
        <v>0.24529999999999999</v>
      </c>
      <c r="DU14" s="231">
        <v>8000</v>
      </c>
      <c r="DV14" s="231">
        <v>7500</v>
      </c>
      <c r="DW14" s="228">
        <v>0.36</v>
      </c>
      <c r="DX14" s="228">
        <v>0.31</v>
      </c>
      <c r="DY14" s="228">
        <v>0.05</v>
      </c>
      <c r="DZ14" s="229">
        <v>0.1613</v>
      </c>
      <c r="EA14" s="229">
        <v>1.12E-2</v>
      </c>
      <c r="EB14" s="230">
        <v>31125</v>
      </c>
      <c r="EC14" s="229">
        <v>5.0000000000000001E-3</v>
      </c>
      <c r="ED14" s="229">
        <v>1.12E-2</v>
      </c>
      <c r="EE14" s="228">
        <v>36.85</v>
      </c>
      <c r="EF14" s="229">
        <v>4.7999999999999996E-3</v>
      </c>
      <c r="EG14" s="230">
        <v>212256</v>
      </c>
      <c r="EH14" s="230">
        <v>352797</v>
      </c>
      <c r="EI14" s="229">
        <v>-0.39839999999999998</v>
      </c>
      <c r="EJ14" s="229">
        <v>0.48920000000000002</v>
      </c>
      <c r="EK14" s="231">
        <v>2801.74</v>
      </c>
      <c r="EL14" s="228">
        <v>983.02</v>
      </c>
      <c r="EM14" s="228">
        <v>453.15</v>
      </c>
      <c r="EN14" s="228">
        <v>80.680000000000007</v>
      </c>
      <c r="EO14" s="231">
        <v>4237.8999999999996</v>
      </c>
      <c r="EP14" s="228">
        <v>840.42</v>
      </c>
      <c r="EQ14" s="231">
        <v>3397.48</v>
      </c>
      <c r="ER14" s="229">
        <v>4.0426000000000002</v>
      </c>
      <c r="ES14" s="228">
        <v>472.04</v>
      </c>
      <c r="ET14" s="228">
        <v>298.11</v>
      </c>
      <c r="EU14" s="231">
        <v>2161.86</v>
      </c>
      <c r="EV14" s="231">
        <v>15240043</v>
      </c>
      <c r="EW14" s="231">
        <v>2932.01</v>
      </c>
      <c r="EX14" s="231">
        <v>2731.61</v>
      </c>
      <c r="EY14" s="228">
        <v>200.4</v>
      </c>
      <c r="EZ14" s="229">
        <v>7.3400000000000007E-2</v>
      </c>
      <c r="FA14" s="229">
        <v>0.25040000000000001</v>
      </c>
      <c r="FB14" s="227" t="s">
        <v>556</v>
      </c>
      <c r="FC14">
        <f t="shared" si="0"/>
        <v>25</v>
      </c>
    </row>
    <row r="15" spans="1:159" ht="17.25" thickBot="1" x14ac:dyDescent="0.3">
      <c r="A15" s="226">
        <v>45936</v>
      </c>
      <c r="B15" s="227" t="s">
        <v>162</v>
      </c>
      <c r="C15" s="227" t="s">
        <v>167</v>
      </c>
      <c r="D15" s="228">
        <v>5000</v>
      </c>
      <c r="E15" s="228">
        <v>22</v>
      </c>
      <c r="F15" s="228">
        <v>138.1</v>
      </c>
      <c r="G15" s="228">
        <v>139.19</v>
      </c>
      <c r="H15" s="228">
        <v>-1.0900000000000001</v>
      </c>
      <c r="I15" s="229">
        <v>-7.7999999999999996E-3</v>
      </c>
      <c r="J15" s="228">
        <v>137.78</v>
      </c>
      <c r="K15" s="228">
        <v>139.79</v>
      </c>
      <c r="L15" s="228">
        <v>-2.0099999999999998</v>
      </c>
      <c r="M15" s="229">
        <v>-1.44E-2</v>
      </c>
      <c r="N15" s="228">
        <v>138.1</v>
      </c>
      <c r="O15" s="228">
        <v>139.19</v>
      </c>
      <c r="P15" s="228">
        <v>-1.0900000000000001</v>
      </c>
      <c r="Q15" s="229">
        <v>-7.7999999999999996E-3</v>
      </c>
      <c r="R15" s="228">
        <v>136.41999999999999</v>
      </c>
      <c r="S15" s="228">
        <v>137.49</v>
      </c>
      <c r="T15" s="228">
        <v>-1.07</v>
      </c>
      <c r="U15" s="229">
        <v>-7.7999999999999996E-3</v>
      </c>
      <c r="V15" s="228">
        <v>135.93</v>
      </c>
      <c r="W15" s="228">
        <v>136.91</v>
      </c>
      <c r="X15" s="228">
        <v>-0.98</v>
      </c>
      <c r="Y15" s="229">
        <v>-7.1999999999999998E-3</v>
      </c>
      <c r="Z15" s="228">
        <v>0.32</v>
      </c>
      <c r="AA15" s="228">
        <v>-0.6</v>
      </c>
      <c r="AB15" s="228">
        <v>0.92</v>
      </c>
      <c r="AC15" s="229">
        <v>2.3E-3</v>
      </c>
      <c r="AD15" s="228">
        <v>0.32</v>
      </c>
      <c r="AE15" s="228">
        <v>-0.6</v>
      </c>
      <c r="AF15" s="228">
        <v>0.92</v>
      </c>
      <c r="AG15" s="229">
        <v>2.3E-3</v>
      </c>
      <c r="AH15" s="228">
        <v>-1.36</v>
      </c>
      <c r="AI15" s="228">
        <v>-2.2999999999999998</v>
      </c>
      <c r="AJ15" s="228">
        <v>0.94</v>
      </c>
      <c r="AK15" s="229">
        <v>-9.9000000000000008E-3</v>
      </c>
      <c r="AL15" s="228">
        <v>-1.85</v>
      </c>
      <c r="AM15" s="228">
        <v>-2.88</v>
      </c>
      <c r="AN15" s="228">
        <v>1.03</v>
      </c>
      <c r="AO15" s="229">
        <v>-1.34E-2</v>
      </c>
      <c r="AP15" s="228">
        <v>138.03</v>
      </c>
      <c r="AQ15" s="228">
        <v>136.38</v>
      </c>
      <c r="AR15" s="228">
        <v>0</v>
      </c>
      <c r="AS15" s="228">
        <v>301</v>
      </c>
      <c r="AT15" s="228">
        <v>367</v>
      </c>
      <c r="AU15" s="228">
        <v>-65</v>
      </c>
      <c r="AV15" s="229">
        <v>-0.17780000000000001</v>
      </c>
      <c r="AW15" s="228">
        <v>282</v>
      </c>
      <c r="AX15" s="228">
        <v>348</v>
      </c>
      <c r="AY15" s="228">
        <v>-67</v>
      </c>
      <c r="AZ15" s="229">
        <v>-0.19139999999999999</v>
      </c>
      <c r="BA15" s="228">
        <v>18</v>
      </c>
      <c r="BB15" s="228">
        <v>15</v>
      </c>
      <c r="BC15" s="228">
        <v>3</v>
      </c>
      <c r="BD15" s="229">
        <v>0.20930000000000001</v>
      </c>
      <c r="BE15" s="228">
        <v>2</v>
      </c>
      <c r="BF15" s="228">
        <v>3</v>
      </c>
      <c r="BG15" s="228">
        <v>-2</v>
      </c>
      <c r="BH15" s="229">
        <v>-0.5</v>
      </c>
      <c r="BI15" s="228">
        <v>768</v>
      </c>
      <c r="BJ15" s="228">
        <v>994</v>
      </c>
      <c r="BK15" s="228">
        <v>-226</v>
      </c>
      <c r="BL15" s="229">
        <v>-0.22770000000000001</v>
      </c>
      <c r="BM15" s="228">
        <v>237</v>
      </c>
      <c r="BN15" s="228">
        <v>323</v>
      </c>
      <c r="BO15" s="228">
        <v>-86</v>
      </c>
      <c r="BP15" s="229">
        <v>-0.26619999999999999</v>
      </c>
      <c r="BQ15" s="230">
        <v>1306</v>
      </c>
      <c r="BR15" s="230">
        <v>1684</v>
      </c>
      <c r="BS15" s="228">
        <v>-378</v>
      </c>
      <c r="BT15" s="229">
        <v>-0.22420000000000001</v>
      </c>
      <c r="BU15" s="230">
        <v>12386193</v>
      </c>
      <c r="BV15" s="230">
        <v>16170751</v>
      </c>
      <c r="BW15" s="230">
        <v>-3784558</v>
      </c>
      <c r="BX15" s="229">
        <v>-0.23400000000000001</v>
      </c>
      <c r="BY15" s="230">
        <v>1783</v>
      </c>
      <c r="BZ15" s="230">
        <v>1846</v>
      </c>
      <c r="CA15" s="228">
        <v>-63</v>
      </c>
      <c r="CB15" s="229">
        <v>-3.4000000000000002E-2</v>
      </c>
      <c r="CC15" s="230">
        <v>1737</v>
      </c>
      <c r="CD15" s="230">
        <v>1807</v>
      </c>
      <c r="CE15" s="228">
        <v>-70</v>
      </c>
      <c r="CF15" s="229">
        <v>-3.9E-2</v>
      </c>
      <c r="CG15" s="228">
        <v>41</v>
      </c>
      <c r="CH15" s="228">
        <v>35</v>
      </c>
      <c r="CI15" s="228">
        <v>6</v>
      </c>
      <c r="CJ15" s="229">
        <v>0.18149999999999999</v>
      </c>
      <c r="CK15" s="228">
        <v>5</v>
      </c>
      <c r="CL15" s="228">
        <v>4</v>
      </c>
      <c r="CM15" s="228">
        <v>1</v>
      </c>
      <c r="CN15" s="229">
        <v>0.31030000000000002</v>
      </c>
      <c r="CO15" s="228">
        <v>880</v>
      </c>
      <c r="CP15" s="228">
        <v>816</v>
      </c>
      <c r="CQ15" s="228">
        <v>63</v>
      </c>
      <c r="CR15" s="229">
        <v>7.7499999999999999E-2</v>
      </c>
      <c r="CS15" s="228">
        <v>400</v>
      </c>
      <c r="CT15" s="228">
        <v>386</v>
      </c>
      <c r="CU15" s="228">
        <v>14</v>
      </c>
      <c r="CV15" s="229">
        <v>3.7400000000000003E-2</v>
      </c>
      <c r="CW15" s="230">
        <v>3063</v>
      </c>
      <c r="CX15" s="230">
        <v>3048</v>
      </c>
      <c r="CY15" s="228">
        <v>15</v>
      </c>
      <c r="CZ15" s="229">
        <v>4.8999999999999998E-3</v>
      </c>
      <c r="DA15" s="228">
        <v>29.36</v>
      </c>
      <c r="DB15" s="228">
        <v>28.23</v>
      </c>
      <c r="DC15" s="228">
        <v>1.1299999999999999</v>
      </c>
      <c r="DD15" s="228">
        <v>1.1299999999999999</v>
      </c>
      <c r="DE15" s="228">
        <v>35.54</v>
      </c>
      <c r="DF15" s="228">
        <v>35.58</v>
      </c>
      <c r="DG15" s="228">
        <v>-6.18</v>
      </c>
      <c r="DH15" s="228">
        <v>-0.04</v>
      </c>
      <c r="DI15" s="228">
        <v>29.86</v>
      </c>
      <c r="DJ15" s="228">
        <v>28.51</v>
      </c>
      <c r="DK15" s="228">
        <v>1.35</v>
      </c>
      <c r="DL15" s="228">
        <v>1.35</v>
      </c>
      <c r="DM15" s="228">
        <v>27.74</v>
      </c>
      <c r="DN15" s="228">
        <v>27.36</v>
      </c>
      <c r="DO15" s="228">
        <v>0.38</v>
      </c>
      <c r="DP15" s="228">
        <v>0.38</v>
      </c>
      <c r="DQ15" s="228">
        <v>0.46</v>
      </c>
      <c r="DR15" s="228">
        <v>0.47</v>
      </c>
      <c r="DS15" s="228">
        <v>-0.01</v>
      </c>
      <c r="DT15" s="229">
        <v>-2.1299999999999999E-2</v>
      </c>
      <c r="DU15" s="228">
        <v>145</v>
      </c>
      <c r="DV15" s="228">
        <v>130</v>
      </c>
      <c r="DW15" s="228">
        <v>0.31</v>
      </c>
      <c r="DX15" s="228">
        <v>0.33</v>
      </c>
      <c r="DY15" s="228">
        <v>-0.02</v>
      </c>
      <c r="DZ15" s="229">
        <v>-6.0600000000000001E-2</v>
      </c>
      <c r="EA15" s="229">
        <v>2.6100000000000002E-2</v>
      </c>
      <c r="EB15" s="230">
        <v>2825000</v>
      </c>
      <c r="EC15" s="229">
        <v>-1.2200000000000001E-2</v>
      </c>
      <c r="ED15" s="229">
        <v>2.6100000000000002E-2</v>
      </c>
      <c r="EE15" s="228">
        <v>-1.65</v>
      </c>
      <c r="EF15" s="229">
        <v>-1.2E-2</v>
      </c>
      <c r="EG15" s="230">
        <v>7355075</v>
      </c>
      <c r="EH15" s="230">
        <v>7531489</v>
      </c>
      <c r="EI15" s="229">
        <v>-2.3400000000000001E-2</v>
      </c>
      <c r="EJ15" s="229">
        <v>0.59379999999999999</v>
      </c>
      <c r="EK15" s="228">
        <v>823.14</v>
      </c>
      <c r="EL15" s="228">
        <v>235.11</v>
      </c>
      <c r="EM15" s="228">
        <v>300.95</v>
      </c>
      <c r="EN15" s="228">
        <v>110.5</v>
      </c>
      <c r="EO15" s="231">
        <v>1359.19</v>
      </c>
      <c r="EP15" s="231">
        <v>1756.68</v>
      </c>
      <c r="EQ15" s="228">
        <v>-397.48</v>
      </c>
      <c r="ER15" s="229">
        <v>-0.2263</v>
      </c>
      <c r="ES15" s="228">
        <v>940.2</v>
      </c>
      <c r="ET15" s="228">
        <v>386.79</v>
      </c>
      <c r="EU15" s="231">
        <v>1782.7</v>
      </c>
      <c r="EV15" s="231">
        <v>409181558</v>
      </c>
      <c r="EW15" s="231">
        <v>3109.69</v>
      </c>
      <c r="EX15" s="231">
        <v>3106.09</v>
      </c>
      <c r="EY15" s="228">
        <v>3.6</v>
      </c>
      <c r="EZ15" s="229">
        <v>1.1999999999999999E-3</v>
      </c>
      <c r="FA15" s="229">
        <v>0.54210000000000003</v>
      </c>
      <c r="FB15" s="227" t="s">
        <v>568</v>
      </c>
      <c r="FC15">
        <f t="shared" si="0"/>
        <v>46</v>
      </c>
    </row>
    <row r="16" spans="1:159" ht="17.25" thickBot="1" x14ac:dyDescent="0.3">
      <c r="A16" s="226">
        <v>45936</v>
      </c>
      <c r="B16" s="227" t="s">
        <v>168</v>
      </c>
      <c r="C16" s="227" t="s">
        <v>169</v>
      </c>
      <c r="D16" s="228">
        <v>250</v>
      </c>
      <c r="E16" s="228">
        <v>22</v>
      </c>
      <c r="F16" s="231">
        <v>2366.3000000000002</v>
      </c>
      <c r="G16" s="231">
        <v>2361.8000000000002</v>
      </c>
      <c r="H16" s="228">
        <v>4.5</v>
      </c>
      <c r="I16" s="229">
        <v>1.9E-3</v>
      </c>
      <c r="J16" s="231">
        <v>2354.8000000000002</v>
      </c>
      <c r="K16" s="231">
        <v>2357.8000000000002</v>
      </c>
      <c r="L16" s="228">
        <v>-3</v>
      </c>
      <c r="M16" s="229">
        <v>-1.2999999999999999E-3</v>
      </c>
      <c r="N16" s="231">
        <v>2366.3000000000002</v>
      </c>
      <c r="O16" s="231">
        <v>2361.8000000000002</v>
      </c>
      <c r="P16" s="228">
        <v>4.5</v>
      </c>
      <c r="Q16" s="229">
        <v>1.9E-3</v>
      </c>
      <c r="R16" s="231">
        <v>2375</v>
      </c>
      <c r="S16" s="231">
        <v>2372.4</v>
      </c>
      <c r="T16" s="228">
        <v>2.6</v>
      </c>
      <c r="U16" s="229">
        <v>1.1000000000000001E-3</v>
      </c>
      <c r="V16" s="231">
        <v>2389.4</v>
      </c>
      <c r="W16" s="231">
        <v>2384.5</v>
      </c>
      <c r="X16" s="228">
        <v>4.9000000000000004</v>
      </c>
      <c r="Y16" s="229">
        <v>2.0999999999999999E-3</v>
      </c>
      <c r="Z16" s="228">
        <v>11.5</v>
      </c>
      <c r="AA16" s="228">
        <v>4</v>
      </c>
      <c r="AB16" s="228">
        <v>7.5</v>
      </c>
      <c r="AC16" s="229">
        <v>4.8999999999999998E-3</v>
      </c>
      <c r="AD16" s="228">
        <v>11.5</v>
      </c>
      <c r="AE16" s="228">
        <v>4</v>
      </c>
      <c r="AF16" s="228">
        <v>7.5</v>
      </c>
      <c r="AG16" s="229">
        <v>4.8999999999999998E-3</v>
      </c>
      <c r="AH16" s="228">
        <v>20.2</v>
      </c>
      <c r="AI16" s="228">
        <v>14.6</v>
      </c>
      <c r="AJ16" s="228">
        <v>5.6</v>
      </c>
      <c r="AK16" s="229">
        <v>8.6E-3</v>
      </c>
      <c r="AL16" s="228">
        <v>34.6</v>
      </c>
      <c r="AM16" s="228">
        <v>26.7</v>
      </c>
      <c r="AN16" s="228">
        <v>7.9</v>
      </c>
      <c r="AO16" s="229">
        <v>1.47E-2</v>
      </c>
      <c r="AP16" s="231">
        <v>2358.5300000000002</v>
      </c>
      <c r="AQ16" s="231">
        <v>2366.81</v>
      </c>
      <c r="AR16" s="228">
        <v>0</v>
      </c>
      <c r="AS16" s="228">
        <v>200</v>
      </c>
      <c r="AT16" s="228">
        <v>215</v>
      </c>
      <c r="AU16" s="228">
        <v>-15</v>
      </c>
      <c r="AV16" s="229">
        <v>-7.1400000000000005E-2</v>
      </c>
      <c r="AW16" s="228">
        <v>183</v>
      </c>
      <c r="AX16" s="228">
        <v>202</v>
      </c>
      <c r="AY16" s="228">
        <v>-19</v>
      </c>
      <c r="AZ16" s="229">
        <v>-9.2600000000000002E-2</v>
      </c>
      <c r="BA16" s="228">
        <v>14</v>
      </c>
      <c r="BB16" s="228">
        <v>12</v>
      </c>
      <c r="BC16" s="228">
        <v>3</v>
      </c>
      <c r="BD16" s="229">
        <v>0.22500000000000001</v>
      </c>
      <c r="BE16" s="228">
        <v>2</v>
      </c>
      <c r="BF16" s="228">
        <v>2</v>
      </c>
      <c r="BG16" s="228">
        <v>1</v>
      </c>
      <c r="BH16" s="229">
        <v>0.37930000000000003</v>
      </c>
      <c r="BI16" s="230">
        <v>1252</v>
      </c>
      <c r="BJ16" s="230">
        <v>1159</v>
      </c>
      <c r="BK16" s="228">
        <v>93</v>
      </c>
      <c r="BL16" s="229">
        <v>8.0600000000000005E-2</v>
      </c>
      <c r="BM16" s="228">
        <v>479</v>
      </c>
      <c r="BN16" s="228">
        <v>396</v>
      </c>
      <c r="BO16" s="228">
        <v>83</v>
      </c>
      <c r="BP16" s="229">
        <v>0.21029999999999999</v>
      </c>
      <c r="BQ16" s="230">
        <v>1932</v>
      </c>
      <c r="BR16" s="230">
        <v>1770</v>
      </c>
      <c r="BS16" s="228">
        <v>161</v>
      </c>
      <c r="BT16" s="229">
        <v>9.11E-2</v>
      </c>
      <c r="BU16" s="230">
        <v>389160</v>
      </c>
      <c r="BV16" s="230">
        <v>672531</v>
      </c>
      <c r="BW16" s="230">
        <v>-283371</v>
      </c>
      <c r="BX16" s="229">
        <v>-0.4214</v>
      </c>
      <c r="BY16" s="230">
        <v>3198</v>
      </c>
      <c r="BZ16" s="230">
        <v>3205</v>
      </c>
      <c r="CA16" s="228">
        <v>-8</v>
      </c>
      <c r="CB16" s="229">
        <v>-2.3999999999999998E-3</v>
      </c>
      <c r="CC16" s="230">
        <v>3098</v>
      </c>
      <c r="CD16" s="230">
        <v>3111</v>
      </c>
      <c r="CE16" s="228">
        <v>-13</v>
      </c>
      <c r="CF16" s="229">
        <v>-4.1999999999999997E-3</v>
      </c>
      <c r="CG16" s="228">
        <v>96</v>
      </c>
      <c r="CH16" s="228">
        <v>92</v>
      </c>
      <c r="CI16" s="228">
        <v>4</v>
      </c>
      <c r="CJ16" s="229">
        <v>4.2999999999999997E-2</v>
      </c>
      <c r="CK16" s="228">
        <v>4</v>
      </c>
      <c r="CL16" s="228">
        <v>2</v>
      </c>
      <c r="CM16" s="228">
        <v>1</v>
      </c>
      <c r="CN16" s="229">
        <v>0.61539999999999995</v>
      </c>
      <c r="CO16" s="230">
        <v>1165</v>
      </c>
      <c r="CP16" s="230">
        <v>1087</v>
      </c>
      <c r="CQ16" s="228">
        <v>78</v>
      </c>
      <c r="CR16" s="229">
        <v>7.2099999999999997E-2</v>
      </c>
      <c r="CS16" s="228">
        <v>767</v>
      </c>
      <c r="CT16" s="228">
        <v>706</v>
      </c>
      <c r="CU16" s="228">
        <v>61</v>
      </c>
      <c r="CV16" s="229">
        <v>8.6999999999999994E-2</v>
      </c>
      <c r="CW16" s="230">
        <v>5130</v>
      </c>
      <c r="CX16" s="230">
        <v>4998</v>
      </c>
      <c r="CY16" s="228">
        <v>132</v>
      </c>
      <c r="CZ16" s="229">
        <v>2.64E-2</v>
      </c>
      <c r="DA16" s="228">
        <v>20</v>
      </c>
      <c r="DB16" s="228">
        <v>20.53</v>
      </c>
      <c r="DC16" s="228">
        <v>-0.53</v>
      </c>
      <c r="DD16" s="228">
        <v>-0.53</v>
      </c>
      <c r="DE16" s="228">
        <v>23.64</v>
      </c>
      <c r="DF16" s="228">
        <v>23.7</v>
      </c>
      <c r="DG16" s="228">
        <v>-3.64</v>
      </c>
      <c r="DH16" s="228">
        <v>-0.06</v>
      </c>
      <c r="DI16" s="228">
        <v>20.010000000000002</v>
      </c>
      <c r="DJ16" s="228">
        <v>20.52</v>
      </c>
      <c r="DK16" s="228">
        <v>-0.51</v>
      </c>
      <c r="DL16" s="228">
        <v>-0.51</v>
      </c>
      <c r="DM16" s="228">
        <v>20</v>
      </c>
      <c r="DN16" s="228">
        <v>20.56</v>
      </c>
      <c r="DO16" s="228">
        <v>-0.56000000000000005</v>
      </c>
      <c r="DP16" s="228">
        <v>-0.56000000000000005</v>
      </c>
      <c r="DQ16" s="228">
        <v>0.66</v>
      </c>
      <c r="DR16" s="228">
        <v>0.65</v>
      </c>
      <c r="DS16" s="228">
        <v>0.01</v>
      </c>
      <c r="DT16" s="229">
        <v>1.54E-2</v>
      </c>
      <c r="DU16" s="231">
        <v>2500</v>
      </c>
      <c r="DV16" s="231">
        <v>2300</v>
      </c>
      <c r="DW16" s="228">
        <v>0.38</v>
      </c>
      <c r="DX16" s="228">
        <v>0.34</v>
      </c>
      <c r="DY16" s="228">
        <v>0.04</v>
      </c>
      <c r="DZ16" s="229">
        <v>0.1176</v>
      </c>
      <c r="EA16" s="229">
        <v>3.1199999999999999E-2</v>
      </c>
      <c r="EB16" s="230">
        <v>399250</v>
      </c>
      <c r="EC16" s="229">
        <v>3.7000000000000002E-3</v>
      </c>
      <c r="ED16" s="229">
        <v>3.1199999999999999E-2</v>
      </c>
      <c r="EE16" s="228">
        <v>8.2799999999999994</v>
      </c>
      <c r="EF16" s="229">
        <v>3.5000000000000001E-3</v>
      </c>
      <c r="EG16" s="230">
        <v>192993</v>
      </c>
      <c r="EH16" s="230">
        <v>468833</v>
      </c>
      <c r="EI16" s="229">
        <v>-0.58840000000000003</v>
      </c>
      <c r="EJ16" s="229">
        <v>0.49590000000000001</v>
      </c>
      <c r="EK16" s="231">
        <v>1305.6500000000001</v>
      </c>
      <c r="EL16" s="228">
        <v>470.25</v>
      </c>
      <c r="EM16" s="228">
        <v>199.49</v>
      </c>
      <c r="EN16" s="228">
        <v>152.65</v>
      </c>
      <c r="EO16" s="231">
        <v>1975.39</v>
      </c>
      <c r="EP16" s="231">
        <v>1808.27</v>
      </c>
      <c r="EQ16" s="228">
        <v>167.13</v>
      </c>
      <c r="ER16" s="229">
        <v>9.2399999999999996E-2</v>
      </c>
      <c r="ES16" s="231">
        <v>1229.9100000000001</v>
      </c>
      <c r="ET16" s="228">
        <v>749.67</v>
      </c>
      <c r="EU16" s="231">
        <v>3197.97</v>
      </c>
      <c r="EV16" s="231">
        <v>52357280</v>
      </c>
      <c r="EW16" s="231">
        <v>5177.55</v>
      </c>
      <c r="EX16" s="231">
        <v>5039.8</v>
      </c>
      <c r="EY16" s="228">
        <v>137.75</v>
      </c>
      <c r="EZ16" s="229">
        <v>2.7300000000000001E-2</v>
      </c>
      <c r="FA16" s="229">
        <v>0.41410000000000002</v>
      </c>
      <c r="FB16" s="227" t="s">
        <v>556</v>
      </c>
      <c r="FC16">
        <f t="shared" si="0"/>
        <v>100</v>
      </c>
    </row>
    <row r="17" spans="1:159" ht="17.25" thickBot="1" x14ac:dyDescent="0.3">
      <c r="A17" s="226">
        <v>45936</v>
      </c>
      <c r="B17" s="227" t="s">
        <v>184</v>
      </c>
      <c r="C17" s="227" t="s">
        <v>503</v>
      </c>
      <c r="D17" s="228">
        <v>425</v>
      </c>
      <c r="E17" s="228">
        <v>22</v>
      </c>
      <c r="F17" s="231">
        <v>1393.6</v>
      </c>
      <c r="G17" s="231">
        <v>1387</v>
      </c>
      <c r="H17" s="228">
        <v>6.6</v>
      </c>
      <c r="I17" s="229">
        <v>4.7999999999999996E-3</v>
      </c>
      <c r="J17" s="231">
        <v>1383.6</v>
      </c>
      <c r="K17" s="231">
        <v>1383.6</v>
      </c>
      <c r="L17" s="228">
        <v>0</v>
      </c>
      <c r="M17" s="229">
        <v>0</v>
      </c>
      <c r="N17" s="231">
        <v>1393.6</v>
      </c>
      <c r="O17" s="231">
        <v>1387</v>
      </c>
      <c r="P17" s="228">
        <v>6.6</v>
      </c>
      <c r="Q17" s="229">
        <v>4.7999999999999996E-3</v>
      </c>
      <c r="R17" s="231">
        <v>1398.2</v>
      </c>
      <c r="S17" s="231">
        <v>1393.5</v>
      </c>
      <c r="T17" s="228">
        <v>4.7</v>
      </c>
      <c r="U17" s="229">
        <v>3.3999999999999998E-3</v>
      </c>
      <c r="V17" s="231">
        <v>1402.1</v>
      </c>
      <c r="W17" s="231">
        <v>1395.9</v>
      </c>
      <c r="X17" s="228">
        <v>6.2</v>
      </c>
      <c r="Y17" s="229">
        <v>4.4000000000000003E-3</v>
      </c>
      <c r="Z17" s="228">
        <v>10</v>
      </c>
      <c r="AA17" s="228">
        <v>3.4</v>
      </c>
      <c r="AB17" s="228">
        <v>6.6</v>
      </c>
      <c r="AC17" s="229">
        <v>7.1999999999999998E-3</v>
      </c>
      <c r="AD17" s="228">
        <v>10</v>
      </c>
      <c r="AE17" s="228">
        <v>3.4</v>
      </c>
      <c r="AF17" s="228">
        <v>6.6</v>
      </c>
      <c r="AG17" s="229">
        <v>7.1999999999999998E-3</v>
      </c>
      <c r="AH17" s="228">
        <v>14.6</v>
      </c>
      <c r="AI17" s="228">
        <v>9.9</v>
      </c>
      <c r="AJ17" s="228">
        <v>4.7</v>
      </c>
      <c r="AK17" s="229">
        <v>1.06E-2</v>
      </c>
      <c r="AL17" s="228">
        <v>18.5</v>
      </c>
      <c r="AM17" s="228">
        <v>12.3</v>
      </c>
      <c r="AN17" s="228">
        <v>6.2</v>
      </c>
      <c r="AO17" s="229">
        <v>1.34E-2</v>
      </c>
      <c r="AP17" s="231">
        <v>1386.91</v>
      </c>
      <c r="AQ17" s="231">
        <v>1391.1</v>
      </c>
      <c r="AR17" s="228">
        <v>0</v>
      </c>
      <c r="AS17" s="228">
        <v>134</v>
      </c>
      <c r="AT17" s="228">
        <v>104</v>
      </c>
      <c r="AU17" s="228">
        <v>30</v>
      </c>
      <c r="AV17" s="229">
        <v>0.28860000000000002</v>
      </c>
      <c r="AW17" s="228">
        <v>122</v>
      </c>
      <c r="AX17" s="228">
        <v>95</v>
      </c>
      <c r="AY17" s="228">
        <v>26</v>
      </c>
      <c r="AZ17" s="229">
        <v>0.27850000000000003</v>
      </c>
      <c r="BA17" s="228">
        <v>11</v>
      </c>
      <c r="BB17" s="228">
        <v>8</v>
      </c>
      <c r="BC17" s="228">
        <v>3</v>
      </c>
      <c r="BD17" s="229">
        <v>0.37680000000000002</v>
      </c>
      <c r="BE17" s="228">
        <v>1</v>
      </c>
      <c r="BF17" s="228">
        <v>1</v>
      </c>
      <c r="BG17" s="228">
        <v>0</v>
      </c>
      <c r="BH17" s="229">
        <v>0.57140000000000002</v>
      </c>
      <c r="BI17" s="228">
        <v>191</v>
      </c>
      <c r="BJ17" s="228">
        <v>195</v>
      </c>
      <c r="BK17" s="228">
        <v>-4</v>
      </c>
      <c r="BL17" s="229">
        <v>-2.0299999999999999E-2</v>
      </c>
      <c r="BM17" s="228">
        <v>88</v>
      </c>
      <c r="BN17" s="228">
        <v>115</v>
      </c>
      <c r="BO17" s="228">
        <v>-26</v>
      </c>
      <c r="BP17" s="229">
        <v>-0.2301</v>
      </c>
      <c r="BQ17" s="228">
        <v>414</v>
      </c>
      <c r="BR17" s="228">
        <v>414</v>
      </c>
      <c r="BS17" s="228">
        <v>0</v>
      </c>
      <c r="BT17" s="229">
        <v>-6.9999999999999999E-4</v>
      </c>
      <c r="BU17" s="230">
        <v>473811</v>
      </c>
      <c r="BV17" s="230">
        <v>524821</v>
      </c>
      <c r="BW17" s="230">
        <v>-51010</v>
      </c>
      <c r="BX17" s="229">
        <v>-9.7199999999999995E-2</v>
      </c>
      <c r="BY17" s="230">
        <v>1096</v>
      </c>
      <c r="BZ17" s="230">
        <v>1064</v>
      </c>
      <c r="CA17" s="228">
        <v>32</v>
      </c>
      <c r="CB17" s="229">
        <v>3.0499999999999999E-2</v>
      </c>
      <c r="CC17" s="230">
        <v>1063</v>
      </c>
      <c r="CD17" s="230">
        <v>1035</v>
      </c>
      <c r="CE17" s="228">
        <v>28</v>
      </c>
      <c r="CF17" s="229">
        <v>2.7300000000000001E-2</v>
      </c>
      <c r="CG17" s="228">
        <v>31</v>
      </c>
      <c r="CH17" s="228">
        <v>28</v>
      </c>
      <c r="CI17" s="228">
        <v>3</v>
      </c>
      <c r="CJ17" s="229">
        <v>0.1075</v>
      </c>
      <c r="CK17" s="228">
        <v>3</v>
      </c>
      <c r="CL17" s="228">
        <v>1</v>
      </c>
      <c r="CM17" s="228">
        <v>1</v>
      </c>
      <c r="CN17" s="229">
        <v>0.8</v>
      </c>
      <c r="CO17" s="228">
        <v>304</v>
      </c>
      <c r="CP17" s="228">
        <v>279</v>
      </c>
      <c r="CQ17" s="228">
        <v>26</v>
      </c>
      <c r="CR17" s="229">
        <v>9.1600000000000001E-2</v>
      </c>
      <c r="CS17" s="228">
        <v>170</v>
      </c>
      <c r="CT17" s="228">
        <v>162</v>
      </c>
      <c r="CU17" s="228">
        <v>8</v>
      </c>
      <c r="CV17" s="229">
        <v>4.7800000000000002E-2</v>
      </c>
      <c r="CW17" s="230">
        <v>1570</v>
      </c>
      <c r="CX17" s="230">
        <v>1505</v>
      </c>
      <c r="CY17" s="228">
        <v>66</v>
      </c>
      <c r="CZ17" s="229">
        <v>4.36E-2</v>
      </c>
      <c r="DA17" s="228">
        <v>26.9</v>
      </c>
      <c r="DB17" s="228">
        <v>26.47</v>
      </c>
      <c r="DC17" s="228">
        <v>0.43</v>
      </c>
      <c r="DD17" s="228">
        <v>0.43</v>
      </c>
      <c r="DE17" s="228">
        <v>33.76</v>
      </c>
      <c r="DF17" s="228">
        <v>33.840000000000003</v>
      </c>
      <c r="DG17" s="228">
        <v>-6.86</v>
      </c>
      <c r="DH17" s="228">
        <v>-0.08</v>
      </c>
      <c r="DI17" s="228">
        <v>26.32</v>
      </c>
      <c r="DJ17" s="228">
        <v>26.4</v>
      </c>
      <c r="DK17" s="228">
        <v>-0.08</v>
      </c>
      <c r="DL17" s="228">
        <v>-0.08</v>
      </c>
      <c r="DM17" s="228">
        <v>28.17</v>
      </c>
      <c r="DN17" s="228">
        <v>26.59</v>
      </c>
      <c r="DO17" s="228">
        <v>1.58</v>
      </c>
      <c r="DP17" s="228">
        <v>1.58</v>
      </c>
      <c r="DQ17" s="228">
        <v>0.56000000000000005</v>
      </c>
      <c r="DR17" s="228">
        <v>0.57999999999999996</v>
      </c>
      <c r="DS17" s="228">
        <v>-0.02</v>
      </c>
      <c r="DT17" s="229">
        <v>-3.4500000000000003E-2</v>
      </c>
      <c r="DU17" s="231">
        <v>1500</v>
      </c>
      <c r="DV17" s="231">
        <v>1400</v>
      </c>
      <c r="DW17" s="228">
        <v>0.46</v>
      </c>
      <c r="DX17" s="228">
        <v>0.59</v>
      </c>
      <c r="DY17" s="228">
        <v>-0.13</v>
      </c>
      <c r="DZ17" s="229">
        <v>-0.2203</v>
      </c>
      <c r="EA17" s="229">
        <v>3.0300000000000001E-2</v>
      </c>
      <c r="EB17" s="230">
        <v>208250</v>
      </c>
      <c r="EC17" s="229">
        <v>3.3E-3</v>
      </c>
      <c r="ED17" s="229">
        <v>3.0300000000000001E-2</v>
      </c>
      <c r="EE17" s="228">
        <v>4.1900000000000004</v>
      </c>
      <c r="EF17" s="229">
        <v>3.0000000000000001E-3</v>
      </c>
      <c r="EG17" s="230">
        <v>250316</v>
      </c>
      <c r="EH17" s="230">
        <v>296322</v>
      </c>
      <c r="EI17" s="229">
        <v>-0.15529999999999999</v>
      </c>
      <c r="EJ17" s="229">
        <v>0.52829999999999999</v>
      </c>
      <c r="EK17" s="228">
        <v>198.38</v>
      </c>
      <c r="EL17" s="228">
        <v>87.26</v>
      </c>
      <c r="EM17" s="228">
        <v>133.49</v>
      </c>
      <c r="EN17" s="228">
        <v>60.74</v>
      </c>
      <c r="EO17" s="228">
        <v>419.12</v>
      </c>
      <c r="EP17" s="228">
        <v>418.51</v>
      </c>
      <c r="EQ17" s="228">
        <v>0.61</v>
      </c>
      <c r="ER17" s="229">
        <v>1.5E-3</v>
      </c>
      <c r="ES17" s="228">
        <v>323.22000000000003</v>
      </c>
      <c r="ET17" s="228">
        <v>167.23</v>
      </c>
      <c r="EU17" s="231">
        <v>1096.25</v>
      </c>
      <c r="EV17" s="231">
        <v>18495534</v>
      </c>
      <c r="EW17" s="231">
        <v>1586.7</v>
      </c>
      <c r="EX17" s="231">
        <v>1515.23</v>
      </c>
      <c r="EY17" s="228">
        <v>71.47</v>
      </c>
      <c r="EZ17" s="229">
        <v>4.7199999999999999E-2</v>
      </c>
      <c r="FA17" s="229">
        <v>0.60929999999999995</v>
      </c>
      <c r="FB17" s="227" t="s">
        <v>555</v>
      </c>
      <c r="FC17">
        <f t="shared" si="0"/>
        <v>33</v>
      </c>
    </row>
    <row r="18" spans="1:159" ht="17.25" thickBot="1" x14ac:dyDescent="0.3">
      <c r="A18" s="226">
        <v>45936</v>
      </c>
      <c r="B18" s="227" t="s">
        <v>172</v>
      </c>
      <c r="C18" s="227" t="s">
        <v>495</v>
      </c>
      <c r="D18" s="228">
        <v>1000</v>
      </c>
      <c r="E18" s="228">
        <v>22</v>
      </c>
      <c r="F18" s="228">
        <v>766.3</v>
      </c>
      <c r="G18" s="228">
        <v>745.1</v>
      </c>
      <c r="H18" s="228">
        <v>21.2</v>
      </c>
      <c r="I18" s="229">
        <v>2.8500000000000001E-2</v>
      </c>
      <c r="J18" s="228">
        <v>762.95</v>
      </c>
      <c r="K18" s="228">
        <v>741.9</v>
      </c>
      <c r="L18" s="228">
        <v>21.05</v>
      </c>
      <c r="M18" s="229">
        <v>2.8400000000000002E-2</v>
      </c>
      <c r="N18" s="228">
        <v>766.3</v>
      </c>
      <c r="O18" s="228">
        <v>745.1</v>
      </c>
      <c r="P18" s="228">
        <v>21.2</v>
      </c>
      <c r="Q18" s="229">
        <v>2.8500000000000001E-2</v>
      </c>
      <c r="R18" s="228">
        <v>769</v>
      </c>
      <c r="S18" s="228">
        <v>748.45</v>
      </c>
      <c r="T18" s="228">
        <v>20.55</v>
      </c>
      <c r="U18" s="229">
        <v>2.75E-2</v>
      </c>
      <c r="V18" s="228">
        <v>770.2</v>
      </c>
      <c r="W18" s="228">
        <v>750.5</v>
      </c>
      <c r="X18" s="228">
        <v>19.7</v>
      </c>
      <c r="Y18" s="229">
        <v>2.6200000000000001E-2</v>
      </c>
      <c r="Z18" s="228">
        <v>3.35</v>
      </c>
      <c r="AA18" s="228">
        <v>3.2</v>
      </c>
      <c r="AB18" s="228">
        <v>0.15</v>
      </c>
      <c r="AC18" s="229">
        <v>4.4000000000000003E-3</v>
      </c>
      <c r="AD18" s="228">
        <v>3.35</v>
      </c>
      <c r="AE18" s="228">
        <v>3.2</v>
      </c>
      <c r="AF18" s="228">
        <v>0.15</v>
      </c>
      <c r="AG18" s="229">
        <v>4.4000000000000003E-3</v>
      </c>
      <c r="AH18" s="228">
        <v>6.05</v>
      </c>
      <c r="AI18" s="228">
        <v>6.55</v>
      </c>
      <c r="AJ18" s="228">
        <v>-0.5</v>
      </c>
      <c r="AK18" s="229">
        <v>7.9000000000000008E-3</v>
      </c>
      <c r="AL18" s="228">
        <v>7.25</v>
      </c>
      <c r="AM18" s="228">
        <v>8.6</v>
      </c>
      <c r="AN18" s="228">
        <v>-1.35</v>
      </c>
      <c r="AO18" s="229">
        <v>9.4999999999999998E-3</v>
      </c>
      <c r="AP18" s="228">
        <v>760.66</v>
      </c>
      <c r="AQ18" s="228">
        <v>763.24</v>
      </c>
      <c r="AR18" s="228">
        <v>0</v>
      </c>
      <c r="AS18" s="228">
        <v>547</v>
      </c>
      <c r="AT18" s="228">
        <v>336</v>
      </c>
      <c r="AU18" s="228">
        <v>211</v>
      </c>
      <c r="AV18" s="229">
        <v>0.62709999999999999</v>
      </c>
      <c r="AW18" s="228">
        <v>521</v>
      </c>
      <c r="AX18" s="228">
        <v>323</v>
      </c>
      <c r="AY18" s="228">
        <v>198</v>
      </c>
      <c r="AZ18" s="229">
        <v>0.61299999999999999</v>
      </c>
      <c r="BA18" s="228">
        <v>21</v>
      </c>
      <c r="BB18" s="228">
        <v>12</v>
      </c>
      <c r="BC18" s="228">
        <v>9</v>
      </c>
      <c r="BD18" s="229">
        <v>0.74519999999999997</v>
      </c>
      <c r="BE18" s="228">
        <v>5</v>
      </c>
      <c r="BF18" s="228">
        <v>1</v>
      </c>
      <c r="BG18" s="228">
        <v>4</v>
      </c>
      <c r="BH18" s="229">
        <v>3.3332999999999999</v>
      </c>
      <c r="BI18" s="230">
        <v>1196</v>
      </c>
      <c r="BJ18" s="228">
        <v>679</v>
      </c>
      <c r="BK18" s="228">
        <v>516</v>
      </c>
      <c r="BL18" s="229">
        <v>0.76039999999999996</v>
      </c>
      <c r="BM18" s="228">
        <v>497</v>
      </c>
      <c r="BN18" s="228">
        <v>274</v>
      </c>
      <c r="BO18" s="228">
        <v>222</v>
      </c>
      <c r="BP18" s="229">
        <v>0.81059999999999999</v>
      </c>
      <c r="BQ18" s="230">
        <v>2239</v>
      </c>
      <c r="BR18" s="230">
        <v>1289</v>
      </c>
      <c r="BS18" s="228">
        <v>949</v>
      </c>
      <c r="BT18" s="229">
        <v>0.73629999999999995</v>
      </c>
      <c r="BU18" s="230">
        <v>2542536</v>
      </c>
      <c r="BV18" s="230">
        <v>2104381</v>
      </c>
      <c r="BW18" s="230">
        <v>438155</v>
      </c>
      <c r="BX18" s="229">
        <v>0.2082</v>
      </c>
      <c r="BY18" s="230">
        <v>1705</v>
      </c>
      <c r="BZ18" s="230">
        <v>1749</v>
      </c>
      <c r="CA18" s="228">
        <v>-45</v>
      </c>
      <c r="CB18" s="229">
        <v>-2.5499999999999998E-2</v>
      </c>
      <c r="CC18" s="230">
        <v>1677</v>
      </c>
      <c r="CD18" s="230">
        <v>1721</v>
      </c>
      <c r="CE18" s="228">
        <v>-44</v>
      </c>
      <c r="CF18" s="229">
        <v>-2.58E-2</v>
      </c>
      <c r="CG18" s="228">
        <v>25</v>
      </c>
      <c r="CH18" s="228">
        <v>26</v>
      </c>
      <c r="CI18" s="228">
        <v>-1</v>
      </c>
      <c r="CJ18" s="229">
        <v>-4.9399999999999999E-2</v>
      </c>
      <c r="CK18" s="228">
        <v>3</v>
      </c>
      <c r="CL18" s="228">
        <v>2</v>
      </c>
      <c r="CM18" s="228">
        <v>1</v>
      </c>
      <c r="CN18" s="229">
        <v>0.6</v>
      </c>
      <c r="CO18" s="228">
        <v>350</v>
      </c>
      <c r="CP18" s="228">
        <v>323</v>
      </c>
      <c r="CQ18" s="228">
        <v>26</v>
      </c>
      <c r="CR18" s="229">
        <v>8.1000000000000003E-2</v>
      </c>
      <c r="CS18" s="228">
        <v>277</v>
      </c>
      <c r="CT18" s="228">
        <v>250</v>
      </c>
      <c r="CU18" s="228">
        <v>27</v>
      </c>
      <c r="CV18" s="229">
        <v>0.1085</v>
      </c>
      <c r="CW18" s="230">
        <v>2332</v>
      </c>
      <c r="CX18" s="230">
        <v>2323</v>
      </c>
      <c r="CY18" s="228">
        <v>9</v>
      </c>
      <c r="CZ18" s="229">
        <v>3.8E-3</v>
      </c>
      <c r="DA18" s="228">
        <v>29.47</v>
      </c>
      <c r="DB18" s="228">
        <v>29.12</v>
      </c>
      <c r="DC18" s="228">
        <v>0.35</v>
      </c>
      <c r="DD18" s="228">
        <v>0.35</v>
      </c>
      <c r="DE18" s="228">
        <v>36.340000000000003</v>
      </c>
      <c r="DF18" s="228">
        <v>36.24</v>
      </c>
      <c r="DG18" s="228">
        <v>-6.87</v>
      </c>
      <c r="DH18" s="228">
        <v>0.1</v>
      </c>
      <c r="DI18" s="228">
        <v>29.28</v>
      </c>
      <c r="DJ18" s="228">
        <v>28.91</v>
      </c>
      <c r="DK18" s="228">
        <v>0.37</v>
      </c>
      <c r="DL18" s="228">
        <v>0.37</v>
      </c>
      <c r="DM18" s="228">
        <v>29.94</v>
      </c>
      <c r="DN18" s="228">
        <v>29.65</v>
      </c>
      <c r="DO18" s="228">
        <v>0.28999999999999998</v>
      </c>
      <c r="DP18" s="228">
        <v>0.28999999999999998</v>
      </c>
      <c r="DQ18" s="228">
        <v>0.79</v>
      </c>
      <c r="DR18" s="228">
        <v>0.77</v>
      </c>
      <c r="DS18" s="228">
        <v>0.02</v>
      </c>
      <c r="DT18" s="229">
        <v>2.5999999999999999E-2</v>
      </c>
      <c r="DU18" s="228">
        <v>770</v>
      </c>
      <c r="DV18" s="228">
        <v>720</v>
      </c>
      <c r="DW18" s="228">
        <v>0.42</v>
      </c>
      <c r="DX18" s="228">
        <v>0.4</v>
      </c>
      <c r="DY18" s="228">
        <v>0.02</v>
      </c>
      <c r="DZ18" s="229">
        <v>0.05</v>
      </c>
      <c r="EA18" s="229">
        <v>1.6500000000000001E-2</v>
      </c>
      <c r="EB18" s="230">
        <v>369000</v>
      </c>
      <c r="EC18" s="229">
        <v>3.5000000000000001E-3</v>
      </c>
      <c r="ED18" s="229">
        <v>1.6500000000000001E-2</v>
      </c>
      <c r="EE18" s="228">
        <v>2.58</v>
      </c>
      <c r="EF18" s="229">
        <v>3.3999999999999998E-3</v>
      </c>
      <c r="EG18" s="230">
        <v>1058875</v>
      </c>
      <c r="EH18" s="230">
        <v>978063</v>
      </c>
      <c r="EI18" s="229">
        <v>8.2600000000000007E-2</v>
      </c>
      <c r="EJ18" s="229">
        <v>0.41649999999999998</v>
      </c>
      <c r="EK18" s="231">
        <v>1241.49</v>
      </c>
      <c r="EL18" s="228">
        <v>482.69</v>
      </c>
      <c r="EM18" s="228">
        <v>542.67999999999995</v>
      </c>
      <c r="EN18" s="228">
        <v>111.46</v>
      </c>
      <c r="EO18" s="231">
        <v>2266.86</v>
      </c>
      <c r="EP18" s="231">
        <v>1277.93</v>
      </c>
      <c r="EQ18" s="228">
        <v>988.93</v>
      </c>
      <c r="ER18" s="229">
        <v>0.77390000000000003</v>
      </c>
      <c r="ES18" s="228">
        <v>353.93</v>
      </c>
      <c r="ET18" s="228">
        <v>258.7</v>
      </c>
      <c r="EU18" s="231">
        <v>1704.81</v>
      </c>
      <c r="EV18" s="231">
        <v>86234186</v>
      </c>
      <c r="EW18" s="231">
        <v>2317.44</v>
      </c>
      <c r="EX18" s="231">
        <v>2256.46</v>
      </c>
      <c r="EY18" s="228">
        <v>60.98</v>
      </c>
      <c r="EZ18" s="229">
        <v>2.7E-2</v>
      </c>
      <c r="FA18" s="229">
        <v>0.3528</v>
      </c>
      <c r="FB18" s="227" t="s">
        <v>556</v>
      </c>
      <c r="FC18">
        <f t="shared" si="0"/>
        <v>28</v>
      </c>
    </row>
    <row r="19" spans="1:159" ht="17.25" thickBot="1" x14ac:dyDescent="0.3">
      <c r="A19" s="226">
        <v>45936</v>
      </c>
      <c r="B19" s="227" t="s">
        <v>170</v>
      </c>
      <c r="C19" s="227" t="s">
        <v>171</v>
      </c>
      <c r="D19" s="228">
        <v>550</v>
      </c>
      <c r="E19" s="228">
        <v>22</v>
      </c>
      <c r="F19" s="231">
        <v>1102.7</v>
      </c>
      <c r="G19" s="231">
        <v>1097.5</v>
      </c>
      <c r="H19" s="228">
        <v>5.2</v>
      </c>
      <c r="I19" s="229">
        <v>4.7000000000000002E-3</v>
      </c>
      <c r="J19" s="231">
        <v>1096.5</v>
      </c>
      <c r="K19" s="231">
        <v>1093.3</v>
      </c>
      <c r="L19" s="228">
        <v>3.2</v>
      </c>
      <c r="M19" s="229">
        <v>2.8999999999999998E-3</v>
      </c>
      <c r="N19" s="231">
        <v>1102.7</v>
      </c>
      <c r="O19" s="231">
        <v>1097.5</v>
      </c>
      <c r="P19" s="228">
        <v>5.2</v>
      </c>
      <c r="Q19" s="229">
        <v>4.7000000000000002E-3</v>
      </c>
      <c r="R19" s="231">
        <v>1108.4000000000001</v>
      </c>
      <c r="S19" s="231">
        <v>1102.7</v>
      </c>
      <c r="T19" s="228">
        <v>5.7</v>
      </c>
      <c r="U19" s="229">
        <v>5.1999999999999998E-3</v>
      </c>
      <c r="V19" s="231">
        <v>1113.8</v>
      </c>
      <c r="W19" s="231">
        <v>1110.0999999999999</v>
      </c>
      <c r="X19" s="228">
        <v>3.7</v>
      </c>
      <c r="Y19" s="229">
        <v>3.3E-3</v>
      </c>
      <c r="Z19" s="228">
        <v>6.2</v>
      </c>
      <c r="AA19" s="228">
        <v>4.2</v>
      </c>
      <c r="AB19" s="228">
        <v>2</v>
      </c>
      <c r="AC19" s="229">
        <v>5.7000000000000002E-3</v>
      </c>
      <c r="AD19" s="228">
        <v>6.2</v>
      </c>
      <c r="AE19" s="228">
        <v>4.2</v>
      </c>
      <c r="AF19" s="228">
        <v>2</v>
      </c>
      <c r="AG19" s="229">
        <v>5.7000000000000002E-3</v>
      </c>
      <c r="AH19" s="228">
        <v>11.9</v>
      </c>
      <c r="AI19" s="228">
        <v>9.4</v>
      </c>
      <c r="AJ19" s="228">
        <v>2.5</v>
      </c>
      <c r="AK19" s="229">
        <v>1.09E-2</v>
      </c>
      <c r="AL19" s="228">
        <v>17.3</v>
      </c>
      <c r="AM19" s="228">
        <v>16.8</v>
      </c>
      <c r="AN19" s="228">
        <v>0.5</v>
      </c>
      <c r="AO19" s="229">
        <v>1.5800000000000002E-2</v>
      </c>
      <c r="AP19" s="231">
        <v>1093.6199999999999</v>
      </c>
      <c r="AQ19" s="231">
        <v>1102.05</v>
      </c>
      <c r="AR19" s="228">
        <v>0</v>
      </c>
      <c r="AS19" s="228">
        <v>137</v>
      </c>
      <c r="AT19" s="228">
        <v>109</v>
      </c>
      <c r="AU19" s="228">
        <v>28</v>
      </c>
      <c r="AV19" s="229">
        <v>0.2571</v>
      </c>
      <c r="AW19" s="228">
        <v>128</v>
      </c>
      <c r="AX19" s="228">
        <v>104</v>
      </c>
      <c r="AY19" s="228">
        <v>25</v>
      </c>
      <c r="AZ19" s="229">
        <v>0.23799999999999999</v>
      </c>
      <c r="BA19" s="228">
        <v>8</v>
      </c>
      <c r="BB19" s="228">
        <v>5</v>
      </c>
      <c r="BC19" s="228">
        <v>3</v>
      </c>
      <c r="BD19" s="229">
        <v>0.61899999999999999</v>
      </c>
      <c r="BE19" s="228">
        <v>0</v>
      </c>
      <c r="BF19" s="228">
        <v>0</v>
      </c>
      <c r="BG19" s="228">
        <v>0</v>
      </c>
      <c r="BH19" s="229">
        <v>1</v>
      </c>
      <c r="BI19" s="228">
        <v>232</v>
      </c>
      <c r="BJ19" s="228">
        <v>248</v>
      </c>
      <c r="BK19" s="228">
        <v>-15</v>
      </c>
      <c r="BL19" s="229">
        <v>-6.2E-2</v>
      </c>
      <c r="BM19" s="228">
        <v>112</v>
      </c>
      <c r="BN19" s="228">
        <v>146</v>
      </c>
      <c r="BO19" s="228">
        <v>-34</v>
      </c>
      <c r="BP19" s="229">
        <v>-0.2303</v>
      </c>
      <c r="BQ19" s="228">
        <v>481</v>
      </c>
      <c r="BR19" s="228">
        <v>502</v>
      </c>
      <c r="BS19" s="228">
        <v>-21</v>
      </c>
      <c r="BT19" s="229">
        <v>-4.1599999999999998E-2</v>
      </c>
      <c r="BU19" s="230">
        <v>663792</v>
      </c>
      <c r="BV19" s="230">
        <v>540756</v>
      </c>
      <c r="BW19" s="230">
        <v>123036</v>
      </c>
      <c r="BX19" s="229">
        <v>0.22750000000000001</v>
      </c>
      <c r="BY19" s="230">
        <v>2136</v>
      </c>
      <c r="BZ19" s="230">
        <v>2135</v>
      </c>
      <c r="CA19" s="228">
        <v>1</v>
      </c>
      <c r="CB19" s="229">
        <v>5.9999999999999995E-4</v>
      </c>
      <c r="CC19" s="230">
        <v>2114</v>
      </c>
      <c r="CD19" s="230">
        <v>2114</v>
      </c>
      <c r="CE19" s="228">
        <v>0</v>
      </c>
      <c r="CF19" s="229">
        <v>0</v>
      </c>
      <c r="CG19" s="228">
        <v>22</v>
      </c>
      <c r="CH19" s="228">
        <v>21</v>
      </c>
      <c r="CI19" s="228">
        <v>1</v>
      </c>
      <c r="CJ19" s="229">
        <v>5.7799999999999997E-2</v>
      </c>
      <c r="CK19" s="228">
        <v>0</v>
      </c>
      <c r="CL19" s="228">
        <v>0</v>
      </c>
      <c r="CM19" s="228">
        <v>0</v>
      </c>
      <c r="CN19" s="229">
        <v>0.4</v>
      </c>
      <c r="CO19" s="228">
        <v>270</v>
      </c>
      <c r="CP19" s="228">
        <v>252</v>
      </c>
      <c r="CQ19" s="228">
        <v>18</v>
      </c>
      <c r="CR19" s="229">
        <v>7.2400000000000006E-2</v>
      </c>
      <c r="CS19" s="228">
        <v>246</v>
      </c>
      <c r="CT19" s="228">
        <v>241</v>
      </c>
      <c r="CU19" s="228">
        <v>5</v>
      </c>
      <c r="CV19" s="229">
        <v>2.0400000000000001E-2</v>
      </c>
      <c r="CW19" s="230">
        <v>2653</v>
      </c>
      <c r="CX19" s="230">
        <v>2629</v>
      </c>
      <c r="CY19" s="228">
        <v>25</v>
      </c>
      <c r="CZ19" s="229">
        <v>9.2999999999999992E-3</v>
      </c>
      <c r="DA19" s="228">
        <v>26.89</v>
      </c>
      <c r="DB19" s="228">
        <v>25.92</v>
      </c>
      <c r="DC19" s="228">
        <v>0.97</v>
      </c>
      <c r="DD19" s="228">
        <v>0.97</v>
      </c>
      <c r="DE19" s="228">
        <v>34.71</v>
      </c>
      <c r="DF19" s="228">
        <v>34.79</v>
      </c>
      <c r="DG19" s="228">
        <v>-7.82</v>
      </c>
      <c r="DH19" s="228">
        <v>-0.08</v>
      </c>
      <c r="DI19" s="228">
        <v>26.42</v>
      </c>
      <c r="DJ19" s="228">
        <v>25.59</v>
      </c>
      <c r="DK19" s="228">
        <v>0.83</v>
      </c>
      <c r="DL19" s="228">
        <v>0.83</v>
      </c>
      <c r="DM19" s="228">
        <v>27.88</v>
      </c>
      <c r="DN19" s="228">
        <v>26.49</v>
      </c>
      <c r="DO19" s="228">
        <v>1.39</v>
      </c>
      <c r="DP19" s="228">
        <v>1.39</v>
      </c>
      <c r="DQ19" s="228">
        <v>0.91</v>
      </c>
      <c r="DR19" s="228">
        <v>0.96</v>
      </c>
      <c r="DS19" s="228">
        <v>-0.05</v>
      </c>
      <c r="DT19" s="229">
        <v>-5.21E-2</v>
      </c>
      <c r="DU19" s="231">
        <v>1100</v>
      </c>
      <c r="DV19" s="231">
        <v>1100</v>
      </c>
      <c r="DW19" s="228">
        <v>0.48</v>
      </c>
      <c r="DX19" s="228">
        <v>0.59</v>
      </c>
      <c r="DY19" s="228">
        <v>-0.11</v>
      </c>
      <c r="DZ19" s="229">
        <v>-0.18640000000000001</v>
      </c>
      <c r="EA19" s="229">
        <v>1.06E-2</v>
      </c>
      <c r="EB19" s="230">
        <v>193050</v>
      </c>
      <c r="EC19" s="229">
        <v>5.1999999999999998E-3</v>
      </c>
      <c r="ED19" s="229">
        <v>1.06E-2</v>
      </c>
      <c r="EE19" s="228">
        <v>8.43</v>
      </c>
      <c r="EF19" s="229">
        <v>7.7000000000000002E-3</v>
      </c>
      <c r="EG19" s="230">
        <v>363546</v>
      </c>
      <c r="EH19" s="230">
        <v>279549</v>
      </c>
      <c r="EI19" s="229">
        <v>0.30049999999999999</v>
      </c>
      <c r="EJ19" s="229">
        <v>0.54769999999999996</v>
      </c>
      <c r="EK19" s="228">
        <v>240.94</v>
      </c>
      <c r="EL19" s="228">
        <v>110.04</v>
      </c>
      <c r="EM19" s="228">
        <v>135.94</v>
      </c>
      <c r="EN19" s="228">
        <v>71.64</v>
      </c>
      <c r="EO19" s="228">
        <v>486.92</v>
      </c>
      <c r="EP19" s="228">
        <v>510.72</v>
      </c>
      <c r="EQ19" s="228">
        <v>-23.8</v>
      </c>
      <c r="ER19" s="229">
        <v>-4.6600000000000003E-2</v>
      </c>
      <c r="ES19" s="228">
        <v>282.35000000000002</v>
      </c>
      <c r="ET19" s="228">
        <v>237.63</v>
      </c>
      <c r="EU19" s="231">
        <v>2136.52</v>
      </c>
      <c r="EV19" s="231">
        <v>41977935</v>
      </c>
      <c r="EW19" s="231">
        <v>2656.5</v>
      </c>
      <c r="EX19" s="231">
        <v>2621.38</v>
      </c>
      <c r="EY19" s="228">
        <v>35.119999999999997</v>
      </c>
      <c r="EZ19" s="229">
        <v>1.34E-2</v>
      </c>
      <c r="FA19" s="229">
        <v>0.57320000000000004</v>
      </c>
      <c r="FB19" s="227" t="s">
        <v>555</v>
      </c>
      <c r="FC19">
        <f t="shared" si="0"/>
        <v>22</v>
      </c>
    </row>
    <row r="20" spans="1:159" ht="17.25" thickBot="1" x14ac:dyDescent="0.3">
      <c r="A20" s="226">
        <v>45936</v>
      </c>
      <c r="B20" s="227" t="s">
        <v>172</v>
      </c>
      <c r="C20" s="227" t="s">
        <v>173</v>
      </c>
      <c r="D20" s="228">
        <v>625</v>
      </c>
      <c r="E20" s="228">
        <v>22</v>
      </c>
      <c r="F20" s="231">
        <v>1216.2</v>
      </c>
      <c r="G20" s="231">
        <v>1186.8</v>
      </c>
      <c r="H20" s="228">
        <v>29.4</v>
      </c>
      <c r="I20" s="229">
        <v>2.4799999999999999E-2</v>
      </c>
      <c r="J20" s="231">
        <v>1212.8</v>
      </c>
      <c r="K20" s="231">
        <v>1181</v>
      </c>
      <c r="L20" s="228">
        <v>31.8</v>
      </c>
      <c r="M20" s="229">
        <v>2.69E-2</v>
      </c>
      <c r="N20" s="231">
        <v>1216.2</v>
      </c>
      <c r="O20" s="231">
        <v>1186.8</v>
      </c>
      <c r="P20" s="228">
        <v>29.4</v>
      </c>
      <c r="Q20" s="229">
        <v>2.4799999999999999E-2</v>
      </c>
      <c r="R20" s="231">
        <v>1222.0999999999999</v>
      </c>
      <c r="S20" s="231">
        <v>1193.2</v>
      </c>
      <c r="T20" s="228">
        <v>28.9</v>
      </c>
      <c r="U20" s="229">
        <v>2.4199999999999999E-2</v>
      </c>
      <c r="V20" s="231">
        <v>1228.2</v>
      </c>
      <c r="W20" s="231">
        <v>1199.3</v>
      </c>
      <c r="X20" s="228">
        <v>28.9</v>
      </c>
      <c r="Y20" s="229">
        <v>2.41E-2</v>
      </c>
      <c r="Z20" s="228">
        <v>3.4</v>
      </c>
      <c r="AA20" s="228">
        <v>5.8</v>
      </c>
      <c r="AB20" s="228">
        <v>-2.4</v>
      </c>
      <c r="AC20" s="229">
        <v>2.8E-3</v>
      </c>
      <c r="AD20" s="228">
        <v>3.4</v>
      </c>
      <c r="AE20" s="228">
        <v>5.8</v>
      </c>
      <c r="AF20" s="228">
        <v>-2.4</v>
      </c>
      <c r="AG20" s="229">
        <v>2.8E-3</v>
      </c>
      <c r="AH20" s="228">
        <v>9.3000000000000007</v>
      </c>
      <c r="AI20" s="228">
        <v>12.2</v>
      </c>
      <c r="AJ20" s="228">
        <v>-2.9</v>
      </c>
      <c r="AK20" s="229">
        <v>7.7000000000000002E-3</v>
      </c>
      <c r="AL20" s="228">
        <v>15.4</v>
      </c>
      <c r="AM20" s="228">
        <v>18.3</v>
      </c>
      <c r="AN20" s="228">
        <v>-2.9</v>
      </c>
      <c r="AO20" s="229">
        <v>1.2699999999999999E-2</v>
      </c>
      <c r="AP20" s="231">
        <v>1208.1500000000001</v>
      </c>
      <c r="AQ20" s="231">
        <v>1215.04</v>
      </c>
      <c r="AR20" s="228">
        <v>0</v>
      </c>
      <c r="AS20" s="230">
        <v>2829</v>
      </c>
      <c r="AT20" s="230">
        <v>1552</v>
      </c>
      <c r="AU20" s="230">
        <v>1277</v>
      </c>
      <c r="AV20" s="229">
        <v>0.82279999999999998</v>
      </c>
      <c r="AW20" s="230">
        <v>2744</v>
      </c>
      <c r="AX20" s="230">
        <v>1508</v>
      </c>
      <c r="AY20" s="230">
        <v>1235</v>
      </c>
      <c r="AZ20" s="229">
        <v>0.81889999999999996</v>
      </c>
      <c r="BA20" s="228">
        <v>78</v>
      </c>
      <c r="BB20" s="228">
        <v>37</v>
      </c>
      <c r="BC20" s="228">
        <v>41</v>
      </c>
      <c r="BD20" s="229">
        <v>1.0854999999999999</v>
      </c>
      <c r="BE20" s="228">
        <v>8</v>
      </c>
      <c r="BF20" s="228">
        <v>7</v>
      </c>
      <c r="BG20" s="228">
        <v>1</v>
      </c>
      <c r="BH20" s="229">
        <v>0.22090000000000001</v>
      </c>
      <c r="BI20" s="230">
        <v>5726</v>
      </c>
      <c r="BJ20" s="230">
        <v>4443</v>
      </c>
      <c r="BK20" s="230">
        <v>1283</v>
      </c>
      <c r="BL20" s="229">
        <v>0.2888</v>
      </c>
      <c r="BM20" s="230">
        <v>3875</v>
      </c>
      <c r="BN20" s="230">
        <v>2594</v>
      </c>
      <c r="BO20" s="230">
        <v>1282</v>
      </c>
      <c r="BP20" s="229">
        <v>0.49419999999999997</v>
      </c>
      <c r="BQ20" s="230">
        <v>12431</v>
      </c>
      <c r="BR20" s="230">
        <v>8589</v>
      </c>
      <c r="BS20" s="230">
        <v>3842</v>
      </c>
      <c r="BT20" s="229">
        <v>0.44729999999999998</v>
      </c>
      <c r="BU20" s="230">
        <v>20594501</v>
      </c>
      <c r="BV20" s="230">
        <v>11240422</v>
      </c>
      <c r="BW20" s="230">
        <v>9354079</v>
      </c>
      <c r="BX20" s="229">
        <v>0.83220000000000005</v>
      </c>
      <c r="BY20" s="230">
        <v>10356</v>
      </c>
      <c r="BZ20" s="230">
        <v>10756</v>
      </c>
      <c r="CA20" s="228">
        <v>-400</v>
      </c>
      <c r="CB20" s="229">
        <v>-3.7199999999999997E-2</v>
      </c>
      <c r="CC20" s="230">
        <v>10210</v>
      </c>
      <c r="CD20" s="230">
        <v>10631</v>
      </c>
      <c r="CE20" s="228">
        <v>-421</v>
      </c>
      <c r="CF20" s="229">
        <v>-3.9600000000000003E-2</v>
      </c>
      <c r="CG20" s="228">
        <v>140</v>
      </c>
      <c r="CH20" s="228">
        <v>120</v>
      </c>
      <c r="CI20" s="228">
        <v>20</v>
      </c>
      <c r="CJ20" s="229">
        <v>0.1668</v>
      </c>
      <c r="CK20" s="228">
        <v>5</v>
      </c>
      <c r="CL20" s="228">
        <v>4</v>
      </c>
      <c r="CM20" s="228">
        <v>1</v>
      </c>
      <c r="CN20" s="229">
        <v>0.21820000000000001</v>
      </c>
      <c r="CO20" s="230">
        <v>2772</v>
      </c>
      <c r="CP20" s="230">
        <v>2728</v>
      </c>
      <c r="CQ20" s="228">
        <v>44</v>
      </c>
      <c r="CR20" s="229">
        <v>1.6E-2</v>
      </c>
      <c r="CS20" s="230">
        <v>1437</v>
      </c>
      <c r="CT20" s="230">
        <v>1176</v>
      </c>
      <c r="CU20" s="228">
        <v>261</v>
      </c>
      <c r="CV20" s="229">
        <v>0.22239999999999999</v>
      </c>
      <c r="CW20" s="230">
        <v>14565</v>
      </c>
      <c r="CX20" s="230">
        <v>14659</v>
      </c>
      <c r="CY20" s="228">
        <v>-94</v>
      </c>
      <c r="CZ20" s="229">
        <v>-6.4000000000000003E-3</v>
      </c>
      <c r="DA20" s="228">
        <v>24.11</v>
      </c>
      <c r="DB20" s="228">
        <v>22.16</v>
      </c>
      <c r="DC20" s="228">
        <v>1.95</v>
      </c>
      <c r="DD20" s="228">
        <v>1.95</v>
      </c>
      <c r="DE20" s="228">
        <v>27.03</v>
      </c>
      <c r="DF20" s="228">
        <v>26.86</v>
      </c>
      <c r="DG20" s="228">
        <v>-2.92</v>
      </c>
      <c r="DH20" s="228">
        <v>0.17</v>
      </c>
      <c r="DI20" s="228">
        <v>23.51</v>
      </c>
      <c r="DJ20" s="228">
        <v>21.85</v>
      </c>
      <c r="DK20" s="228">
        <v>1.66</v>
      </c>
      <c r="DL20" s="228">
        <v>1.66</v>
      </c>
      <c r="DM20" s="228">
        <v>25</v>
      </c>
      <c r="DN20" s="228">
        <v>22.69</v>
      </c>
      <c r="DO20" s="228">
        <v>2.31</v>
      </c>
      <c r="DP20" s="228">
        <v>2.31</v>
      </c>
      <c r="DQ20" s="228">
        <v>0.52</v>
      </c>
      <c r="DR20" s="228">
        <v>0.43</v>
      </c>
      <c r="DS20" s="228">
        <v>0.09</v>
      </c>
      <c r="DT20" s="229">
        <v>0.20930000000000001</v>
      </c>
      <c r="DU20" s="231">
        <v>1160</v>
      </c>
      <c r="DV20" s="231">
        <v>1200</v>
      </c>
      <c r="DW20" s="228">
        <v>0.68</v>
      </c>
      <c r="DX20" s="228">
        <v>0.57999999999999996</v>
      </c>
      <c r="DY20" s="228">
        <v>0.1</v>
      </c>
      <c r="DZ20" s="229">
        <v>0.1724</v>
      </c>
      <c r="EA20" s="229">
        <v>1.4E-2</v>
      </c>
      <c r="EB20" s="230">
        <v>1023750</v>
      </c>
      <c r="EC20" s="229">
        <v>4.8999999999999998E-3</v>
      </c>
      <c r="ED20" s="229">
        <v>1.4E-2</v>
      </c>
      <c r="EE20" s="228">
        <v>6.89</v>
      </c>
      <c r="EF20" s="229">
        <v>5.7000000000000002E-3</v>
      </c>
      <c r="EG20" s="230">
        <v>15128737</v>
      </c>
      <c r="EH20" s="230">
        <v>7696177</v>
      </c>
      <c r="EI20" s="229">
        <v>0.9657</v>
      </c>
      <c r="EJ20" s="229">
        <v>0.73460000000000003</v>
      </c>
      <c r="EK20" s="231">
        <v>5884.4</v>
      </c>
      <c r="EL20" s="231">
        <v>3777.16</v>
      </c>
      <c r="EM20" s="231">
        <v>2811.21</v>
      </c>
      <c r="EN20" s="228">
        <v>384.73</v>
      </c>
      <c r="EO20" s="231">
        <v>12472.78</v>
      </c>
      <c r="EP20" s="231">
        <v>8491.84</v>
      </c>
      <c r="EQ20" s="231">
        <v>3980.94</v>
      </c>
      <c r="ER20" s="229">
        <v>0.46879999999999999</v>
      </c>
      <c r="ES20" s="231">
        <v>2747.46</v>
      </c>
      <c r="ET20" s="231">
        <v>1351.26</v>
      </c>
      <c r="EU20" s="231">
        <v>10356.67</v>
      </c>
      <c r="EV20" s="231">
        <v>316147681</v>
      </c>
      <c r="EW20" s="231">
        <v>14455.4</v>
      </c>
      <c r="EX20" s="231">
        <v>14273.23</v>
      </c>
      <c r="EY20" s="228">
        <v>182.17</v>
      </c>
      <c r="EZ20" s="229">
        <v>1.2800000000000001E-2</v>
      </c>
      <c r="FA20" s="229">
        <v>0.37880000000000003</v>
      </c>
      <c r="FB20" s="227" t="s">
        <v>556</v>
      </c>
      <c r="FC20">
        <f t="shared" si="0"/>
        <v>146</v>
      </c>
    </row>
    <row r="21" spans="1:159" ht="17.25" thickBot="1" x14ac:dyDescent="0.3">
      <c r="A21" s="226">
        <v>45936</v>
      </c>
      <c r="B21" s="227" t="s">
        <v>162</v>
      </c>
      <c r="C21" s="227" t="s">
        <v>174</v>
      </c>
      <c r="D21" s="228">
        <v>75</v>
      </c>
      <c r="E21" s="228">
        <v>22</v>
      </c>
      <c r="F21" s="231">
        <v>8841</v>
      </c>
      <c r="G21" s="231">
        <v>8734.5</v>
      </c>
      <c r="H21" s="228">
        <v>106.5</v>
      </c>
      <c r="I21" s="229">
        <v>1.2200000000000001E-2</v>
      </c>
      <c r="J21" s="231">
        <v>8792</v>
      </c>
      <c r="K21" s="231">
        <v>8679.5</v>
      </c>
      <c r="L21" s="228">
        <v>112.5</v>
      </c>
      <c r="M21" s="229">
        <v>1.2999999999999999E-2</v>
      </c>
      <c r="N21" s="231">
        <v>8841</v>
      </c>
      <c r="O21" s="231">
        <v>8734.5</v>
      </c>
      <c r="P21" s="228">
        <v>106.5</v>
      </c>
      <c r="Q21" s="229">
        <v>1.2200000000000001E-2</v>
      </c>
      <c r="R21" s="231">
        <v>8864.5</v>
      </c>
      <c r="S21" s="231">
        <v>8759.5</v>
      </c>
      <c r="T21" s="228">
        <v>105</v>
      </c>
      <c r="U21" s="229">
        <v>1.2E-2</v>
      </c>
      <c r="V21" s="231">
        <v>8900</v>
      </c>
      <c r="W21" s="231">
        <v>8797.5</v>
      </c>
      <c r="X21" s="228">
        <v>102.5</v>
      </c>
      <c r="Y21" s="229">
        <v>1.17E-2</v>
      </c>
      <c r="Z21" s="228">
        <v>49</v>
      </c>
      <c r="AA21" s="228">
        <v>55</v>
      </c>
      <c r="AB21" s="228">
        <v>-6</v>
      </c>
      <c r="AC21" s="229">
        <v>5.5999999999999999E-3</v>
      </c>
      <c r="AD21" s="228">
        <v>49</v>
      </c>
      <c r="AE21" s="228">
        <v>55</v>
      </c>
      <c r="AF21" s="228">
        <v>-6</v>
      </c>
      <c r="AG21" s="229">
        <v>5.5999999999999999E-3</v>
      </c>
      <c r="AH21" s="228">
        <v>72.5</v>
      </c>
      <c r="AI21" s="228">
        <v>80</v>
      </c>
      <c r="AJ21" s="228">
        <v>-7.5</v>
      </c>
      <c r="AK21" s="229">
        <v>8.2000000000000007E-3</v>
      </c>
      <c r="AL21" s="228">
        <v>108</v>
      </c>
      <c r="AM21" s="228">
        <v>118</v>
      </c>
      <c r="AN21" s="228">
        <v>-10</v>
      </c>
      <c r="AO21" s="229">
        <v>1.23E-2</v>
      </c>
      <c r="AP21" s="231">
        <v>8783.61</v>
      </c>
      <c r="AQ21" s="231">
        <v>8799.77</v>
      </c>
      <c r="AR21" s="228">
        <v>0</v>
      </c>
      <c r="AS21" s="228">
        <v>445</v>
      </c>
      <c r="AT21" s="228">
        <v>829</v>
      </c>
      <c r="AU21" s="228">
        <v>-384</v>
      </c>
      <c r="AV21" s="229">
        <v>-0.46289999999999998</v>
      </c>
      <c r="AW21" s="228">
        <v>423</v>
      </c>
      <c r="AX21" s="228">
        <v>796</v>
      </c>
      <c r="AY21" s="228">
        <v>-373</v>
      </c>
      <c r="AZ21" s="229">
        <v>-0.46850000000000003</v>
      </c>
      <c r="BA21" s="228">
        <v>19</v>
      </c>
      <c r="BB21" s="228">
        <v>29</v>
      </c>
      <c r="BC21" s="228">
        <v>-10</v>
      </c>
      <c r="BD21" s="229">
        <v>-0.34620000000000001</v>
      </c>
      <c r="BE21" s="228">
        <v>3</v>
      </c>
      <c r="BF21" s="228">
        <v>4</v>
      </c>
      <c r="BG21" s="228">
        <v>-1</v>
      </c>
      <c r="BH21" s="229">
        <v>-0.193</v>
      </c>
      <c r="BI21" s="230">
        <v>2133</v>
      </c>
      <c r="BJ21" s="230">
        <v>4591</v>
      </c>
      <c r="BK21" s="230">
        <v>-2458</v>
      </c>
      <c r="BL21" s="229">
        <v>-0.53539999999999999</v>
      </c>
      <c r="BM21" s="228">
        <v>859</v>
      </c>
      <c r="BN21" s="230">
        <v>1585</v>
      </c>
      <c r="BO21" s="228">
        <v>-725</v>
      </c>
      <c r="BP21" s="229">
        <v>-0.45779999999999998</v>
      </c>
      <c r="BQ21" s="230">
        <v>3437</v>
      </c>
      <c r="BR21" s="230">
        <v>7004</v>
      </c>
      <c r="BS21" s="230">
        <v>-3567</v>
      </c>
      <c r="BT21" s="229">
        <v>-0.50929999999999997</v>
      </c>
      <c r="BU21" s="230">
        <v>310088</v>
      </c>
      <c r="BV21" s="230">
        <v>923559</v>
      </c>
      <c r="BW21" s="230">
        <v>-613471</v>
      </c>
      <c r="BX21" s="229">
        <v>-0.66420000000000001</v>
      </c>
      <c r="BY21" s="230">
        <v>2818</v>
      </c>
      <c r="BZ21" s="230">
        <v>2905</v>
      </c>
      <c r="CA21" s="228">
        <v>-87</v>
      </c>
      <c r="CB21" s="229">
        <v>-2.9899999999999999E-2</v>
      </c>
      <c r="CC21" s="230">
        <v>2755</v>
      </c>
      <c r="CD21" s="230">
        <v>2843</v>
      </c>
      <c r="CE21" s="228">
        <v>-88</v>
      </c>
      <c r="CF21" s="229">
        <v>-3.09E-2</v>
      </c>
      <c r="CG21" s="228">
        <v>57</v>
      </c>
      <c r="CH21" s="228">
        <v>57</v>
      </c>
      <c r="CI21" s="228">
        <v>0</v>
      </c>
      <c r="CJ21" s="229">
        <v>-4.5999999999999999E-3</v>
      </c>
      <c r="CK21" s="228">
        <v>6</v>
      </c>
      <c r="CL21" s="228">
        <v>5</v>
      </c>
      <c r="CM21" s="228">
        <v>1</v>
      </c>
      <c r="CN21" s="229">
        <v>0.27139999999999997</v>
      </c>
      <c r="CO21" s="230">
        <v>1376</v>
      </c>
      <c r="CP21" s="230">
        <v>1398</v>
      </c>
      <c r="CQ21" s="228">
        <v>-22</v>
      </c>
      <c r="CR21" s="229">
        <v>-1.5599999999999999E-2</v>
      </c>
      <c r="CS21" s="228">
        <v>797</v>
      </c>
      <c r="CT21" s="228">
        <v>765</v>
      </c>
      <c r="CU21" s="228">
        <v>32</v>
      </c>
      <c r="CV21" s="229">
        <v>4.2099999999999999E-2</v>
      </c>
      <c r="CW21" s="230">
        <v>4992</v>
      </c>
      <c r="CX21" s="230">
        <v>5068</v>
      </c>
      <c r="CY21" s="228">
        <v>-76</v>
      </c>
      <c r="CZ21" s="229">
        <v>-1.5100000000000001E-2</v>
      </c>
      <c r="DA21" s="228">
        <v>24.64</v>
      </c>
      <c r="DB21" s="228">
        <v>24.03</v>
      </c>
      <c r="DC21" s="228">
        <v>0.61</v>
      </c>
      <c r="DD21" s="228">
        <v>0.61</v>
      </c>
      <c r="DE21" s="228">
        <v>30.79</v>
      </c>
      <c r="DF21" s="228">
        <v>30.82</v>
      </c>
      <c r="DG21" s="228">
        <v>-6.15</v>
      </c>
      <c r="DH21" s="228">
        <v>-0.03</v>
      </c>
      <c r="DI21" s="228">
        <v>24.41</v>
      </c>
      <c r="DJ21" s="228">
        <v>24.11</v>
      </c>
      <c r="DK21" s="228">
        <v>0.3</v>
      </c>
      <c r="DL21" s="228">
        <v>0.3</v>
      </c>
      <c r="DM21" s="228">
        <v>25.22</v>
      </c>
      <c r="DN21" s="228">
        <v>23.77</v>
      </c>
      <c r="DO21" s="228">
        <v>1.45</v>
      </c>
      <c r="DP21" s="228">
        <v>1.45</v>
      </c>
      <c r="DQ21" s="228">
        <v>0.57999999999999996</v>
      </c>
      <c r="DR21" s="228">
        <v>0.55000000000000004</v>
      </c>
      <c r="DS21" s="228">
        <v>0.03</v>
      </c>
      <c r="DT21" s="229">
        <v>5.45E-2</v>
      </c>
      <c r="DU21" s="231">
        <v>9000</v>
      </c>
      <c r="DV21" s="231">
        <v>8500</v>
      </c>
      <c r="DW21" s="228">
        <v>0.4</v>
      </c>
      <c r="DX21" s="228">
        <v>0.35</v>
      </c>
      <c r="DY21" s="228">
        <v>0.05</v>
      </c>
      <c r="DZ21" s="229">
        <v>0.1429</v>
      </c>
      <c r="EA21" s="229">
        <v>2.24E-2</v>
      </c>
      <c r="EB21" s="230">
        <v>70200</v>
      </c>
      <c r="EC21" s="229">
        <v>2.7000000000000001E-3</v>
      </c>
      <c r="ED21" s="229">
        <v>2.24E-2</v>
      </c>
      <c r="EE21" s="228">
        <v>16.16</v>
      </c>
      <c r="EF21" s="229">
        <v>1.8E-3</v>
      </c>
      <c r="EG21" s="230">
        <v>168692</v>
      </c>
      <c r="EH21" s="230">
        <v>569991</v>
      </c>
      <c r="EI21" s="229">
        <v>-0.70399999999999996</v>
      </c>
      <c r="EJ21" s="229">
        <v>0.54400000000000004</v>
      </c>
      <c r="EK21" s="231">
        <v>2213.37</v>
      </c>
      <c r="EL21" s="228">
        <v>821.62</v>
      </c>
      <c r="EM21" s="228">
        <v>442.41</v>
      </c>
      <c r="EN21" s="228">
        <v>188.32</v>
      </c>
      <c r="EO21" s="231">
        <v>3477.4</v>
      </c>
      <c r="EP21" s="231">
        <v>7069.09</v>
      </c>
      <c r="EQ21" s="231">
        <v>-3591.69</v>
      </c>
      <c r="ER21" s="229">
        <v>-0.5081</v>
      </c>
      <c r="ES21" s="231">
        <v>1440.95</v>
      </c>
      <c r="ET21" s="228">
        <v>761.96</v>
      </c>
      <c r="EU21" s="231">
        <v>2818.66</v>
      </c>
      <c r="EV21" s="231">
        <v>12547731</v>
      </c>
      <c r="EW21" s="231">
        <v>5021.57</v>
      </c>
      <c r="EX21" s="231">
        <v>5063.33</v>
      </c>
      <c r="EY21" s="228">
        <v>-41.76</v>
      </c>
      <c r="EZ21" s="229">
        <v>-8.2000000000000007E-3</v>
      </c>
      <c r="FA21" s="229">
        <v>0.45</v>
      </c>
      <c r="FB21" s="227" t="s">
        <v>556</v>
      </c>
      <c r="FC21">
        <f t="shared" si="0"/>
        <v>63</v>
      </c>
    </row>
    <row r="22" spans="1:159" ht="17.25" thickBot="1" x14ac:dyDescent="0.3">
      <c r="A22" s="226">
        <v>45936</v>
      </c>
      <c r="B22" s="227" t="s">
        <v>175</v>
      </c>
      <c r="C22" s="227" t="s">
        <v>176</v>
      </c>
      <c r="D22" s="228">
        <v>500</v>
      </c>
      <c r="E22" s="228">
        <v>22</v>
      </c>
      <c r="F22" s="231">
        <v>2042.1</v>
      </c>
      <c r="G22" s="231">
        <v>2009.2</v>
      </c>
      <c r="H22" s="228">
        <v>32.9</v>
      </c>
      <c r="I22" s="229">
        <v>1.6400000000000001E-2</v>
      </c>
      <c r="J22" s="231">
        <v>2033.2</v>
      </c>
      <c r="K22" s="231">
        <v>2000.9</v>
      </c>
      <c r="L22" s="228">
        <v>32.299999999999997</v>
      </c>
      <c r="M22" s="229">
        <v>1.61E-2</v>
      </c>
      <c r="N22" s="231">
        <v>2042.1</v>
      </c>
      <c r="O22" s="231">
        <v>2009.2</v>
      </c>
      <c r="P22" s="228">
        <v>32.9</v>
      </c>
      <c r="Q22" s="229">
        <v>1.6400000000000001E-2</v>
      </c>
      <c r="R22" s="231">
        <v>2052.4</v>
      </c>
      <c r="S22" s="231">
        <v>2019.4</v>
      </c>
      <c r="T22" s="228">
        <v>33</v>
      </c>
      <c r="U22" s="229">
        <v>1.6299999999999999E-2</v>
      </c>
      <c r="V22" s="231">
        <v>2065.9</v>
      </c>
      <c r="W22" s="231">
        <v>2029</v>
      </c>
      <c r="X22" s="228">
        <v>36.9</v>
      </c>
      <c r="Y22" s="229">
        <v>1.8200000000000001E-2</v>
      </c>
      <c r="Z22" s="228">
        <v>8.9</v>
      </c>
      <c r="AA22" s="228">
        <v>8.3000000000000007</v>
      </c>
      <c r="AB22" s="228">
        <v>0.6</v>
      </c>
      <c r="AC22" s="229">
        <v>4.4000000000000003E-3</v>
      </c>
      <c r="AD22" s="228">
        <v>8.9</v>
      </c>
      <c r="AE22" s="228">
        <v>8.3000000000000007</v>
      </c>
      <c r="AF22" s="228">
        <v>0.6</v>
      </c>
      <c r="AG22" s="229">
        <v>4.4000000000000003E-3</v>
      </c>
      <c r="AH22" s="228">
        <v>19.2</v>
      </c>
      <c r="AI22" s="228">
        <v>18.5</v>
      </c>
      <c r="AJ22" s="228">
        <v>0.7</v>
      </c>
      <c r="AK22" s="229">
        <v>9.4000000000000004E-3</v>
      </c>
      <c r="AL22" s="228">
        <v>32.700000000000003</v>
      </c>
      <c r="AM22" s="228">
        <v>28.1</v>
      </c>
      <c r="AN22" s="228">
        <v>4.5999999999999996</v>
      </c>
      <c r="AO22" s="229">
        <v>1.61E-2</v>
      </c>
      <c r="AP22" s="231">
        <v>2037.8</v>
      </c>
      <c r="AQ22" s="231">
        <v>2046.5</v>
      </c>
      <c r="AR22" s="228">
        <v>0</v>
      </c>
      <c r="AS22" s="228">
        <v>356</v>
      </c>
      <c r="AT22" s="228">
        <v>283</v>
      </c>
      <c r="AU22" s="228">
        <v>73</v>
      </c>
      <c r="AV22" s="229">
        <v>0.25779999999999997</v>
      </c>
      <c r="AW22" s="228">
        <v>328</v>
      </c>
      <c r="AX22" s="228">
        <v>263</v>
      </c>
      <c r="AY22" s="228">
        <v>66</v>
      </c>
      <c r="AZ22" s="229">
        <v>0.2495</v>
      </c>
      <c r="BA22" s="228">
        <v>25</v>
      </c>
      <c r="BB22" s="228">
        <v>19</v>
      </c>
      <c r="BC22" s="228">
        <v>7</v>
      </c>
      <c r="BD22" s="229">
        <v>0.35160000000000002</v>
      </c>
      <c r="BE22" s="228">
        <v>3</v>
      </c>
      <c r="BF22" s="228">
        <v>2</v>
      </c>
      <c r="BG22" s="228">
        <v>1</v>
      </c>
      <c r="BH22" s="229">
        <v>0.5</v>
      </c>
      <c r="BI22" s="230">
        <v>1943</v>
      </c>
      <c r="BJ22" s="230">
        <v>1040</v>
      </c>
      <c r="BK22" s="228">
        <v>903</v>
      </c>
      <c r="BL22" s="229">
        <v>0.86770000000000003</v>
      </c>
      <c r="BM22" s="228">
        <v>721</v>
      </c>
      <c r="BN22" s="228">
        <v>605</v>
      </c>
      <c r="BO22" s="228">
        <v>116</v>
      </c>
      <c r="BP22" s="229">
        <v>0.19239999999999999</v>
      </c>
      <c r="BQ22" s="230">
        <v>3020</v>
      </c>
      <c r="BR22" s="230">
        <v>1928</v>
      </c>
      <c r="BS22" s="230">
        <v>1092</v>
      </c>
      <c r="BT22" s="229">
        <v>0.56640000000000001</v>
      </c>
      <c r="BU22" s="230">
        <v>864207</v>
      </c>
      <c r="BV22" s="230">
        <v>812768</v>
      </c>
      <c r="BW22" s="230">
        <v>51439</v>
      </c>
      <c r="BX22" s="229">
        <v>6.3299999999999995E-2</v>
      </c>
      <c r="BY22" s="230">
        <v>3560</v>
      </c>
      <c r="BZ22" s="230">
        <v>3567</v>
      </c>
      <c r="CA22" s="228">
        <v>-6</v>
      </c>
      <c r="CB22" s="229">
        <v>-1.6999999999999999E-3</v>
      </c>
      <c r="CC22" s="230">
        <v>3528</v>
      </c>
      <c r="CD22" s="230">
        <v>3537</v>
      </c>
      <c r="CE22" s="228">
        <v>-9</v>
      </c>
      <c r="CF22" s="229">
        <v>-2.5000000000000001E-3</v>
      </c>
      <c r="CG22" s="228">
        <v>31</v>
      </c>
      <c r="CH22" s="228">
        <v>28</v>
      </c>
      <c r="CI22" s="228">
        <v>2</v>
      </c>
      <c r="CJ22" s="229">
        <v>8.6999999999999994E-2</v>
      </c>
      <c r="CK22" s="228">
        <v>1</v>
      </c>
      <c r="CL22" s="228">
        <v>1</v>
      </c>
      <c r="CM22" s="228">
        <v>0</v>
      </c>
      <c r="CN22" s="229">
        <v>7.6899999999999996E-2</v>
      </c>
      <c r="CO22" s="228">
        <v>713</v>
      </c>
      <c r="CP22" s="228">
        <v>615</v>
      </c>
      <c r="CQ22" s="228">
        <v>98</v>
      </c>
      <c r="CR22" s="229">
        <v>0.15939999999999999</v>
      </c>
      <c r="CS22" s="228">
        <v>525</v>
      </c>
      <c r="CT22" s="228">
        <v>439</v>
      </c>
      <c r="CU22" s="228">
        <v>86</v>
      </c>
      <c r="CV22" s="229">
        <v>0.1966</v>
      </c>
      <c r="CW22" s="230">
        <v>4798</v>
      </c>
      <c r="CX22" s="230">
        <v>4620</v>
      </c>
      <c r="CY22" s="228">
        <v>178</v>
      </c>
      <c r="CZ22" s="229">
        <v>3.85E-2</v>
      </c>
      <c r="DA22" s="228">
        <v>21.66</v>
      </c>
      <c r="DB22" s="228">
        <v>21.79</v>
      </c>
      <c r="DC22" s="228">
        <v>-0.13</v>
      </c>
      <c r="DD22" s="228">
        <v>-0.13</v>
      </c>
      <c r="DE22" s="228">
        <v>28.35</v>
      </c>
      <c r="DF22" s="228">
        <v>28.33</v>
      </c>
      <c r="DG22" s="228">
        <v>-6.69</v>
      </c>
      <c r="DH22" s="228">
        <v>0.02</v>
      </c>
      <c r="DI22" s="228">
        <v>21.26</v>
      </c>
      <c r="DJ22" s="228">
        <v>21.44</v>
      </c>
      <c r="DK22" s="228">
        <v>-0.18</v>
      </c>
      <c r="DL22" s="228">
        <v>-0.18</v>
      </c>
      <c r="DM22" s="228">
        <v>22.75</v>
      </c>
      <c r="DN22" s="228">
        <v>22.4</v>
      </c>
      <c r="DO22" s="228">
        <v>0.35</v>
      </c>
      <c r="DP22" s="228">
        <v>0.35</v>
      </c>
      <c r="DQ22" s="228">
        <v>0.74</v>
      </c>
      <c r="DR22" s="228">
        <v>0.71</v>
      </c>
      <c r="DS22" s="228">
        <v>0.03</v>
      </c>
      <c r="DT22" s="229">
        <v>4.2299999999999997E-2</v>
      </c>
      <c r="DU22" s="231">
        <v>2100</v>
      </c>
      <c r="DV22" s="231">
        <v>1800</v>
      </c>
      <c r="DW22" s="228">
        <v>0.37</v>
      </c>
      <c r="DX22" s="228">
        <v>0.57999999999999996</v>
      </c>
      <c r="DY22" s="228">
        <v>-0.21</v>
      </c>
      <c r="DZ22" s="229">
        <v>-0.36209999999999998</v>
      </c>
      <c r="EA22" s="229">
        <v>8.9999999999999993E-3</v>
      </c>
      <c r="EB22" s="230">
        <v>144500</v>
      </c>
      <c r="EC22" s="229">
        <v>5.0000000000000001E-3</v>
      </c>
      <c r="ED22" s="229">
        <v>8.9999999999999993E-3</v>
      </c>
      <c r="EE22" s="228">
        <v>8.6999999999999993</v>
      </c>
      <c r="EF22" s="229">
        <v>4.3E-3</v>
      </c>
      <c r="EG22" s="230">
        <v>351703</v>
      </c>
      <c r="EH22" s="230">
        <v>411730</v>
      </c>
      <c r="EI22" s="229">
        <v>-0.14580000000000001</v>
      </c>
      <c r="EJ22" s="229">
        <v>0.40699999999999997</v>
      </c>
      <c r="EK22" s="231">
        <v>2014.9</v>
      </c>
      <c r="EL22" s="228">
        <v>696.68</v>
      </c>
      <c r="EM22" s="228">
        <v>355.53</v>
      </c>
      <c r="EN22" s="228">
        <v>104.22</v>
      </c>
      <c r="EO22" s="231">
        <v>3067.12</v>
      </c>
      <c r="EP22" s="231">
        <v>1919.39</v>
      </c>
      <c r="EQ22" s="231">
        <v>1147.73</v>
      </c>
      <c r="ER22" s="229">
        <v>0.59799999999999998</v>
      </c>
      <c r="ES22" s="228">
        <v>738.74</v>
      </c>
      <c r="ET22" s="228">
        <v>492.45</v>
      </c>
      <c r="EU22" s="231">
        <v>3560.47</v>
      </c>
      <c r="EV22" s="231">
        <v>65659712</v>
      </c>
      <c r="EW22" s="231">
        <v>4791.66</v>
      </c>
      <c r="EX22" s="231">
        <v>4556.53</v>
      </c>
      <c r="EY22" s="228">
        <v>235.13</v>
      </c>
      <c r="EZ22" s="229">
        <v>5.16E-2</v>
      </c>
      <c r="FA22" s="229">
        <v>0.3579</v>
      </c>
      <c r="FB22" s="227" t="s">
        <v>556</v>
      </c>
      <c r="FC22">
        <f t="shared" si="0"/>
        <v>32</v>
      </c>
    </row>
    <row r="23" spans="1:159" ht="17.25" thickBot="1" x14ac:dyDescent="0.3">
      <c r="A23" s="226">
        <v>45936</v>
      </c>
      <c r="B23" s="227" t="s">
        <v>175</v>
      </c>
      <c r="C23" s="227" t="s">
        <v>177</v>
      </c>
      <c r="D23" s="228">
        <v>750</v>
      </c>
      <c r="E23" s="228">
        <v>22</v>
      </c>
      <c r="F23" s="231">
        <v>1014.9</v>
      </c>
      <c r="G23" s="228">
        <v>993.7</v>
      </c>
      <c r="H23" s="228">
        <v>21.2</v>
      </c>
      <c r="I23" s="229">
        <v>2.1299999999999999E-2</v>
      </c>
      <c r="J23" s="231">
        <v>1008.9</v>
      </c>
      <c r="K23" s="228">
        <v>989.75</v>
      </c>
      <c r="L23" s="228">
        <v>19.149999999999999</v>
      </c>
      <c r="M23" s="229">
        <v>1.9300000000000001E-2</v>
      </c>
      <c r="N23" s="231">
        <v>1014.9</v>
      </c>
      <c r="O23" s="228">
        <v>993.7</v>
      </c>
      <c r="P23" s="228">
        <v>21.2</v>
      </c>
      <c r="Q23" s="229">
        <v>2.1299999999999999E-2</v>
      </c>
      <c r="R23" s="231">
        <v>1020.5</v>
      </c>
      <c r="S23" s="228">
        <v>999.25</v>
      </c>
      <c r="T23" s="228">
        <v>21.25</v>
      </c>
      <c r="U23" s="229">
        <v>2.1299999999999999E-2</v>
      </c>
      <c r="V23" s="231">
        <v>1025.5999999999999</v>
      </c>
      <c r="W23" s="231">
        <v>1005.15</v>
      </c>
      <c r="X23" s="228">
        <v>20.45</v>
      </c>
      <c r="Y23" s="229">
        <v>2.0299999999999999E-2</v>
      </c>
      <c r="Z23" s="228">
        <v>6</v>
      </c>
      <c r="AA23" s="228">
        <v>3.95</v>
      </c>
      <c r="AB23" s="228">
        <v>2.0499999999999998</v>
      </c>
      <c r="AC23" s="229">
        <v>5.8999999999999999E-3</v>
      </c>
      <c r="AD23" s="228">
        <v>6</v>
      </c>
      <c r="AE23" s="228">
        <v>3.95</v>
      </c>
      <c r="AF23" s="228">
        <v>2.0499999999999998</v>
      </c>
      <c r="AG23" s="229">
        <v>5.8999999999999999E-3</v>
      </c>
      <c r="AH23" s="228">
        <v>11.6</v>
      </c>
      <c r="AI23" s="228">
        <v>9.5</v>
      </c>
      <c r="AJ23" s="228">
        <v>2.1</v>
      </c>
      <c r="AK23" s="229">
        <v>1.15E-2</v>
      </c>
      <c r="AL23" s="228">
        <v>16.7</v>
      </c>
      <c r="AM23" s="228">
        <v>15.4</v>
      </c>
      <c r="AN23" s="228">
        <v>1.3</v>
      </c>
      <c r="AO23" s="229">
        <v>1.66E-2</v>
      </c>
      <c r="AP23" s="231">
        <v>1015.18</v>
      </c>
      <c r="AQ23" s="231">
        <v>1020.61</v>
      </c>
      <c r="AR23" s="228">
        <v>0</v>
      </c>
      <c r="AS23" s="230">
        <v>1610</v>
      </c>
      <c r="AT23" s="228">
        <v>754</v>
      </c>
      <c r="AU23" s="228">
        <v>856</v>
      </c>
      <c r="AV23" s="229">
        <v>1.1344000000000001</v>
      </c>
      <c r="AW23" s="230">
        <v>1530</v>
      </c>
      <c r="AX23" s="228">
        <v>718</v>
      </c>
      <c r="AY23" s="228">
        <v>812</v>
      </c>
      <c r="AZ23" s="229">
        <v>1.1303000000000001</v>
      </c>
      <c r="BA23" s="228">
        <v>71</v>
      </c>
      <c r="BB23" s="228">
        <v>29</v>
      </c>
      <c r="BC23" s="228">
        <v>41</v>
      </c>
      <c r="BD23" s="229">
        <v>1.4204000000000001</v>
      </c>
      <c r="BE23" s="228">
        <v>9</v>
      </c>
      <c r="BF23" s="228">
        <v>7</v>
      </c>
      <c r="BG23" s="228">
        <v>2</v>
      </c>
      <c r="BH23" s="229">
        <v>0.35160000000000002</v>
      </c>
      <c r="BI23" s="230">
        <v>6721</v>
      </c>
      <c r="BJ23" s="230">
        <v>2029</v>
      </c>
      <c r="BK23" s="230">
        <v>4692</v>
      </c>
      <c r="BL23" s="229">
        <v>2.3123999999999998</v>
      </c>
      <c r="BM23" s="230">
        <v>2606</v>
      </c>
      <c r="BN23" s="230">
        <v>1002</v>
      </c>
      <c r="BO23" s="230">
        <v>1604</v>
      </c>
      <c r="BP23" s="229">
        <v>1.6003000000000001</v>
      </c>
      <c r="BQ23" s="230">
        <v>10937</v>
      </c>
      <c r="BR23" s="230">
        <v>3786</v>
      </c>
      <c r="BS23" s="230">
        <v>7152</v>
      </c>
      <c r="BT23" s="229">
        <v>1.8892</v>
      </c>
      <c r="BU23" s="230">
        <v>9576599</v>
      </c>
      <c r="BV23" s="230">
        <v>7797354</v>
      </c>
      <c r="BW23" s="230">
        <v>1779245</v>
      </c>
      <c r="BX23" s="229">
        <v>0.22819999999999999</v>
      </c>
      <c r="BY23" s="230">
        <v>9233</v>
      </c>
      <c r="BZ23" s="230">
        <v>9141</v>
      </c>
      <c r="CA23" s="228">
        <v>92</v>
      </c>
      <c r="CB23" s="229">
        <v>1.01E-2</v>
      </c>
      <c r="CC23" s="230">
        <v>9134</v>
      </c>
      <c r="CD23" s="230">
        <v>9047</v>
      </c>
      <c r="CE23" s="228">
        <v>88</v>
      </c>
      <c r="CF23" s="229">
        <v>9.7000000000000003E-3</v>
      </c>
      <c r="CG23" s="228">
        <v>91</v>
      </c>
      <c r="CH23" s="228">
        <v>88</v>
      </c>
      <c r="CI23" s="228">
        <v>3</v>
      </c>
      <c r="CJ23" s="229">
        <v>3.5499999999999997E-2</v>
      </c>
      <c r="CK23" s="228">
        <v>7</v>
      </c>
      <c r="CL23" s="228">
        <v>6</v>
      </c>
      <c r="CM23" s="228">
        <v>1</v>
      </c>
      <c r="CN23" s="229">
        <v>0.23680000000000001</v>
      </c>
      <c r="CO23" s="230">
        <v>1827</v>
      </c>
      <c r="CP23" s="230">
        <v>1487</v>
      </c>
      <c r="CQ23" s="228">
        <v>340</v>
      </c>
      <c r="CR23" s="229">
        <v>0.22889999999999999</v>
      </c>
      <c r="CS23" s="230">
        <v>1173</v>
      </c>
      <c r="CT23" s="230">
        <v>1068</v>
      </c>
      <c r="CU23" s="228">
        <v>105</v>
      </c>
      <c r="CV23" s="229">
        <v>9.8400000000000001E-2</v>
      </c>
      <c r="CW23" s="230">
        <v>12233</v>
      </c>
      <c r="CX23" s="230">
        <v>11696</v>
      </c>
      <c r="CY23" s="228">
        <v>538</v>
      </c>
      <c r="CZ23" s="229">
        <v>4.5999999999999999E-2</v>
      </c>
      <c r="DA23" s="228">
        <v>25.27</v>
      </c>
      <c r="DB23" s="228">
        <v>25.19</v>
      </c>
      <c r="DC23" s="228">
        <v>0.08</v>
      </c>
      <c r="DD23" s="228">
        <v>0.08</v>
      </c>
      <c r="DE23" s="228">
        <v>31.4</v>
      </c>
      <c r="DF23" s="228">
        <v>31.37</v>
      </c>
      <c r="DG23" s="228">
        <v>-6.13</v>
      </c>
      <c r="DH23" s="228">
        <v>0.03</v>
      </c>
      <c r="DI23" s="228">
        <v>25.14</v>
      </c>
      <c r="DJ23" s="228">
        <v>25.14</v>
      </c>
      <c r="DK23" s="228">
        <v>0</v>
      </c>
      <c r="DL23" s="228">
        <v>0</v>
      </c>
      <c r="DM23" s="228">
        <v>25.61</v>
      </c>
      <c r="DN23" s="228">
        <v>25.29</v>
      </c>
      <c r="DO23" s="228">
        <v>0.32</v>
      </c>
      <c r="DP23" s="228">
        <v>0.32</v>
      </c>
      <c r="DQ23" s="228">
        <v>0.64</v>
      </c>
      <c r="DR23" s="228">
        <v>0.72</v>
      </c>
      <c r="DS23" s="228">
        <v>-0.08</v>
      </c>
      <c r="DT23" s="229">
        <v>-0.1111</v>
      </c>
      <c r="DU23" s="231">
        <v>1100</v>
      </c>
      <c r="DV23" s="231">
        <v>1000</v>
      </c>
      <c r="DW23" s="228">
        <v>0.39</v>
      </c>
      <c r="DX23" s="228">
        <v>0.49</v>
      </c>
      <c r="DY23" s="228">
        <v>-0.1</v>
      </c>
      <c r="DZ23" s="229">
        <v>-0.2041</v>
      </c>
      <c r="EA23" s="229">
        <v>1.06E-2</v>
      </c>
      <c r="EB23" s="230">
        <v>924000</v>
      </c>
      <c r="EC23" s="229">
        <v>5.4999999999999997E-3</v>
      </c>
      <c r="ED23" s="229">
        <v>1.06E-2</v>
      </c>
      <c r="EE23" s="228">
        <v>5.43</v>
      </c>
      <c r="EF23" s="229">
        <v>5.3E-3</v>
      </c>
      <c r="EG23" s="230">
        <v>4492276</v>
      </c>
      <c r="EH23" s="230">
        <v>4875520</v>
      </c>
      <c r="EI23" s="229">
        <v>-7.8600000000000003E-2</v>
      </c>
      <c r="EJ23" s="229">
        <v>0.46910000000000002</v>
      </c>
      <c r="EK23" s="231">
        <v>6984.34</v>
      </c>
      <c r="EL23" s="231">
        <v>2549.7199999999998</v>
      </c>
      <c r="EM23" s="231">
        <v>1611.11</v>
      </c>
      <c r="EN23" s="228">
        <v>239.29</v>
      </c>
      <c r="EO23" s="231">
        <v>11145.16</v>
      </c>
      <c r="EP23" s="231">
        <v>3775.5</v>
      </c>
      <c r="EQ23" s="231">
        <v>7369.67</v>
      </c>
      <c r="ER23" s="229">
        <v>1.952</v>
      </c>
      <c r="ES23" s="231">
        <v>1880.08</v>
      </c>
      <c r="ET23" s="231">
        <v>1111</v>
      </c>
      <c r="EU23" s="231">
        <v>9233.25</v>
      </c>
      <c r="EV23" s="231">
        <v>281116345</v>
      </c>
      <c r="EW23" s="231">
        <v>12224.32</v>
      </c>
      <c r="EX23" s="231">
        <v>11478.52</v>
      </c>
      <c r="EY23" s="228">
        <v>745.8</v>
      </c>
      <c r="EZ23" s="229">
        <v>6.5000000000000002E-2</v>
      </c>
      <c r="FA23" s="229">
        <v>0.42880000000000001</v>
      </c>
      <c r="FB23" s="227" t="s">
        <v>555</v>
      </c>
      <c r="FC23">
        <f t="shared" si="0"/>
        <v>99</v>
      </c>
    </row>
    <row r="24" spans="1:159" ht="17.25" thickBot="1" x14ac:dyDescent="0.3">
      <c r="A24" s="226">
        <v>45936</v>
      </c>
      <c r="B24" s="227" t="s">
        <v>172</v>
      </c>
      <c r="C24" s="227" t="s">
        <v>179</v>
      </c>
      <c r="D24" s="228">
        <v>3600</v>
      </c>
      <c r="E24" s="228">
        <v>22</v>
      </c>
      <c r="F24" s="228">
        <v>165.9</v>
      </c>
      <c r="G24" s="228">
        <v>166.77</v>
      </c>
      <c r="H24" s="228">
        <v>-0.87</v>
      </c>
      <c r="I24" s="229">
        <v>-5.1999999999999998E-3</v>
      </c>
      <c r="J24" s="228">
        <v>164.79</v>
      </c>
      <c r="K24" s="228">
        <v>165.96</v>
      </c>
      <c r="L24" s="228">
        <v>-1.17</v>
      </c>
      <c r="M24" s="229">
        <v>-7.0000000000000001E-3</v>
      </c>
      <c r="N24" s="228">
        <v>165.9</v>
      </c>
      <c r="O24" s="228">
        <v>166.77</v>
      </c>
      <c r="P24" s="228">
        <v>-0.87</v>
      </c>
      <c r="Q24" s="229">
        <v>-5.1999999999999998E-3</v>
      </c>
      <c r="R24" s="228">
        <v>166.95</v>
      </c>
      <c r="S24" s="228">
        <v>167.73</v>
      </c>
      <c r="T24" s="228">
        <v>-0.78</v>
      </c>
      <c r="U24" s="229">
        <v>-4.7000000000000002E-3</v>
      </c>
      <c r="V24" s="228">
        <v>167.79</v>
      </c>
      <c r="W24" s="228">
        <v>168.53</v>
      </c>
      <c r="X24" s="228">
        <v>-0.74</v>
      </c>
      <c r="Y24" s="229">
        <v>-4.4000000000000003E-3</v>
      </c>
      <c r="Z24" s="228">
        <v>1.1100000000000001</v>
      </c>
      <c r="AA24" s="228">
        <v>0.81</v>
      </c>
      <c r="AB24" s="228">
        <v>0.3</v>
      </c>
      <c r="AC24" s="229">
        <v>6.7000000000000002E-3</v>
      </c>
      <c r="AD24" s="228">
        <v>1.1100000000000001</v>
      </c>
      <c r="AE24" s="228">
        <v>0.81</v>
      </c>
      <c r="AF24" s="228">
        <v>0.3</v>
      </c>
      <c r="AG24" s="229">
        <v>6.7000000000000002E-3</v>
      </c>
      <c r="AH24" s="228">
        <v>2.16</v>
      </c>
      <c r="AI24" s="228">
        <v>1.77</v>
      </c>
      <c r="AJ24" s="228">
        <v>0.39</v>
      </c>
      <c r="AK24" s="229">
        <v>1.3100000000000001E-2</v>
      </c>
      <c r="AL24" s="228">
        <v>3</v>
      </c>
      <c r="AM24" s="228">
        <v>2.57</v>
      </c>
      <c r="AN24" s="228">
        <v>0.43</v>
      </c>
      <c r="AO24" s="229">
        <v>1.8200000000000001E-2</v>
      </c>
      <c r="AP24" s="228">
        <v>166.19</v>
      </c>
      <c r="AQ24" s="228">
        <v>167.13</v>
      </c>
      <c r="AR24" s="228">
        <v>0</v>
      </c>
      <c r="AS24" s="228">
        <v>232</v>
      </c>
      <c r="AT24" s="228">
        <v>407</v>
      </c>
      <c r="AU24" s="228">
        <v>-175</v>
      </c>
      <c r="AV24" s="229">
        <v>-0.42920000000000003</v>
      </c>
      <c r="AW24" s="228">
        <v>219</v>
      </c>
      <c r="AX24" s="228">
        <v>376</v>
      </c>
      <c r="AY24" s="228">
        <v>-157</v>
      </c>
      <c r="AZ24" s="229">
        <v>-0.41810000000000003</v>
      </c>
      <c r="BA24" s="228">
        <v>10</v>
      </c>
      <c r="BB24" s="228">
        <v>28</v>
      </c>
      <c r="BC24" s="228">
        <v>-18</v>
      </c>
      <c r="BD24" s="229">
        <v>-0.64219999999999999</v>
      </c>
      <c r="BE24" s="228">
        <v>3</v>
      </c>
      <c r="BF24" s="228">
        <v>3</v>
      </c>
      <c r="BG24" s="228">
        <v>0</v>
      </c>
      <c r="BH24" s="229">
        <v>0.13730000000000001</v>
      </c>
      <c r="BI24" s="228">
        <v>326</v>
      </c>
      <c r="BJ24" s="228">
        <v>619</v>
      </c>
      <c r="BK24" s="228">
        <v>-293</v>
      </c>
      <c r="BL24" s="229">
        <v>-0.47320000000000001</v>
      </c>
      <c r="BM24" s="228">
        <v>138</v>
      </c>
      <c r="BN24" s="228">
        <v>315</v>
      </c>
      <c r="BO24" s="228">
        <v>-177</v>
      </c>
      <c r="BP24" s="229">
        <v>-0.56089999999999995</v>
      </c>
      <c r="BQ24" s="228">
        <v>697</v>
      </c>
      <c r="BR24" s="230">
        <v>1341</v>
      </c>
      <c r="BS24" s="228">
        <v>-644</v>
      </c>
      <c r="BT24" s="229">
        <v>-0.48049999999999998</v>
      </c>
      <c r="BU24" s="230">
        <v>6359295</v>
      </c>
      <c r="BV24" s="230">
        <v>8202370</v>
      </c>
      <c r="BW24" s="230">
        <v>-1843075</v>
      </c>
      <c r="BX24" s="229">
        <v>-0.22470000000000001</v>
      </c>
      <c r="BY24" s="230">
        <v>1578</v>
      </c>
      <c r="BZ24" s="230">
        <v>1560</v>
      </c>
      <c r="CA24" s="228">
        <v>18</v>
      </c>
      <c r="CB24" s="229">
        <v>1.17E-2</v>
      </c>
      <c r="CC24" s="230">
        <v>1498</v>
      </c>
      <c r="CD24" s="230">
        <v>1485</v>
      </c>
      <c r="CE24" s="228">
        <v>14</v>
      </c>
      <c r="CF24" s="229">
        <v>9.1999999999999998E-3</v>
      </c>
      <c r="CG24" s="228">
        <v>75</v>
      </c>
      <c r="CH24" s="228">
        <v>72</v>
      </c>
      <c r="CI24" s="228">
        <v>3</v>
      </c>
      <c r="CJ24" s="229">
        <v>3.7999999999999999E-2</v>
      </c>
      <c r="CK24" s="228">
        <v>4</v>
      </c>
      <c r="CL24" s="228">
        <v>3</v>
      </c>
      <c r="CM24" s="228">
        <v>2</v>
      </c>
      <c r="CN24" s="229">
        <v>0.73809999999999998</v>
      </c>
      <c r="CO24" s="228">
        <v>417</v>
      </c>
      <c r="CP24" s="228">
        <v>392</v>
      </c>
      <c r="CQ24" s="228">
        <v>25</v>
      </c>
      <c r="CR24" s="229">
        <v>6.3899999999999998E-2</v>
      </c>
      <c r="CS24" s="228">
        <v>368</v>
      </c>
      <c r="CT24" s="228">
        <v>356</v>
      </c>
      <c r="CU24" s="228">
        <v>13</v>
      </c>
      <c r="CV24" s="229">
        <v>3.5900000000000001E-2</v>
      </c>
      <c r="CW24" s="230">
        <v>2363</v>
      </c>
      <c r="CX24" s="230">
        <v>2307</v>
      </c>
      <c r="CY24" s="228">
        <v>56</v>
      </c>
      <c r="CZ24" s="229">
        <v>2.4299999999999999E-2</v>
      </c>
      <c r="DA24" s="228">
        <v>33.85</v>
      </c>
      <c r="DB24" s="228">
        <v>33.04</v>
      </c>
      <c r="DC24" s="228">
        <v>0.81</v>
      </c>
      <c r="DD24" s="228">
        <v>0.81</v>
      </c>
      <c r="DE24" s="228">
        <v>42.04</v>
      </c>
      <c r="DF24" s="228">
        <v>42.14</v>
      </c>
      <c r="DG24" s="228">
        <v>-8.19</v>
      </c>
      <c r="DH24" s="228">
        <v>-0.1</v>
      </c>
      <c r="DI24" s="228">
        <v>33.71</v>
      </c>
      <c r="DJ24" s="228">
        <v>32.39</v>
      </c>
      <c r="DK24" s="228">
        <v>1.32</v>
      </c>
      <c r="DL24" s="228">
        <v>1.32</v>
      </c>
      <c r="DM24" s="228">
        <v>34.18</v>
      </c>
      <c r="DN24" s="228">
        <v>34.32</v>
      </c>
      <c r="DO24" s="228">
        <v>-0.14000000000000001</v>
      </c>
      <c r="DP24" s="228">
        <v>-0.14000000000000001</v>
      </c>
      <c r="DQ24" s="228">
        <v>0.88</v>
      </c>
      <c r="DR24" s="228">
        <v>0.91</v>
      </c>
      <c r="DS24" s="228">
        <v>-0.03</v>
      </c>
      <c r="DT24" s="229">
        <v>-3.3000000000000002E-2</v>
      </c>
      <c r="DU24" s="228">
        <v>170</v>
      </c>
      <c r="DV24" s="228">
        <v>150</v>
      </c>
      <c r="DW24" s="228">
        <v>0.42</v>
      </c>
      <c r="DX24" s="228">
        <v>0.51</v>
      </c>
      <c r="DY24" s="228">
        <v>-0.09</v>
      </c>
      <c r="DZ24" s="229">
        <v>-0.17649999999999999</v>
      </c>
      <c r="EA24" s="229">
        <v>5.0299999999999997E-2</v>
      </c>
      <c r="EB24" s="230">
        <v>4507200</v>
      </c>
      <c r="EC24" s="229">
        <v>6.3E-3</v>
      </c>
      <c r="ED24" s="229">
        <v>5.0299999999999997E-2</v>
      </c>
      <c r="EE24" s="228">
        <v>0.94</v>
      </c>
      <c r="EF24" s="229">
        <v>5.7000000000000002E-3</v>
      </c>
      <c r="EG24" s="230">
        <v>3082210</v>
      </c>
      <c r="EH24" s="230">
        <v>3503908</v>
      </c>
      <c r="EI24" s="229">
        <v>-0.12039999999999999</v>
      </c>
      <c r="EJ24" s="229">
        <v>0.48470000000000002</v>
      </c>
      <c r="EK24" s="228">
        <v>344.24</v>
      </c>
      <c r="EL24" s="228">
        <v>138.74</v>
      </c>
      <c r="EM24" s="228">
        <v>232.71</v>
      </c>
      <c r="EN24" s="228">
        <v>117.63</v>
      </c>
      <c r="EO24" s="228">
        <v>715.69</v>
      </c>
      <c r="EP24" s="231">
        <v>1364.76</v>
      </c>
      <c r="EQ24" s="228">
        <v>-649.08000000000004</v>
      </c>
      <c r="ER24" s="229">
        <v>-0.47560000000000002</v>
      </c>
      <c r="ES24" s="228">
        <v>429.22</v>
      </c>
      <c r="ET24" s="228">
        <v>352.04</v>
      </c>
      <c r="EU24" s="231">
        <v>1578.37</v>
      </c>
      <c r="EV24" s="231">
        <v>142752962</v>
      </c>
      <c r="EW24" s="231">
        <v>2359.63</v>
      </c>
      <c r="EX24" s="231">
        <v>2310.5300000000002</v>
      </c>
      <c r="EY24" s="228">
        <v>49.1</v>
      </c>
      <c r="EZ24" s="229">
        <v>2.1299999999999999E-2</v>
      </c>
      <c r="FA24" s="229">
        <v>0.99770000000000003</v>
      </c>
      <c r="FB24" s="227" t="s">
        <v>567</v>
      </c>
      <c r="FC24">
        <f t="shared" si="0"/>
        <v>80</v>
      </c>
    </row>
    <row r="25" spans="1:159" ht="17.25" thickBot="1" x14ac:dyDescent="0.3">
      <c r="A25" s="226">
        <v>45936</v>
      </c>
      <c r="B25" s="227" t="s">
        <v>172</v>
      </c>
      <c r="C25" s="227" t="s">
        <v>180</v>
      </c>
      <c r="D25" s="228">
        <v>2925</v>
      </c>
      <c r="E25" s="228">
        <v>22</v>
      </c>
      <c r="F25" s="228">
        <v>267.60000000000002</v>
      </c>
      <c r="G25" s="228">
        <v>265.64999999999998</v>
      </c>
      <c r="H25" s="228">
        <v>1.95</v>
      </c>
      <c r="I25" s="229">
        <v>7.3000000000000001E-3</v>
      </c>
      <c r="J25" s="228">
        <v>266.60000000000002</v>
      </c>
      <c r="K25" s="228">
        <v>263.95</v>
      </c>
      <c r="L25" s="228">
        <v>2.65</v>
      </c>
      <c r="M25" s="229">
        <v>0.01</v>
      </c>
      <c r="N25" s="228">
        <v>267.60000000000002</v>
      </c>
      <c r="O25" s="228">
        <v>265.64999999999998</v>
      </c>
      <c r="P25" s="228">
        <v>1.95</v>
      </c>
      <c r="Q25" s="229">
        <v>7.3000000000000001E-3</v>
      </c>
      <c r="R25" s="228">
        <v>269</v>
      </c>
      <c r="S25" s="228">
        <v>267.05</v>
      </c>
      <c r="T25" s="228">
        <v>1.95</v>
      </c>
      <c r="U25" s="229">
        <v>7.3000000000000001E-3</v>
      </c>
      <c r="V25" s="228">
        <v>270.2</v>
      </c>
      <c r="W25" s="228">
        <v>268.45</v>
      </c>
      <c r="X25" s="228">
        <v>1.75</v>
      </c>
      <c r="Y25" s="229">
        <v>6.4999999999999997E-3</v>
      </c>
      <c r="Z25" s="228">
        <v>1</v>
      </c>
      <c r="AA25" s="228">
        <v>1.7</v>
      </c>
      <c r="AB25" s="228">
        <v>-0.7</v>
      </c>
      <c r="AC25" s="229">
        <v>3.8E-3</v>
      </c>
      <c r="AD25" s="228">
        <v>1</v>
      </c>
      <c r="AE25" s="228">
        <v>1.7</v>
      </c>
      <c r="AF25" s="228">
        <v>-0.7</v>
      </c>
      <c r="AG25" s="229">
        <v>3.8E-3</v>
      </c>
      <c r="AH25" s="228">
        <v>2.4</v>
      </c>
      <c r="AI25" s="228">
        <v>3.1</v>
      </c>
      <c r="AJ25" s="228">
        <v>-0.7</v>
      </c>
      <c r="AK25" s="229">
        <v>8.9999999999999993E-3</v>
      </c>
      <c r="AL25" s="228">
        <v>3.6</v>
      </c>
      <c r="AM25" s="228">
        <v>4.5</v>
      </c>
      <c r="AN25" s="228">
        <v>-0.9</v>
      </c>
      <c r="AO25" s="229">
        <v>1.35E-2</v>
      </c>
      <c r="AP25" s="228">
        <v>268.86</v>
      </c>
      <c r="AQ25" s="228">
        <v>270.33999999999997</v>
      </c>
      <c r="AR25" s="228">
        <v>0</v>
      </c>
      <c r="AS25" s="228">
        <v>900</v>
      </c>
      <c r="AT25" s="228">
        <v>771</v>
      </c>
      <c r="AU25" s="228">
        <v>129</v>
      </c>
      <c r="AV25" s="229">
        <v>0.16669999999999999</v>
      </c>
      <c r="AW25" s="228">
        <v>866</v>
      </c>
      <c r="AX25" s="228">
        <v>730</v>
      </c>
      <c r="AY25" s="228">
        <v>136</v>
      </c>
      <c r="AZ25" s="229">
        <v>0.186</v>
      </c>
      <c r="BA25" s="228">
        <v>29</v>
      </c>
      <c r="BB25" s="228">
        <v>37</v>
      </c>
      <c r="BC25" s="228">
        <v>-8</v>
      </c>
      <c r="BD25" s="229">
        <v>-0.22589999999999999</v>
      </c>
      <c r="BE25" s="228">
        <v>5</v>
      </c>
      <c r="BF25" s="228">
        <v>4</v>
      </c>
      <c r="BG25" s="228">
        <v>1</v>
      </c>
      <c r="BH25" s="229">
        <v>0.32650000000000001</v>
      </c>
      <c r="BI25" s="230">
        <v>2277</v>
      </c>
      <c r="BJ25" s="230">
        <v>1971</v>
      </c>
      <c r="BK25" s="228">
        <v>306</v>
      </c>
      <c r="BL25" s="229">
        <v>0.1552</v>
      </c>
      <c r="BM25" s="230">
        <v>1295</v>
      </c>
      <c r="BN25" s="230">
        <v>1206</v>
      </c>
      <c r="BO25" s="228">
        <v>89</v>
      </c>
      <c r="BP25" s="229">
        <v>7.3800000000000004E-2</v>
      </c>
      <c r="BQ25" s="230">
        <v>4472</v>
      </c>
      <c r="BR25" s="230">
        <v>3948</v>
      </c>
      <c r="BS25" s="228">
        <v>523</v>
      </c>
      <c r="BT25" s="229">
        <v>0.1326</v>
      </c>
      <c r="BU25" s="230">
        <v>15233907</v>
      </c>
      <c r="BV25" s="230">
        <v>13390132</v>
      </c>
      <c r="BW25" s="230">
        <v>1843775</v>
      </c>
      <c r="BX25" s="229">
        <v>0.13769999999999999</v>
      </c>
      <c r="BY25" s="230">
        <v>3512</v>
      </c>
      <c r="BZ25" s="230">
        <v>3531</v>
      </c>
      <c r="CA25" s="228">
        <v>-19</v>
      </c>
      <c r="CB25" s="229">
        <v>-5.3E-3</v>
      </c>
      <c r="CC25" s="230">
        <v>3455</v>
      </c>
      <c r="CD25" s="230">
        <v>3476</v>
      </c>
      <c r="CE25" s="228">
        <v>-21</v>
      </c>
      <c r="CF25" s="229">
        <v>-5.8999999999999999E-3</v>
      </c>
      <c r="CG25" s="228">
        <v>53</v>
      </c>
      <c r="CH25" s="228">
        <v>52</v>
      </c>
      <c r="CI25" s="228">
        <v>0</v>
      </c>
      <c r="CJ25" s="229">
        <v>6.0000000000000001E-3</v>
      </c>
      <c r="CK25" s="228">
        <v>5</v>
      </c>
      <c r="CL25" s="228">
        <v>3</v>
      </c>
      <c r="CM25" s="228">
        <v>2</v>
      </c>
      <c r="CN25" s="229">
        <v>0.57889999999999997</v>
      </c>
      <c r="CO25" s="228">
        <v>865</v>
      </c>
      <c r="CP25" s="228">
        <v>773</v>
      </c>
      <c r="CQ25" s="228">
        <v>92</v>
      </c>
      <c r="CR25" s="229">
        <v>0.1186</v>
      </c>
      <c r="CS25" s="228">
        <v>800</v>
      </c>
      <c r="CT25" s="228">
        <v>765</v>
      </c>
      <c r="CU25" s="228">
        <v>35</v>
      </c>
      <c r="CV25" s="229">
        <v>4.5199999999999997E-2</v>
      </c>
      <c r="CW25" s="230">
        <v>5178</v>
      </c>
      <c r="CX25" s="230">
        <v>5070</v>
      </c>
      <c r="CY25" s="228">
        <v>108</v>
      </c>
      <c r="CZ25" s="229">
        <v>2.1299999999999999E-2</v>
      </c>
      <c r="DA25" s="228">
        <v>26.04</v>
      </c>
      <c r="DB25" s="228">
        <v>25.67</v>
      </c>
      <c r="DC25" s="228">
        <v>0.37</v>
      </c>
      <c r="DD25" s="228">
        <v>0.37</v>
      </c>
      <c r="DE25" s="228">
        <v>35.82</v>
      </c>
      <c r="DF25" s="228">
        <v>35.89</v>
      </c>
      <c r="DG25" s="228">
        <v>-9.7799999999999994</v>
      </c>
      <c r="DH25" s="228">
        <v>-7.0000000000000007E-2</v>
      </c>
      <c r="DI25" s="228">
        <v>25.89</v>
      </c>
      <c r="DJ25" s="228">
        <v>25.21</v>
      </c>
      <c r="DK25" s="228">
        <v>0.68</v>
      </c>
      <c r="DL25" s="228">
        <v>0.68</v>
      </c>
      <c r="DM25" s="228">
        <v>26.31</v>
      </c>
      <c r="DN25" s="228">
        <v>26.44</v>
      </c>
      <c r="DO25" s="228">
        <v>-0.13</v>
      </c>
      <c r="DP25" s="228">
        <v>-0.13</v>
      </c>
      <c r="DQ25" s="228">
        <v>0.92</v>
      </c>
      <c r="DR25" s="228">
        <v>0.99</v>
      </c>
      <c r="DS25" s="228">
        <v>-7.0000000000000007E-2</v>
      </c>
      <c r="DT25" s="229">
        <v>-7.0699999999999999E-2</v>
      </c>
      <c r="DU25" s="228">
        <v>270</v>
      </c>
      <c r="DV25" s="228">
        <v>240</v>
      </c>
      <c r="DW25" s="228">
        <v>0.56999999999999995</v>
      </c>
      <c r="DX25" s="228">
        <v>0.61</v>
      </c>
      <c r="DY25" s="228">
        <v>-0.04</v>
      </c>
      <c r="DZ25" s="229">
        <v>-6.5600000000000006E-2</v>
      </c>
      <c r="EA25" s="229">
        <v>1.6299999999999999E-2</v>
      </c>
      <c r="EB25" s="230">
        <v>2067975</v>
      </c>
      <c r="EC25" s="229">
        <v>5.1999999999999998E-3</v>
      </c>
      <c r="ED25" s="229">
        <v>1.6299999999999999E-2</v>
      </c>
      <c r="EE25" s="228">
        <v>1.48</v>
      </c>
      <c r="EF25" s="229">
        <v>5.4999999999999997E-3</v>
      </c>
      <c r="EG25" s="230">
        <v>7007460</v>
      </c>
      <c r="EH25" s="230">
        <v>6559187</v>
      </c>
      <c r="EI25" s="229">
        <v>6.83E-2</v>
      </c>
      <c r="EJ25" s="229">
        <v>0.46</v>
      </c>
      <c r="EK25" s="231">
        <v>2364.25</v>
      </c>
      <c r="EL25" s="231">
        <v>1287.49</v>
      </c>
      <c r="EM25" s="228">
        <v>904.12</v>
      </c>
      <c r="EN25" s="228">
        <v>150.11000000000001</v>
      </c>
      <c r="EO25" s="231">
        <v>4555.8599999999997</v>
      </c>
      <c r="EP25" s="231">
        <v>3957.56</v>
      </c>
      <c r="EQ25" s="228">
        <v>598.30999999999995</v>
      </c>
      <c r="ER25" s="229">
        <v>0.1512</v>
      </c>
      <c r="ES25" s="228">
        <v>859.41</v>
      </c>
      <c r="ET25" s="228">
        <v>758.36</v>
      </c>
      <c r="EU25" s="231">
        <v>3512.74</v>
      </c>
      <c r="EV25" s="231">
        <v>257509827</v>
      </c>
      <c r="EW25" s="231">
        <v>5130.51</v>
      </c>
      <c r="EX25" s="231">
        <v>4989.9399999999996</v>
      </c>
      <c r="EY25" s="228">
        <v>140.57</v>
      </c>
      <c r="EZ25" s="229">
        <v>2.8199999999999999E-2</v>
      </c>
      <c r="FA25" s="229">
        <v>0.75139999999999996</v>
      </c>
      <c r="FB25" s="227" t="s">
        <v>556</v>
      </c>
      <c r="FC25">
        <f t="shared" si="0"/>
        <v>57</v>
      </c>
    </row>
    <row r="26" spans="1:159" ht="17.25" thickBot="1" x14ac:dyDescent="0.3">
      <c r="A26" s="226">
        <v>45936</v>
      </c>
      <c r="B26" s="227" t="s">
        <v>172</v>
      </c>
      <c r="C26" s="227" t="s">
        <v>603</v>
      </c>
      <c r="D26" s="228">
        <v>5200</v>
      </c>
      <c r="E26" s="228">
        <v>22</v>
      </c>
      <c r="F26" s="228">
        <v>126.86</v>
      </c>
      <c r="G26" s="228">
        <v>126.34</v>
      </c>
      <c r="H26" s="228">
        <v>0.52</v>
      </c>
      <c r="I26" s="229">
        <v>4.1000000000000003E-3</v>
      </c>
      <c r="J26" s="228">
        <v>126.04</v>
      </c>
      <c r="K26" s="228">
        <v>125.53</v>
      </c>
      <c r="L26" s="228">
        <v>0.51</v>
      </c>
      <c r="M26" s="229">
        <v>4.1000000000000003E-3</v>
      </c>
      <c r="N26" s="228">
        <v>126.86</v>
      </c>
      <c r="O26" s="228">
        <v>126.34</v>
      </c>
      <c r="P26" s="228">
        <v>0.52</v>
      </c>
      <c r="Q26" s="229">
        <v>4.1000000000000003E-3</v>
      </c>
      <c r="R26" s="228">
        <v>127.47</v>
      </c>
      <c r="S26" s="228">
        <v>126.99</v>
      </c>
      <c r="T26" s="228">
        <v>0.48</v>
      </c>
      <c r="U26" s="229">
        <v>3.8E-3</v>
      </c>
      <c r="V26" s="228">
        <v>128.02000000000001</v>
      </c>
      <c r="W26" s="228">
        <v>127.6</v>
      </c>
      <c r="X26" s="228">
        <v>0.42</v>
      </c>
      <c r="Y26" s="229">
        <v>3.3E-3</v>
      </c>
      <c r="Z26" s="228">
        <v>0.82</v>
      </c>
      <c r="AA26" s="228">
        <v>0.81</v>
      </c>
      <c r="AB26" s="228">
        <v>0.01</v>
      </c>
      <c r="AC26" s="229">
        <v>6.4999999999999997E-3</v>
      </c>
      <c r="AD26" s="228">
        <v>0.82</v>
      </c>
      <c r="AE26" s="228">
        <v>0.81</v>
      </c>
      <c r="AF26" s="228">
        <v>0.01</v>
      </c>
      <c r="AG26" s="229">
        <v>6.4999999999999997E-3</v>
      </c>
      <c r="AH26" s="228">
        <v>1.43</v>
      </c>
      <c r="AI26" s="228">
        <v>1.46</v>
      </c>
      <c r="AJ26" s="228">
        <v>-0.03</v>
      </c>
      <c r="AK26" s="229">
        <v>1.1299999999999999E-2</v>
      </c>
      <c r="AL26" s="228">
        <v>1.98</v>
      </c>
      <c r="AM26" s="228">
        <v>2.0699999999999998</v>
      </c>
      <c r="AN26" s="228">
        <v>-0.09</v>
      </c>
      <c r="AO26" s="229">
        <v>1.5699999999999999E-2</v>
      </c>
      <c r="AP26" s="228">
        <v>126.05</v>
      </c>
      <c r="AQ26" s="228">
        <v>126.84</v>
      </c>
      <c r="AR26" s="228">
        <v>0</v>
      </c>
      <c r="AS26" s="228">
        <v>187</v>
      </c>
      <c r="AT26" s="228">
        <v>202</v>
      </c>
      <c r="AU26" s="228">
        <v>-15</v>
      </c>
      <c r="AV26" s="229">
        <v>-7.6399999999999996E-2</v>
      </c>
      <c r="AW26" s="228">
        <v>178</v>
      </c>
      <c r="AX26" s="228">
        <v>189</v>
      </c>
      <c r="AY26" s="228">
        <v>-12</v>
      </c>
      <c r="AZ26" s="229">
        <v>-6.0999999999999999E-2</v>
      </c>
      <c r="BA26" s="228">
        <v>8</v>
      </c>
      <c r="BB26" s="228">
        <v>11</v>
      </c>
      <c r="BC26" s="228">
        <v>-3</v>
      </c>
      <c r="BD26" s="229">
        <v>-0.28820000000000001</v>
      </c>
      <c r="BE26" s="228">
        <v>1</v>
      </c>
      <c r="BF26" s="228">
        <v>2</v>
      </c>
      <c r="BG26" s="228">
        <v>-1</v>
      </c>
      <c r="BH26" s="229">
        <v>-0.41670000000000001</v>
      </c>
      <c r="BI26" s="228">
        <v>218</v>
      </c>
      <c r="BJ26" s="228">
        <v>275</v>
      </c>
      <c r="BK26" s="228">
        <v>-57</v>
      </c>
      <c r="BL26" s="229">
        <v>-0.2064</v>
      </c>
      <c r="BM26" s="228">
        <v>96</v>
      </c>
      <c r="BN26" s="228">
        <v>127</v>
      </c>
      <c r="BO26" s="228">
        <v>-31</v>
      </c>
      <c r="BP26" s="229">
        <v>-0.24510000000000001</v>
      </c>
      <c r="BQ26" s="228">
        <v>501</v>
      </c>
      <c r="BR26" s="228">
        <v>604</v>
      </c>
      <c r="BS26" s="228">
        <v>-103</v>
      </c>
      <c r="BT26" s="229">
        <v>-0.17100000000000001</v>
      </c>
      <c r="BU26" s="230">
        <v>7928835</v>
      </c>
      <c r="BV26" s="230">
        <v>9524372</v>
      </c>
      <c r="BW26" s="230">
        <v>-1595537</v>
      </c>
      <c r="BX26" s="229">
        <v>-0.16750000000000001</v>
      </c>
      <c r="BY26" s="228">
        <v>866</v>
      </c>
      <c r="BZ26" s="228">
        <v>863</v>
      </c>
      <c r="CA26" s="228">
        <v>3</v>
      </c>
      <c r="CB26" s="229">
        <v>3.5999999999999999E-3</v>
      </c>
      <c r="CC26" s="228">
        <v>837</v>
      </c>
      <c r="CD26" s="228">
        <v>835</v>
      </c>
      <c r="CE26" s="228">
        <v>3</v>
      </c>
      <c r="CF26" s="229">
        <v>3.0999999999999999E-3</v>
      </c>
      <c r="CG26" s="228">
        <v>27</v>
      </c>
      <c r="CH26" s="228">
        <v>27</v>
      </c>
      <c r="CI26" s="228">
        <v>0</v>
      </c>
      <c r="CJ26" s="229">
        <v>2.5000000000000001E-3</v>
      </c>
      <c r="CK26" s="228">
        <v>2</v>
      </c>
      <c r="CL26" s="228">
        <v>2</v>
      </c>
      <c r="CM26" s="228">
        <v>0</v>
      </c>
      <c r="CN26" s="229">
        <v>0.25929999999999997</v>
      </c>
      <c r="CO26" s="228">
        <v>234</v>
      </c>
      <c r="CP26" s="228">
        <v>230</v>
      </c>
      <c r="CQ26" s="228">
        <v>4</v>
      </c>
      <c r="CR26" s="229">
        <v>1.8700000000000001E-2</v>
      </c>
      <c r="CS26" s="228">
        <v>171</v>
      </c>
      <c r="CT26" s="228">
        <v>168</v>
      </c>
      <c r="CU26" s="228">
        <v>3</v>
      </c>
      <c r="CV26" s="229">
        <v>1.9300000000000001E-2</v>
      </c>
      <c r="CW26" s="230">
        <v>1271</v>
      </c>
      <c r="CX26" s="230">
        <v>1261</v>
      </c>
      <c r="CY26" s="228">
        <v>11</v>
      </c>
      <c r="CZ26" s="229">
        <v>8.3999999999999995E-3</v>
      </c>
      <c r="DA26" s="228">
        <v>30.17</v>
      </c>
      <c r="DB26" s="228">
        <v>29.69</v>
      </c>
      <c r="DC26" s="228">
        <v>0.48</v>
      </c>
      <c r="DD26" s="228">
        <v>0.48</v>
      </c>
      <c r="DE26" s="228">
        <v>39.86</v>
      </c>
      <c r="DF26" s="228">
        <v>39.96</v>
      </c>
      <c r="DG26" s="228">
        <v>-9.69</v>
      </c>
      <c r="DH26" s="228">
        <v>-0.1</v>
      </c>
      <c r="DI26" s="228">
        <v>29.7</v>
      </c>
      <c r="DJ26" s="228">
        <v>29.22</v>
      </c>
      <c r="DK26" s="228">
        <v>0.48</v>
      </c>
      <c r="DL26" s="228">
        <v>0.48</v>
      </c>
      <c r="DM26" s="228">
        <v>31.24</v>
      </c>
      <c r="DN26" s="228">
        <v>30.71</v>
      </c>
      <c r="DO26" s="228">
        <v>0.53</v>
      </c>
      <c r="DP26" s="228">
        <v>0.53</v>
      </c>
      <c r="DQ26" s="228">
        <v>0.73</v>
      </c>
      <c r="DR26" s="228">
        <v>0.73</v>
      </c>
      <c r="DS26" s="228">
        <v>0</v>
      </c>
      <c r="DT26" s="229">
        <v>0</v>
      </c>
      <c r="DU26" s="228">
        <v>130</v>
      </c>
      <c r="DV26" s="228">
        <v>125</v>
      </c>
      <c r="DW26" s="228">
        <v>0.44</v>
      </c>
      <c r="DX26" s="228">
        <v>0.46</v>
      </c>
      <c r="DY26" s="228">
        <v>-0.02</v>
      </c>
      <c r="DZ26" s="229">
        <v>-4.3499999999999997E-2</v>
      </c>
      <c r="EA26" s="229">
        <v>3.3300000000000003E-2</v>
      </c>
      <c r="EB26" s="230">
        <v>2230800</v>
      </c>
      <c r="EC26" s="229">
        <v>4.7999999999999996E-3</v>
      </c>
      <c r="ED26" s="229">
        <v>3.3300000000000003E-2</v>
      </c>
      <c r="EE26" s="228">
        <v>0.79</v>
      </c>
      <c r="EF26" s="229">
        <v>6.3E-3</v>
      </c>
      <c r="EG26" s="230">
        <v>2937409</v>
      </c>
      <c r="EH26" s="230">
        <v>3468285</v>
      </c>
      <c r="EI26" s="229">
        <v>-0.15310000000000001</v>
      </c>
      <c r="EJ26" s="229">
        <v>0.3705</v>
      </c>
      <c r="EK26" s="228">
        <v>225.74</v>
      </c>
      <c r="EL26" s="228">
        <v>95.65</v>
      </c>
      <c r="EM26" s="228">
        <v>185.49</v>
      </c>
      <c r="EN26" s="228">
        <v>53.39</v>
      </c>
      <c r="EO26" s="228">
        <v>506.88</v>
      </c>
      <c r="EP26" s="228">
        <v>607.4</v>
      </c>
      <c r="EQ26" s="228">
        <v>-100.52</v>
      </c>
      <c r="ER26" s="229">
        <v>-0.16550000000000001</v>
      </c>
      <c r="ES26" s="228">
        <v>235.9</v>
      </c>
      <c r="ET26" s="228">
        <v>158.18</v>
      </c>
      <c r="EU26" s="228">
        <v>866.1</v>
      </c>
      <c r="EV26" s="231">
        <v>181770921</v>
      </c>
      <c r="EW26" s="231">
        <v>1260.18</v>
      </c>
      <c r="EX26" s="231">
        <v>1245.45</v>
      </c>
      <c r="EY26" s="228">
        <v>14.73</v>
      </c>
      <c r="EZ26" s="229">
        <v>1.18E-2</v>
      </c>
      <c r="FA26" s="229">
        <v>0.55120000000000002</v>
      </c>
      <c r="FB26" s="227" t="s">
        <v>555</v>
      </c>
      <c r="FC26">
        <f t="shared" si="0"/>
        <v>29</v>
      </c>
    </row>
    <row r="27" spans="1:159" ht="17.25" thickBot="1" x14ac:dyDescent="0.3">
      <c r="A27" s="226">
        <v>45936</v>
      </c>
      <c r="B27" s="227" t="s">
        <v>181</v>
      </c>
      <c r="C27" s="227" t="s">
        <v>182</v>
      </c>
      <c r="D27" s="228">
        <v>35</v>
      </c>
      <c r="E27" s="228">
        <v>22</v>
      </c>
      <c r="F27" s="231">
        <v>56297.8</v>
      </c>
      <c r="G27" s="231">
        <v>55854.2</v>
      </c>
      <c r="H27" s="228">
        <v>443.6</v>
      </c>
      <c r="I27" s="229">
        <v>7.9000000000000008E-3</v>
      </c>
      <c r="J27" s="231">
        <v>56104.85</v>
      </c>
      <c r="K27" s="231">
        <v>55589.25</v>
      </c>
      <c r="L27" s="228">
        <v>515.6</v>
      </c>
      <c r="M27" s="229">
        <v>9.2999999999999992E-3</v>
      </c>
      <c r="N27" s="231">
        <v>56297.8</v>
      </c>
      <c r="O27" s="231">
        <v>55854.2</v>
      </c>
      <c r="P27" s="228">
        <v>443.6</v>
      </c>
      <c r="Q27" s="229">
        <v>7.9000000000000008E-3</v>
      </c>
      <c r="R27" s="231">
        <v>56597.2</v>
      </c>
      <c r="S27" s="231">
        <v>56152.2</v>
      </c>
      <c r="T27" s="228">
        <v>445</v>
      </c>
      <c r="U27" s="229">
        <v>7.9000000000000008E-3</v>
      </c>
      <c r="V27" s="231">
        <v>56943.4</v>
      </c>
      <c r="W27" s="231">
        <v>56497.599999999999</v>
      </c>
      <c r="X27" s="228">
        <v>445.8</v>
      </c>
      <c r="Y27" s="229">
        <v>7.9000000000000008E-3</v>
      </c>
      <c r="Z27" s="228">
        <v>192.95</v>
      </c>
      <c r="AA27" s="228">
        <v>264.95</v>
      </c>
      <c r="AB27" s="228">
        <v>-72</v>
      </c>
      <c r="AC27" s="229">
        <v>3.3999999999999998E-3</v>
      </c>
      <c r="AD27" s="228">
        <v>192.95</v>
      </c>
      <c r="AE27" s="228">
        <v>264.95</v>
      </c>
      <c r="AF27" s="228">
        <v>-72</v>
      </c>
      <c r="AG27" s="229">
        <v>3.3999999999999998E-3</v>
      </c>
      <c r="AH27" s="228">
        <v>492.35</v>
      </c>
      <c r="AI27" s="228">
        <v>562.95000000000005</v>
      </c>
      <c r="AJ27" s="228">
        <v>-70.599999999999994</v>
      </c>
      <c r="AK27" s="229">
        <v>8.8000000000000005E-3</v>
      </c>
      <c r="AL27" s="228">
        <v>838.55</v>
      </c>
      <c r="AM27" s="228">
        <v>908.35</v>
      </c>
      <c r="AN27" s="228">
        <v>-69.8</v>
      </c>
      <c r="AO27" s="229">
        <v>1.49E-2</v>
      </c>
      <c r="AP27" s="231">
        <v>56202.75</v>
      </c>
      <c r="AQ27" s="231">
        <v>56496.23</v>
      </c>
      <c r="AR27" s="228">
        <v>0</v>
      </c>
      <c r="AS27" s="230">
        <v>5312</v>
      </c>
      <c r="AT27" s="230">
        <v>4089</v>
      </c>
      <c r="AU27" s="230">
        <v>1222</v>
      </c>
      <c r="AV27" s="229">
        <v>0.2989</v>
      </c>
      <c r="AW27" s="230">
        <v>4738</v>
      </c>
      <c r="AX27" s="230">
        <v>3660</v>
      </c>
      <c r="AY27" s="230">
        <v>1077</v>
      </c>
      <c r="AZ27" s="229">
        <v>0.2944</v>
      </c>
      <c r="BA27" s="228">
        <v>367</v>
      </c>
      <c r="BB27" s="228">
        <v>299</v>
      </c>
      <c r="BC27" s="228">
        <v>67</v>
      </c>
      <c r="BD27" s="229">
        <v>0.22509999999999999</v>
      </c>
      <c r="BE27" s="228">
        <v>207</v>
      </c>
      <c r="BF27" s="228">
        <v>130</v>
      </c>
      <c r="BG27" s="228">
        <v>78</v>
      </c>
      <c r="BH27" s="229">
        <v>0.59789999999999999</v>
      </c>
      <c r="BI27" s="230">
        <v>278719</v>
      </c>
      <c r="BJ27" s="230">
        <v>239031</v>
      </c>
      <c r="BK27" s="230">
        <v>39689</v>
      </c>
      <c r="BL27" s="229">
        <v>0.16600000000000001</v>
      </c>
      <c r="BM27" s="230">
        <v>246303</v>
      </c>
      <c r="BN27" s="230">
        <v>216825</v>
      </c>
      <c r="BO27" s="230">
        <v>29478</v>
      </c>
      <c r="BP27" s="229">
        <v>0.13600000000000001</v>
      </c>
      <c r="BQ27" s="230">
        <v>530335</v>
      </c>
      <c r="BR27" s="230">
        <v>459945</v>
      </c>
      <c r="BS27" s="230">
        <v>70390</v>
      </c>
      <c r="BT27" s="229">
        <v>0.153</v>
      </c>
      <c r="BU27" s="228">
        <v>0</v>
      </c>
      <c r="BV27" s="228">
        <v>0</v>
      </c>
      <c r="BW27" s="228">
        <v>0</v>
      </c>
      <c r="BX27" s="229">
        <v>0</v>
      </c>
      <c r="BY27" s="230">
        <v>11479</v>
      </c>
      <c r="BZ27" s="230">
        <v>11874</v>
      </c>
      <c r="CA27" s="228">
        <v>-395</v>
      </c>
      <c r="CB27" s="229">
        <v>-3.3300000000000003E-2</v>
      </c>
      <c r="CC27" s="230">
        <v>10411</v>
      </c>
      <c r="CD27" s="230">
        <v>10793</v>
      </c>
      <c r="CE27" s="228">
        <v>-382</v>
      </c>
      <c r="CF27" s="229">
        <v>-3.5400000000000001E-2</v>
      </c>
      <c r="CG27" s="228">
        <v>912</v>
      </c>
      <c r="CH27" s="228">
        <v>916</v>
      </c>
      <c r="CI27" s="228">
        <v>-4</v>
      </c>
      <c r="CJ27" s="229">
        <v>-4.7000000000000002E-3</v>
      </c>
      <c r="CK27" s="228">
        <v>156</v>
      </c>
      <c r="CL27" s="228">
        <v>164</v>
      </c>
      <c r="CM27" s="228">
        <v>-8</v>
      </c>
      <c r="CN27" s="229">
        <v>-5.16E-2</v>
      </c>
      <c r="CO27" s="230">
        <v>85240</v>
      </c>
      <c r="CP27" s="230">
        <v>77896</v>
      </c>
      <c r="CQ27" s="230">
        <v>7344</v>
      </c>
      <c r="CR27" s="229">
        <v>9.4299999999999995E-2</v>
      </c>
      <c r="CS27" s="230">
        <v>96247</v>
      </c>
      <c r="CT27" s="230">
        <v>89768</v>
      </c>
      <c r="CU27" s="230">
        <v>6479</v>
      </c>
      <c r="CV27" s="229">
        <v>7.22E-2</v>
      </c>
      <c r="CW27" s="230">
        <v>192966</v>
      </c>
      <c r="CX27" s="230">
        <v>179538</v>
      </c>
      <c r="CY27" s="230">
        <v>13428</v>
      </c>
      <c r="CZ27" s="229">
        <v>7.4800000000000005E-2</v>
      </c>
      <c r="DA27" s="228">
        <v>11.46</v>
      </c>
      <c r="DB27" s="228">
        <v>11.24</v>
      </c>
      <c r="DC27" s="228">
        <v>0.22</v>
      </c>
      <c r="DD27" s="228">
        <v>0.22</v>
      </c>
      <c r="DE27" s="228">
        <v>17.45</v>
      </c>
      <c r="DF27" s="228">
        <v>17.45</v>
      </c>
      <c r="DG27" s="228">
        <v>-5.99</v>
      </c>
      <c r="DH27" s="228">
        <v>0</v>
      </c>
      <c r="DI27" s="228">
        <v>10.45</v>
      </c>
      <c r="DJ27" s="228">
        <v>10.35</v>
      </c>
      <c r="DK27" s="228">
        <v>0.1</v>
      </c>
      <c r="DL27" s="228">
        <v>0.1</v>
      </c>
      <c r="DM27" s="228">
        <v>12.59</v>
      </c>
      <c r="DN27" s="228">
        <v>12.23</v>
      </c>
      <c r="DO27" s="228">
        <v>0.36</v>
      </c>
      <c r="DP27" s="228">
        <v>0.36</v>
      </c>
      <c r="DQ27" s="228">
        <v>1.1299999999999999</v>
      </c>
      <c r="DR27" s="228">
        <v>1.1499999999999999</v>
      </c>
      <c r="DS27" s="228">
        <v>-0.02</v>
      </c>
      <c r="DT27" s="229">
        <v>-1.7399999999999999E-2</v>
      </c>
      <c r="DU27" s="231">
        <v>57000</v>
      </c>
      <c r="DV27" s="231">
        <v>55000</v>
      </c>
      <c r="DW27" s="228">
        <v>0.88</v>
      </c>
      <c r="DX27" s="228">
        <v>0.91</v>
      </c>
      <c r="DY27" s="228">
        <v>-0.03</v>
      </c>
      <c r="DZ27" s="229">
        <v>-3.3000000000000002E-2</v>
      </c>
      <c r="EA27" s="229">
        <v>9.2999999999999999E-2</v>
      </c>
      <c r="EB27" s="230">
        <v>191940</v>
      </c>
      <c r="EC27" s="229">
        <v>5.3E-3</v>
      </c>
      <c r="ED27" s="229">
        <v>9.2999999999999999E-2</v>
      </c>
      <c r="EE27" s="228">
        <v>293.48</v>
      </c>
      <c r="EF27" s="229">
        <v>5.1999999999999998E-3</v>
      </c>
      <c r="EG27" s="228">
        <v>0</v>
      </c>
      <c r="EH27" s="228">
        <v>0</v>
      </c>
      <c r="EI27" s="229">
        <v>0</v>
      </c>
      <c r="EJ27" s="229">
        <v>0</v>
      </c>
      <c r="EK27" s="231">
        <v>284740.28999999998</v>
      </c>
      <c r="EL27" s="231">
        <v>239848.74</v>
      </c>
      <c r="EM27" s="231">
        <v>5307.19</v>
      </c>
      <c r="EN27" s="228">
        <v>0</v>
      </c>
      <c r="EO27" s="231">
        <v>529896.22</v>
      </c>
      <c r="EP27" s="231">
        <v>456373.82</v>
      </c>
      <c r="EQ27" s="231">
        <v>73522.39</v>
      </c>
      <c r="ER27" s="229">
        <v>0.16109999999999999</v>
      </c>
      <c r="ES27" s="231">
        <v>86351.93</v>
      </c>
      <c r="ET27" s="231">
        <v>92625.13</v>
      </c>
      <c r="EU27" s="231">
        <v>11485.33</v>
      </c>
      <c r="EV27" s="228">
        <v>0</v>
      </c>
      <c r="EW27" s="231">
        <v>190462.39</v>
      </c>
      <c r="EX27" s="231">
        <v>176416.89</v>
      </c>
      <c r="EY27" s="231">
        <v>14045.5</v>
      </c>
      <c r="EZ27" s="229">
        <v>7.9600000000000004E-2</v>
      </c>
      <c r="FA27" s="229">
        <v>0</v>
      </c>
      <c r="FB27" s="227" t="s">
        <v>556</v>
      </c>
      <c r="FC27">
        <f t="shared" si="0"/>
        <v>1068</v>
      </c>
    </row>
    <row r="28" spans="1:159" ht="17.25" thickBot="1" x14ac:dyDescent="0.3">
      <c r="A28" s="226">
        <v>45936</v>
      </c>
      <c r="B28" s="227" t="s">
        <v>184</v>
      </c>
      <c r="C28" s="227" t="s">
        <v>673</v>
      </c>
      <c r="D28" s="228">
        <v>325</v>
      </c>
      <c r="E28" s="228">
        <v>22</v>
      </c>
      <c r="F28" s="231">
        <v>1568.6</v>
      </c>
      <c r="G28" s="231">
        <v>1567.7</v>
      </c>
      <c r="H28" s="228">
        <v>0.9</v>
      </c>
      <c r="I28" s="229">
        <v>5.9999999999999995E-4</v>
      </c>
      <c r="J28" s="231">
        <v>1559.1</v>
      </c>
      <c r="K28" s="231">
        <v>1560.9</v>
      </c>
      <c r="L28" s="228">
        <v>-1.8</v>
      </c>
      <c r="M28" s="229">
        <v>-1.1999999999999999E-3</v>
      </c>
      <c r="N28" s="231">
        <v>1568.6</v>
      </c>
      <c r="O28" s="231">
        <v>1567.7</v>
      </c>
      <c r="P28" s="228">
        <v>0.9</v>
      </c>
      <c r="Q28" s="229">
        <v>5.9999999999999995E-4</v>
      </c>
      <c r="R28" s="231">
        <v>1576.5</v>
      </c>
      <c r="S28" s="231">
        <v>1575.2</v>
      </c>
      <c r="T28" s="228">
        <v>1.3</v>
      </c>
      <c r="U28" s="229">
        <v>8.0000000000000004E-4</v>
      </c>
      <c r="V28" s="231">
        <v>1583.7</v>
      </c>
      <c r="W28" s="231">
        <v>1584.8</v>
      </c>
      <c r="X28" s="228">
        <v>-1.1000000000000001</v>
      </c>
      <c r="Y28" s="229">
        <v>-6.9999999999999999E-4</v>
      </c>
      <c r="Z28" s="228">
        <v>9.5</v>
      </c>
      <c r="AA28" s="228">
        <v>6.8</v>
      </c>
      <c r="AB28" s="228">
        <v>2.7</v>
      </c>
      <c r="AC28" s="229">
        <v>6.1000000000000004E-3</v>
      </c>
      <c r="AD28" s="228">
        <v>9.5</v>
      </c>
      <c r="AE28" s="228">
        <v>6.8</v>
      </c>
      <c r="AF28" s="228">
        <v>2.7</v>
      </c>
      <c r="AG28" s="229">
        <v>6.1000000000000004E-3</v>
      </c>
      <c r="AH28" s="228">
        <v>17.399999999999999</v>
      </c>
      <c r="AI28" s="228">
        <v>14.3</v>
      </c>
      <c r="AJ28" s="228">
        <v>3.1</v>
      </c>
      <c r="AK28" s="229">
        <v>1.12E-2</v>
      </c>
      <c r="AL28" s="228">
        <v>24.6</v>
      </c>
      <c r="AM28" s="228">
        <v>23.9</v>
      </c>
      <c r="AN28" s="228">
        <v>0.7</v>
      </c>
      <c r="AO28" s="229">
        <v>1.5800000000000002E-2</v>
      </c>
      <c r="AP28" s="231">
        <v>1569.69</v>
      </c>
      <c r="AQ28" s="231">
        <v>1578.92</v>
      </c>
      <c r="AR28" s="228">
        <v>0</v>
      </c>
      <c r="AS28" s="228">
        <v>136</v>
      </c>
      <c r="AT28" s="228">
        <v>323</v>
      </c>
      <c r="AU28" s="228">
        <v>-187</v>
      </c>
      <c r="AV28" s="229">
        <v>-0.57799999999999996</v>
      </c>
      <c r="AW28" s="228">
        <v>130</v>
      </c>
      <c r="AX28" s="228">
        <v>312</v>
      </c>
      <c r="AY28" s="228">
        <v>-182</v>
      </c>
      <c r="AZ28" s="229">
        <v>-0.58320000000000005</v>
      </c>
      <c r="BA28" s="228">
        <v>5</v>
      </c>
      <c r="BB28" s="228">
        <v>9</v>
      </c>
      <c r="BC28" s="228">
        <v>-4</v>
      </c>
      <c r="BD28" s="229">
        <v>-0.4294</v>
      </c>
      <c r="BE28" s="228">
        <v>1</v>
      </c>
      <c r="BF28" s="228">
        <v>2</v>
      </c>
      <c r="BG28" s="228">
        <v>-1</v>
      </c>
      <c r="BH28" s="229">
        <v>-0.40629999999999999</v>
      </c>
      <c r="BI28" s="228">
        <v>401</v>
      </c>
      <c r="BJ28" s="230">
        <v>1024</v>
      </c>
      <c r="BK28" s="228">
        <v>-624</v>
      </c>
      <c r="BL28" s="229">
        <v>-0.6089</v>
      </c>
      <c r="BM28" s="228">
        <v>140</v>
      </c>
      <c r="BN28" s="228">
        <v>357</v>
      </c>
      <c r="BO28" s="228">
        <v>-217</v>
      </c>
      <c r="BP28" s="229">
        <v>-0.60819999999999996</v>
      </c>
      <c r="BQ28" s="228">
        <v>677</v>
      </c>
      <c r="BR28" s="230">
        <v>1705</v>
      </c>
      <c r="BS28" s="230">
        <v>-1028</v>
      </c>
      <c r="BT28" s="229">
        <v>-0.60289999999999999</v>
      </c>
      <c r="BU28" s="230">
        <v>941037</v>
      </c>
      <c r="BV28" s="230">
        <v>1641547</v>
      </c>
      <c r="BW28" s="230">
        <v>-700510</v>
      </c>
      <c r="BX28" s="229">
        <v>-0.42670000000000002</v>
      </c>
      <c r="BY28" s="228">
        <v>698</v>
      </c>
      <c r="BZ28" s="228">
        <v>680</v>
      </c>
      <c r="CA28" s="228">
        <v>18</v>
      </c>
      <c r="CB28" s="229">
        <v>2.5899999999999999E-2</v>
      </c>
      <c r="CC28" s="228">
        <v>671</v>
      </c>
      <c r="CD28" s="228">
        <v>655</v>
      </c>
      <c r="CE28" s="228">
        <v>16</v>
      </c>
      <c r="CF28" s="229">
        <v>2.47E-2</v>
      </c>
      <c r="CG28" s="228">
        <v>23</v>
      </c>
      <c r="CH28" s="228">
        <v>23</v>
      </c>
      <c r="CI28" s="228">
        <v>1</v>
      </c>
      <c r="CJ28" s="229">
        <v>3.3700000000000001E-2</v>
      </c>
      <c r="CK28" s="228">
        <v>3</v>
      </c>
      <c r="CL28" s="228">
        <v>2</v>
      </c>
      <c r="CM28" s="228">
        <v>1</v>
      </c>
      <c r="CN28" s="229">
        <v>0.30230000000000001</v>
      </c>
      <c r="CO28" s="228">
        <v>388</v>
      </c>
      <c r="CP28" s="228">
        <v>343</v>
      </c>
      <c r="CQ28" s="228">
        <v>45</v>
      </c>
      <c r="CR28" s="229">
        <v>0.13250000000000001</v>
      </c>
      <c r="CS28" s="228">
        <v>254</v>
      </c>
      <c r="CT28" s="228">
        <v>254</v>
      </c>
      <c r="CU28" s="228">
        <v>0</v>
      </c>
      <c r="CV28" s="229">
        <v>-2.0000000000000001E-4</v>
      </c>
      <c r="CW28" s="230">
        <v>1340</v>
      </c>
      <c r="CX28" s="230">
        <v>1277</v>
      </c>
      <c r="CY28" s="228">
        <v>63</v>
      </c>
      <c r="CZ28" s="229">
        <v>4.9299999999999997E-2</v>
      </c>
      <c r="DA28" s="228">
        <v>35.25</v>
      </c>
      <c r="DB28" s="228">
        <v>33.5</v>
      </c>
      <c r="DC28" s="228">
        <v>1.75</v>
      </c>
      <c r="DD28" s="228">
        <v>1.75</v>
      </c>
      <c r="DE28" s="228">
        <v>53.64</v>
      </c>
      <c r="DF28" s="228">
        <v>53.78</v>
      </c>
      <c r="DG28" s="228">
        <v>-18.39</v>
      </c>
      <c r="DH28" s="228">
        <v>-0.14000000000000001</v>
      </c>
      <c r="DI28" s="228">
        <v>35.21</v>
      </c>
      <c r="DJ28" s="228">
        <v>33.409999999999997</v>
      </c>
      <c r="DK28" s="228">
        <v>1.8</v>
      </c>
      <c r="DL28" s="228">
        <v>1.8</v>
      </c>
      <c r="DM28" s="228">
        <v>35.380000000000003</v>
      </c>
      <c r="DN28" s="228">
        <v>33.76</v>
      </c>
      <c r="DO28" s="228">
        <v>1.62</v>
      </c>
      <c r="DP28" s="228">
        <v>1.62</v>
      </c>
      <c r="DQ28" s="228">
        <v>0.65</v>
      </c>
      <c r="DR28" s="228">
        <v>0.74</v>
      </c>
      <c r="DS28" s="228">
        <v>-0.09</v>
      </c>
      <c r="DT28" s="229">
        <v>-0.1216</v>
      </c>
      <c r="DU28" s="231">
        <v>1600</v>
      </c>
      <c r="DV28" s="231">
        <v>1500</v>
      </c>
      <c r="DW28" s="228">
        <v>0.35</v>
      </c>
      <c r="DX28" s="228">
        <v>0.35</v>
      </c>
      <c r="DY28" s="228">
        <v>0</v>
      </c>
      <c r="DZ28" s="229">
        <v>0</v>
      </c>
      <c r="EA28" s="229">
        <v>3.7699999999999997E-2</v>
      </c>
      <c r="EB28" s="230">
        <v>158600</v>
      </c>
      <c r="EC28" s="229">
        <v>5.0000000000000001E-3</v>
      </c>
      <c r="ED28" s="229">
        <v>3.7699999999999997E-2</v>
      </c>
      <c r="EE28" s="228">
        <v>9.23</v>
      </c>
      <c r="EF28" s="229">
        <v>5.8999999999999999E-3</v>
      </c>
      <c r="EG28" s="230">
        <v>350154</v>
      </c>
      <c r="EH28" s="230">
        <v>482534</v>
      </c>
      <c r="EI28" s="229">
        <v>-0.27429999999999999</v>
      </c>
      <c r="EJ28" s="229">
        <v>0.37209999999999999</v>
      </c>
      <c r="EK28" s="228">
        <v>422.12</v>
      </c>
      <c r="EL28" s="228">
        <v>135.28</v>
      </c>
      <c r="EM28" s="228">
        <v>136.4</v>
      </c>
      <c r="EN28" s="228">
        <v>81.08</v>
      </c>
      <c r="EO28" s="228">
        <v>693.8</v>
      </c>
      <c r="EP28" s="231">
        <v>1756.9</v>
      </c>
      <c r="EQ28" s="231">
        <v>-1063.0999999999999</v>
      </c>
      <c r="ER28" s="229">
        <v>-0.60509999999999997</v>
      </c>
      <c r="ES28" s="228">
        <v>404.93</v>
      </c>
      <c r="ET28" s="228">
        <v>244.59</v>
      </c>
      <c r="EU28" s="228">
        <v>697.75</v>
      </c>
      <c r="EV28" s="231">
        <v>13786716</v>
      </c>
      <c r="EW28" s="231">
        <v>1347.27</v>
      </c>
      <c r="EX28" s="231">
        <v>1281</v>
      </c>
      <c r="EY28" s="228">
        <v>66.27</v>
      </c>
      <c r="EZ28" s="229">
        <v>5.1700000000000003E-2</v>
      </c>
      <c r="FA28" s="229">
        <v>0.61970000000000003</v>
      </c>
      <c r="FB28" s="227" t="s">
        <v>555</v>
      </c>
      <c r="FC28">
        <f t="shared" si="0"/>
        <v>27</v>
      </c>
    </row>
    <row r="29" spans="1:159" s="195" customFormat="1" ht="17.25" thickBot="1" x14ac:dyDescent="0.3">
      <c r="A29" s="226">
        <v>45936</v>
      </c>
      <c r="B29" s="227" t="s">
        <v>184</v>
      </c>
      <c r="C29" s="227" t="s">
        <v>185</v>
      </c>
      <c r="D29" s="228">
        <v>2850</v>
      </c>
      <c r="E29" s="228">
        <v>22</v>
      </c>
      <c r="F29" s="228">
        <v>415.55</v>
      </c>
      <c r="G29" s="228">
        <v>415.15</v>
      </c>
      <c r="H29" s="228">
        <v>0.4</v>
      </c>
      <c r="I29" s="229">
        <v>1E-3</v>
      </c>
      <c r="J29" s="228">
        <v>413.25</v>
      </c>
      <c r="K29" s="228">
        <v>412.65</v>
      </c>
      <c r="L29" s="228">
        <v>0.6</v>
      </c>
      <c r="M29" s="229">
        <v>1.5E-3</v>
      </c>
      <c r="N29" s="228">
        <v>415.55</v>
      </c>
      <c r="O29" s="228">
        <v>415.15</v>
      </c>
      <c r="P29" s="228">
        <v>0.4</v>
      </c>
      <c r="Q29" s="229">
        <v>1E-3</v>
      </c>
      <c r="R29" s="228">
        <v>417.75</v>
      </c>
      <c r="S29" s="228">
        <v>417.35</v>
      </c>
      <c r="T29" s="228">
        <v>0.4</v>
      </c>
      <c r="U29" s="229">
        <v>1E-3</v>
      </c>
      <c r="V29" s="228">
        <v>420.15</v>
      </c>
      <c r="W29" s="228">
        <v>419.75</v>
      </c>
      <c r="X29" s="228">
        <v>0.4</v>
      </c>
      <c r="Y29" s="229">
        <v>1E-3</v>
      </c>
      <c r="Z29" s="228">
        <v>2.2999999999999998</v>
      </c>
      <c r="AA29" s="228">
        <v>2.5</v>
      </c>
      <c r="AB29" s="228">
        <v>-0.2</v>
      </c>
      <c r="AC29" s="229">
        <v>5.5999999999999999E-3</v>
      </c>
      <c r="AD29" s="228">
        <v>2.2999999999999998</v>
      </c>
      <c r="AE29" s="228">
        <v>2.5</v>
      </c>
      <c r="AF29" s="228">
        <v>-0.2</v>
      </c>
      <c r="AG29" s="229">
        <v>5.5999999999999999E-3</v>
      </c>
      <c r="AH29" s="228">
        <v>4.5</v>
      </c>
      <c r="AI29" s="228">
        <v>4.7</v>
      </c>
      <c r="AJ29" s="228">
        <v>-0.2</v>
      </c>
      <c r="AK29" s="229">
        <v>1.09E-2</v>
      </c>
      <c r="AL29" s="228">
        <v>6.9</v>
      </c>
      <c r="AM29" s="228">
        <v>7.1</v>
      </c>
      <c r="AN29" s="228">
        <v>-0.2</v>
      </c>
      <c r="AO29" s="229">
        <v>1.67E-2</v>
      </c>
      <c r="AP29" s="228">
        <v>413.48</v>
      </c>
      <c r="AQ29" s="228">
        <v>415.58</v>
      </c>
      <c r="AR29" s="228">
        <v>0</v>
      </c>
      <c r="AS29" s="228">
        <v>937</v>
      </c>
      <c r="AT29" s="230">
        <v>1083</v>
      </c>
      <c r="AU29" s="228">
        <v>-146</v>
      </c>
      <c r="AV29" s="229">
        <v>-0.1348</v>
      </c>
      <c r="AW29" s="228">
        <v>851</v>
      </c>
      <c r="AX29" s="228">
        <v>974</v>
      </c>
      <c r="AY29" s="228">
        <v>-124</v>
      </c>
      <c r="AZ29" s="229">
        <v>-0.12690000000000001</v>
      </c>
      <c r="BA29" s="228">
        <v>70</v>
      </c>
      <c r="BB29" s="228">
        <v>86</v>
      </c>
      <c r="BC29" s="228">
        <v>-16</v>
      </c>
      <c r="BD29" s="229">
        <v>-0.1807</v>
      </c>
      <c r="BE29" s="228">
        <v>16</v>
      </c>
      <c r="BF29" s="228">
        <v>23</v>
      </c>
      <c r="BG29" s="228">
        <v>-7</v>
      </c>
      <c r="BH29" s="229">
        <v>-0.29899999999999999</v>
      </c>
      <c r="BI29" s="230">
        <v>3012</v>
      </c>
      <c r="BJ29" s="230">
        <v>4231</v>
      </c>
      <c r="BK29" s="230">
        <v>-1219</v>
      </c>
      <c r="BL29" s="229">
        <v>-0.28799999999999998</v>
      </c>
      <c r="BM29" s="230">
        <v>1515</v>
      </c>
      <c r="BN29" s="230">
        <v>1972</v>
      </c>
      <c r="BO29" s="228">
        <v>-456</v>
      </c>
      <c r="BP29" s="229">
        <v>-0.23139999999999999</v>
      </c>
      <c r="BQ29" s="230">
        <v>5465</v>
      </c>
      <c r="BR29" s="230">
        <v>7286</v>
      </c>
      <c r="BS29" s="230">
        <v>-1821</v>
      </c>
      <c r="BT29" s="229">
        <v>-0.24990000000000001</v>
      </c>
      <c r="BU29" s="230">
        <v>15217057</v>
      </c>
      <c r="BV29" s="230">
        <v>17348314</v>
      </c>
      <c r="BW29" s="230">
        <v>-2131257</v>
      </c>
      <c r="BX29" s="229">
        <v>-0.1229</v>
      </c>
      <c r="BY29" s="230">
        <v>4414</v>
      </c>
      <c r="BZ29" s="230">
        <v>4423</v>
      </c>
      <c r="CA29" s="228">
        <v>-9</v>
      </c>
      <c r="CB29" s="229">
        <v>-2.0999999999999999E-3</v>
      </c>
      <c r="CC29" s="230">
        <v>4211</v>
      </c>
      <c r="CD29" s="230">
        <v>4237</v>
      </c>
      <c r="CE29" s="228">
        <v>-26</v>
      </c>
      <c r="CF29" s="229">
        <v>-6.1999999999999998E-3</v>
      </c>
      <c r="CG29" s="228">
        <v>179</v>
      </c>
      <c r="CH29" s="228">
        <v>169</v>
      </c>
      <c r="CI29" s="228">
        <v>11</v>
      </c>
      <c r="CJ29" s="229">
        <v>6.3200000000000006E-2</v>
      </c>
      <c r="CK29" s="228">
        <v>24</v>
      </c>
      <c r="CL29" s="228">
        <v>17</v>
      </c>
      <c r="CM29" s="228">
        <v>6</v>
      </c>
      <c r="CN29" s="229">
        <v>0.36049999999999999</v>
      </c>
      <c r="CO29" s="230">
        <v>2071</v>
      </c>
      <c r="CP29" s="230">
        <v>1960</v>
      </c>
      <c r="CQ29" s="228">
        <v>111</v>
      </c>
      <c r="CR29" s="229">
        <v>5.67E-2</v>
      </c>
      <c r="CS29" s="230">
        <v>1471</v>
      </c>
      <c r="CT29" s="230">
        <v>1374</v>
      </c>
      <c r="CU29" s="228">
        <v>97</v>
      </c>
      <c r="CV29" s="229">
        <v>7.0199999999999999E-2</v>
      </c>
      <c r="CW29" s="230">
        <v>7956</v>
      </c>
      <c r="CX29" s="230">
        <v>7757</v>
      </c>
      <c r="CY29" s="228">
        <v>198</v>
      </c>
      <c r="CZ29" s="229">
        <v>2.5600000000000001E-2</v>
      </c>
      <c r="DA29" s="228">
        <v>25.9</v>
      </c>
      <c r="DB29" s="228">
        <v>25.32</v>
      </c>
      <c r="DC29" s="228">
        <v>0.57999999999999996</v>
      </c>
      <c r="DD29" s="228">
        <v>0.57999999999999996</v>
      </c>
      <c r="DE29" s="228">
        <v>38.1</v>
      </c>
      <c r="DF29" s="228">
        <v>38.19</v>
      </c>
      <c r="DG29" s="228">
        <v>-12.2</v>
      </c>
      <c r="DH29" s="228">
        <v>-0.09</v>
      </c>
      <c r="DI29" s="228">
        <v>25.75</v>
      </c>
      <c r="DJ29" s="228">
        <v>25.13</v>
      </c>
      <c r="DK29" s="228">
        <v>0.62</v>
      </c>
      <c r="DL29" s="228">
        <v>0.62</v>
      </c>
      <c r="DM29" s="228">
        <v>26.2</v>
      </c>
      <c r="DN29" s="228">
        <v>25.72</v>
      </c>
      <c r="DO29" s="228">
        <v>0.48</v>
      </c>
      <c r="DP29" s="228">
        <v>0.48</v>
      </c>
      <c r="DQ29" s="228">
        <v>0.71</v>
      </c>
      <c r="DR29" s="228">
        <v>0.7</v>
      </c>
      <c r="DS29" s="228">
        <v>0.01</v>
      </c>
      <c r="DT29" s="229">
        <v>1.43E-2</v>
      </c>
      <c r="DU29" s="228">
        <v>420</v>
      </c>
      <c r="DV29" s="228">
        <v>400</v>
      </c>
      <c r="DW29" s="228">
        <v>0.5</v>
      </c>
      <c r="DX29" s="228">
        <v>0.47</v>
      </c>
      <c r="DY29" s="228">
        <v>0.03</v>
      </c>
      <c r="DZ29" s="229">
        <v>6.3799999999999996E-2</v>
      </c>
      <c r="EA29" s="229">
        <v>4.5999999999999999E-2</v>
      </c>
      <c r="EB29" s="230">
        <v>4474500</v>
      </c>
      <c r="EC29" s="229">
        <v>5.3E-3</v>
      </c>
      <c r="ED29" s="229">
        <v>4.5999999999999999E-2</v>
      </c>
      <c r="EE29" s="228">
        <v>2.1</v>
      </c>
      <c r="EF29" s="229">
        <v>5.1000000000000004E-3</v>
      </c>
      <c r="EG29" s="230">
        <v>8305204</v>
      </c>
      <c r="EH29" s="230">
        <v>9568772</v>
      </c>
      <c r="EI29" s="229">
        <v>-0.1321</v>
      </c>
      <c r="EJ29" s="229">
        <v>0.54579999999999995</v>
      </c>
      <c r="EK29" s="231">
        <v>3123.92</v>
      </c>
      <c r="EL29" s="231">
        <v>1478.31</v>
      </c>
      <c r="EM29" s="228">
        <v>933.15</v>
      </c>
      <c r="EN29" s="228">
        <v>147.54</v>
      </c>
      <c r="EO29" s="231">
        <v>5535.37</v>
      </c>
      <c r="EP29" s="231">
        <v>7399.95</v>
      </c>
      <c r="EQ29" s="231">
        <v>-1864.57</v>
      </c>
      <c r="ER29" s="229">
        <v>-0.252</v>
      </c>
      <c r="ES29" s="231">
        <v>2115.9299999999998</v>
      </c>
      <c r="ET29" s="231">
        <v>1393.85</v>
      </c>
      <c r="EU29" s="231">
        <v>4415.16</v>
      </c>
      <c r="EV29" s="231">
        <v>535778534</v>
      </c>
      <c r="EW29" s="231">
        <v>7924.94</v>
      </c>
      <c r="EX29" s="231">
        <v>7717.88</v>
      </c>
      <c r="EY29" s="228">
        <v>207.06</v>
      </c>
      <c r="EZ29" s="229">
        <v>2.6800000000000001E-2</v>
      </c>
      <c r="FA29" s="229">
        <v>0.35730000000000001</v>
      </c>
      <c r="FB29" s="227" t="s">
        <v>556</v>
      </c>
      <c r="FC29" s="195">
        <f t="shared" si="0"/>
        <v>203</v>
      </c>
    </row>
    <row r="30" spans="1:159" ht="17.25" thickBot="1" x14ac:dyDescent="0.3">
      <c r="A30" s="226">
        <v>45936</v>
      </c>
      <c r="B30" s="227" t="s">
        <v>162</v>
      </c>
      <c r="C30" s="227" t="s">
        <v>187</v>
      </c>
      <c r="D30" s="228">
        <v>500</v>
      </c>
      <c r="E30" s="228">
        <v>22</v>
      </c>
      <c r="F30" s="231">
        <v>1229.5999999999999</v>
      </c>
      <c r="G30" s="231">
        <v>1221.0999999999999</v>
      </c>
      <c r="H30" s="228">
        <v>8.5</v>
      </c>
      <c r="I30" s="229">
        <v>7.0000000000000001E-3</v>
      </c>
      <c r="J30" s="231">
        <v>1234.5999999999999</v>
      </c>
      <c r="K30" s="231">
        <v>1220.2</v>
      </c>
      <c r="L30" s="228">
        <v>14.4</v>
      </c>
      <c r="M30" s="229">
        <v>1.18E-2</v>
      </c>
      <c r="N30" s="231">
        <v>1229.5999999999999</v>
      </c>
      <c r="O30" s="231">
        <v>1221.0999999999999</v>
      </c>
      <c r="P30" s="228">
        <v>8.5</v>
      </c>
      <c r="Q30" s="229">
        <v>7.0000000000000001E-3</v>
      </c>
      <c r="R30" s="231">
        <v>1229.2</v>
      </c>
      <c r="S30" s="231">
        <v>1220.9000000000001</v>
      </c>
      <c r="T30" s="228">
        <v>8.3000000000000007</v>
      </c>
      <c r="U30" s="229">
        <v>6.7999999999999996E-3</v>
      </c>
      <c r="V30" s="231">
        <v>1231.4000000000001</v>
      </c>
      <c r="W30" s="231">
        <v>1217</v>
      </c>
      <c r="X30" s="228">
        <v>14.4</v>
      </c>
      <c r="Y30" s="229">
        <v>1.18E-2</v>
      </c>
      <c r="Z30" s="228">
        <v>-5</v>
      </c>
      <c r="AA30" s="228">
        <v>0.9</v>
      </c>
      <c r="AB30" s="228">
        <v>-5.9</v>
      </c>
      <c r="AC30" s="229">
        <v>-4.0000000000000001E-3</v>
      </c>
      <c r="AD30" s="228">
        <v>-5</v>
      </c>
      <c r="AE30" s="228">
        <v>0.9</v>
      </c>
      <c r="AF30" s="228">
        <v>-5.9</v>
      </c>
      <c r="AG30" s="229">
        <v>-4.0000000000000001E-3</v>
      </c>
      <c r="AH30" s="228">
        <v>-5.4</v>
      </c>
      <c r="AI30" s="228">
        <v>0.7</v>
      </c>
      <c r="AJ30" s="228">
        <v>-6.1</v>
      </c>
      <c r="AK30" s="229">
        <v>-4.4000000000000003E-3</v>
      </c>
      <c r="AL30" s="228">
        <v>-3.2</v>
      </c>
      <c r="AM30" s="228">
        <v>-3.2</v>
      </c>
      <c r="AN30" s="228">
        <v>0</v>
      </c>
      <c r="AO30" s="229">
        <v>-2.5999999999999999E-3</v>
      </c>
      <c r="AP30" s="231">
        <v>1223.6500000000001</v>
      </c>
      <c r="AQ30" s="231">
        <v>1226.5899999999999</v>
      </c>
      <c r="AR30" s="228">
        <v>0</v>
      </c>
      <c r="AS30" s="228">
        <v>192</v>
      </c>
      <c r="AT30" s="228">
        <v>141</v>
      </c>
      <c r="AU30" s="228">
        <v>51</v>
      </c>
      <c r="AV30" s="229">
        <v>0.35799999999999998</v>
      </c>
      <c r="AW30" s="228">
        <v>175</v>
      </c>
      <c r="AX30" s="228">
        <v>134</v>
      </c>
      <c r="AY30" s="228">
        <v>41</v>
      </c>
      <c r="AZ30" s="229">
        <v>0.3019</v>
      </c>
      <c r="BA30" s="228">
        <v>16</v>
      </c>
      <c r="BB30" s="228">
        <v>7</v>
      </c>
      <c r="BC30" s="228">
        <v>10</v>
      </c>
      <c r="BD30" s="229">
        <v>1.4579</v>
      </c>
      <c r="BE30" s="228">
        <v>1</v>
      </c>
      <c r="BF30" s="228">
        <v>0</v>
      </c>
      <c r="BG30" s="228">
        <v>0</v>
      </c>
      <c r="BH30" s="229">
        <v>2</v>
      </c>
      <c r="BI30" s="228">
        <v>437</v>
      </c>
      <c r="BJ30" s="228">
        <v>317</v>
      </c>
      <c r="BK30" s="228">
        <v>120</v>
      </c>
      <c r="BL30" s="229">
        <v>0.37730000000000002</v>
      </c>
      <c r="BM30" s="228">
        <v>132</v>
      </c>
      <c r="BN30" s="228">
        <v>106</v>
      </c>
      <c r="BO30" s="228">
        <v>26</v>
      </c>
      <c r="BP30" s="229">
        <v>0.24360000000000001</v>
      </c>
      <c r="BQ30" s="228">
        <v>760</v>
      </c>
      <c r="BR30" s="228">
        <v>564</v>
      </c>
      <c r="BS30" s="228">
        <v>196</v>
      </c>
      <c r="BT30" s="229">
        <v>0.34739999999999999</v>
      </c>
      <c r="BU30" s="230">
        <v>333789</v>
      </c>
      <c r="BV30" s="230">
        <v>967811</v>
      </c>
      <c r="BW30" s="230">
        <v>-634022</v>
      </c>
      <c r="BX30" s="229">
        <v>-0.65510000000000002</v>
      </c>
      <c r="BY30" s="230">
        <v>1279</v>
      </c>
      <c r="BZ30" s="230">
        <v>1251</v>
      </c>
      <c r="CA30" s="228">
        <v>28</v>
      </c>
      <c r="CB30" s="229">
        <v>2.2499999999999999E-2</v>
      </c>
      <c r="CC30" s="230">
        <v>1250</v>
      </c>
      <c r="CD30" s="230">
        <v>1228</v>
      </c>
      <c r="CE30" s="228">
        <v>22</v>
      </c>
      <c r="CF30" s="229">
        <v>1.7999999999999999E-2</v>
      </c>
      <c r="CG30" s="228">
        <v>28</v>
      </c>
      <c r="CH30" s="228">
        <v>22</v>
      </c>
      <c r="CI30" s="228">
        <v>6</v>
      </c>
      <c r="CJ30" s="229">
        <v>0.26050000000000001</v>
      </c>
      <c r="CK30" s="228">
        <v>1</v>
      </c>
      <c r="CL30" s="228">
        <v>1</v>
      </c>
      <c r="CM30" s="228">
        <v>0</v>
      </c>
      <c r="CN30" s="229">
        <v>0.54549999999999998</v>
      </c>
      <c r="CO30" s="228">
        <v>289</v>
      </c>
      <c r="CP30" s="228">
        <v>256</v>
      </c>
      <c r="CQ30" s="228">
        <v>33</v>
      </c>
      <c r="CR30" s="229">
        <v>0.1298</v>
      </c>
      <c r="CS30" s="228">
        <v>215</v>
      </c>
      <c r="CT30" s="228">
        <v>202</v>
      </c>
      <c r="CU30" s="228">
        <v>14</v>
      </c>
      <c r="CV30" s="229">
        <v>6.7000000000000004E-2</v>
      </c>
      <c r="CW30" s="230">
        <v>1783</v>
      </c>
      <c r="CX30" s="230">
        <v>1709</v>
      </c>
      <c r="CY30" s="228">
        <v>75</v>
      </c>
      <c r="CZ30" s="229">
        <v>4.3799999999999999E-2</v>
      </c>
      <c r="DA30" s="228">
        <v>27.67</v>
      </c>
      <c r="DB30" s="228">
        <v>26.92</v>
      </c>
      <c r="DC30" s="228">
        <v>0.75</v>
      </c>
      <c r="DD30" s="228">
        <v>0.75</v>
      </c>
      <c r="DE30" s="228">
        <v>38.729999999999997</v>
      </c>
      <c r="DF30" s="228">
        <v>38.82</v>
      </c>
      <c r="DG30" s="228">
        <v>-11.06</v>
      </c>
      <c r="DH30" s="228">
        <v>-0.09</v>
      </c>
      <c r="DI30" s="228">
        <v>27.65</v>
      </c>
      <c r="DJ30" s="228">
        <v>26.71</v>
      </c>
      <c r="DK30" s="228">
        <v>0.94</v>
      </c>
      <c r="DL30" s="228">
        <v>0.94</v>
      </c>
      <c r="DM30" s="228">
        <v>27.75</v>
      </c>
      <c r="DN30" s="228">
        <v>27.55</v>
      </c>
      <c r="DO30" s="228">
        <v>0.2</v>
      </c>
      <c r="DP30" s="228">
        <v>0.2</v>
      </c>
      <c r="DQ30" s="228">
        <v>0.75</v>
      </c>
      <c r="DR30" s="228">
        <v>0.79</v>
      </c>
      <c r="DS30" s="228">
        <v>-0.04</v>
      </c>
      <c r="DT30" s="229">
        <v>-5.0599999999999999E-2</v>
      </c>
      <c r="DU30" s="231">
        <v>1220</v>
      </c>
      <c r="DV30" s="231">
        <v>1200</v>
      </c>
      <c r="DW30" s="228">
        <v>0.3</v>
      </c>
      <c r="DX30" s="228">
        <v>0.33</v>
      </c>
      <c r="DY30" s="228">
        <v>-0.03</v>
      </c>
      <c r="DZ30" s="229">
        <v>-9.0899999999999995E-2</v>
      </c>
      <c r="EA30" s="229">
        <v>2.24E-2</v>
      </c>
      <c r="EB30" s="230">
        <v>184000</v>
      </c>
      <c r="EC30" s="229">
        <v>-2.9999999999999997E-4</v>
      </c>
      <c r="ED30" s="229">
        <v>2.24E-2</v>
      </c>
      <c r="EE30" s="228">
        <v>2.94</v>
      </c>
      <c r="EF30" s="229">
        <v>2.3999999999999998E-3</v>
      </c>
      <c r="EG30" s="230">
        <v>131023</v>
      </c>
      <c r="EH30" s="230">
        <v>709071</v>
      </c>
      <c r="EI30" s="229">
        <v>-0.81520000000000004</v>
      </c>
      <c r="EJ30" s="229">
        <v>0.39250000000000002</v>
      </c>
      <c r="EK30" s="228">
        <v>455.2</v>
      </c>
      <c r="EL30" s="228">
        <v>130.58000000000001</v>
      </c>
      <c r="EM30" s="228">
        <v>190.81</v>
      </c>
      <c r="EN30" s="228">
        <v>102.07</v>
      </c>
      <c r="EO30" s="228">
        <v>776.58</v>
      </c>
      <c r="EP30" s="228">
        <v>571.84</v>
      </c>
      <c r="EQ30" s="228">
        <v>204.74</v>
      </c>
      <c r="ER30" s="229">
        <v>0.35799999999999998</v>
      </c>
      <c r="ES30" s="228">
        <v>296.72000000000003</v>
      </c>
      <c r="ET30" s="228">
        <v>208.31</v>
      </c>
      <c r="EU30" s="231">
        <v>1279.02</v>
      </c>
      <c r="EV30" s="231">
        <v>35155737</v>
      </c>
      <c r="EW30" s="231">
        <v>1784.05</v>
      </c>
      <c r="EX30" s="231">
        <v>1699.02</v>
      </c>
      <c r="EY30" s="228">
        <v>85.03</v>
      </c>
      <c r="EZ30" s="229">
        <v>0.05</v>
      </c>
      <c r="FA30" s="229">
        <v>0.41260000000000002</v>
      </c>
      <c r="FB30" s="227" t="s">
        <v>555</v>
      </c>
      <c r="FC30">
        <f t="shared" si="0"/>
        <v>29</v>
      </c>
    </row>
    <row r="31" spans="1:159" ht="17.25" thickBot="1" x14ac:dyDescent="0.3">
      <c r="A31" s="226">
        <v>45936</v>
      </c>
      <c r="B31" s="227" t="s">
        <v>188</v>
      </c>
      <c r="C31" s="227" t="s">
        <v>189</v>
      </c>
      <c r="D31" s="228">
        <v>475</v>
      </c>
      <c r="E31" s="228">
        <v>22</v>
      </c>
      <c r="F31" s="231">
        <v>1912.2</v>
      </c>
      <c r="G31" s="231">
        <v>1904</v>
      </c>
      <c r="H31" s="228">
        <v>8.1999999999999993</v>
      </c>
      <c r="I31" s="229">
        <v>4.3E-3</v>
      </c>
      <c r="J31" s="231">
        <v>1903.1</v>
      </c>
      <c r="K31" s="231">
        <v>1896.7</v>
      </c>
      <c r="L31" s="228">
        <v>6.4</v>
      </c>
      <c r="M31" s="229">
        <v>3.3999999999999998E-3</v>
      </c>
      <c r="N31" s="231">
        <v>1912.2</v>
      </c>
      <c r="O31" s="231">
        <v>1904</v>
      </c>
      <c r="P31" s="228">
        <v>8.1999999999999993</v>
      </c>
      <c r="Q31" s="229">
        <v>4.3E-3</v>
      </c>
      <c r="R31" s="231">
        <v>1923.2</v>
      </c>
      <c r="S31" s="231">
        <v>1915.2</v>
      </c>
      <c r="T31" s="228">
        <v>8</v>
      </c>
      <c r="U31" s="229">
        <v>4.1999999999999997E-3</v>
      </c>
      <c r="V31" s="231">
        <v>1934.1</v>
      </c>
      <c r="W31" s="231">
        <v>1925.6</v>
      </c>
      <c r="X31" s="228">
        <v>8.5</v>
      </c>
      <c r="Y31" s="229">
        <v>4.4000000000000003E-3</v>
      </c>
      <c r="Z31" s="228">
        <v>9.1</v>
      </c>
      <c r="AA31" s="228">
        <v>7.3</v>
      </c>
      <c r="AB31" s="228">
        <v>1.8</v>
      </c>
      <c r="AC31" s="229">
        <v>4.7999999999999996E-3</v>
      </c>
      <c r="AD31" s="228">
        <v>9.1</v>
      </c>
      <c r="AE31" s="228">
        <v>7.3</v>
      </c>
      <c r="AF31" s="228">
        <v>1.8</v>
      </c>
      <c r="AG31" s="229">
        <v>4.7999999999999996E-3</v>
      </c>
      <c r="AH31" s="228">
        <v>20.100000000000001</v>
      </c>
      <c r="AI31" s="228">
        <v>18.5</v>
      </c>
      <c r="AJ31" s="228">
        <v>1.6</v>
      </c>
      <c r="AK31" s="229">
        <v>1.06E-2</v>
      </c>
      <c r="AL31" s="228">
        <v>31</v>
      </c>
      <c r="AM31" s="228">
        <v>28.9</v>
      </c>
      <c r="AN31" s="228">
        <v>2.1</v>
      </c>
      <c r="AO31" s="229">
        <v>1.6299999999999999E-2</v>
      </c>
      <c r="AP31" s="231">
        <v>1905.83</v>
      </c>
      <c r="AQ31" s="231">
        <v>1916.19</v>
      </c>
      <c r="AR31" s="228">
        <v>0</v>
      </c>
      <c r="AS31" s="228">
        <v>704</v>
      </c>
      <c r="AT31" s="230">
        <v>1980</v>
      </c>
      <c r="AU31" s="230">
        <v>-1275</v>
      </c>
      <c r="AV31" s="229">
        <v>-0.64419999999999999</v>
      </c>
      <c r="AW31" s="228">
        <v>678</v>
      </c>
      <c r="AX31" s="230">
        <v>1625</v>
      </c>
      <c r="AY31" s="228">
        <v>-947</v>
      </c>
      <c r="AZ31" s="229">
        <v>-0.58289999999999997</v>
      </c>
      <c r="BA31" s="228">
        <v>25</v>
      </c>
      <c r="BB31" s="228">
        <v>33</v>
      </c>
      <c r="BC31" s="228">
        <v>-9</v>
      </c>
      <c r="BD31" s="229">
        <v>-0.26029999999999998</v>
      </c>
      <c r="BE31" s="228">
        <v>2</v>
      </c>
      <c r="BF31" s="228">
        <v>321</v>
      </c>
      <c r="BG31" s="228">
        <v>-319</v>
      </c>
      <c r="BH31" s="229">
        <v>-0.99429999999999996</v>
      </c>
      <c r="BI31" s="230">
        <v>2611</v>
      </c>
      <c r="BJ31" s="230">
        <v>4589</v>
      </c>
      <c r="BK31" s="230">
        <v>-1977</v>
      </c>
      <c r="BL31" s="229">
        <v>-0.43090000000000001</v>
      </c>
      <c r="BM31" s="230">
        <v>1098</v>
      </c>
      <c r="BN31" s="230">
        <v>1942</v>
      </c>
      <c r="BO31" s="228">
        <v>-844</v>
      </c>
      <c r="BP31" s="229">
        <v>-0.4345</v>
      </c>
      <c r="BQ31" s="230">
        <v>4414</v>
      </c>
      <c r="BR31" s="230">
        <v>8511</v>
      </c>
      <c r="BS31" s="230">
        <v>-4097</v>
      </c>
      <c r="BT31" s="229">
        <v>-0.48139999999999999</v>
      </c>
      <c r="BU31" s="230">
        <v>2919900</v>
      </c>
      <c r="BV31" s="230">
        <v>5886660</v>
      </c>
      <c r="BW31" s="230">
        <v>-2966760</v>
      </c>
      <c r="BX31" s="229">
        <v>-0.504</v>
      </c>
      <c r="BY31" s="230">
        <v>9419</v>
      </c>
      <c r="BZ31" s="230">
        <v>9451</v>
      </c>
      <c r="CA31" s="228">
        <v>-32</v>
      </c>
      <c r="CB31" s="229">
        <v>-3.3999999999999998E-3</v>
      </c>
      <c r="CC31" s="230">
        <v>9025</v>
      </c>
      <c r="CD31" s="230">
        <v>9054</v>
      </c>
      <c r="CE31" s="228">
        <v>-29</v>
      </c>
      <c r="CF31" s="229">
        <v>-3.3E-3</v>
      </c>
      <c r="CG31" s="228">
        <v>72</v>
      </c>
      <c r="CH31" s="228">
        <v>76</v>
      </c>
      <c r="CI31" s="228">
        <v>-3</v>
      </c>
      <c r="CJ31" s="229">
        <v>-4.3200000000000002E-2</v>
      </c>
      <c r="CK31" s="228">
        <v>322</v>
      </c>
      <c r="CL31" s="228">
        <v>321</v>
      </c>
      <c r="CM31" s="228">
        <v>1</v>
      </c>
      <c r="CN31" s="229">
        <v>2E-3</v>
      </c>
      <c r="CO31" s="230">
        <v>1571</v>
      </c>
      <c r="CP31" s="230">
        <v>1523</v>
      </c>
      <c r="CQ31" s="228">
        <v>49</v>
      </c>
      <c r="CR31" s="229">
        <v>3.2000000000000001E-2</v>
      </c>
      <c r="CS31" s="228">
        <v>891</v>
      </c>
      <c r="CT31" s="228">
        <v>880</v>
      </c>
      <c r="CU31" s="228">
        <v>12</v>
      </c>
      <c r="CV31" s="229">
        <v>1.35E-2</v>
      </c>
      <c r="CW31" s="230">
        <v>11882</v>
      </c>
      <c r="CX31" s="230">
        <v>11853</v>
      </c>
      <c r="CY31" s="228">
        <v>29</v>
      </c>
      <c r="CZ31" s="229">
        <v>2.3999999999999998E-3</v>
      </c>
      <c r="DA31" s="228">
        <v>16.739999999999998</v>
      </c>
      <c r="DB31" s="228">
        <v>16.59</v>
      </c>
      <c r="DC31" s="228">
        <v>0.15</v>
      </c>
      <c r="DD31" s="228">
        <v>0.15</v>
      </c>
      <c r="DE31" s="228">
        <v>24.92</v>
      </c>
      <c r="DF31" s="228">
        <v>24.98</v>
      </c>
      <c r="DG31" s="228">
        <v>-8.18</v>
      </c>
      <c r="DH31" s="228">
        <v>-0.06</v>
      </c>
      <c r="DI31" s="228">
        <v>16.690000000000001</v>
      </c>
      <c r="DJ31" s="228">
        <v>16.48</v>
      </c>
      <c r="DK31" s="228">
        <v>0.21</v>
      </c>
      <c r="DL31" s="228">
        <v>0.21</v>
      </c>
      <c r="DM31" s="228">
        <v>16.86</v>
      </c>
      <c r="DN31" s="228">
        <v>16.84</v>
      </c>
      <c r="DO31" s="228">
        <v>0.02</v>
      </c>
      <c r="DP31" s="228">
        <v>0.02</v>
      </c>
      <c r="DQ31" s="228">
        <v>0.56999999999999995</v>
      </c>
      <c r="DR31" s="228">
        <v>0.57999999999999996</v>
      </c>
      <c r="DS31" s="228">
        <v>-0.01</v>
      </c>
      <c r="DT31" s="229">
        <v>-1.72E-2</v>
      </c>
      <c r="DU31" s="231">
        <v>1900</v>
      </c>
      <c r="DV31" s="231">
        <v>1900</v>
      </c>
      <c r="DW31" s="228">
        <v>0.42</v>
      </c>
      <c r="DX31" s="228">
        <v>0.42</v>
      </c>
      <c r="DY31" s="228">
        <v>0</v>
      </c>
      <c r="DZ31" s="229">
        <v>0</v>
      </c>
      <c r="EA31" s="229">
        <v>4.19E-2</v>
      </c>
      <c r="EB31" s="230">
        <v>2076700</v>
      </c>
      <c r="EC31" s="229">
        <v>5.7999999999999996E-3</v>
      </c>
      <c r="ED31" s="229">
        <v>4.19E-2</v>
      </c>
      <c r="EE31" s="228">
        <v>10.36</v>
      </c>
      <c r="EF31" s="229">
        <v>5.4000000000000003E-3</v>
      </c>
      <c r="EG31" s="230">
        <v>1825389</v>
      </c>
      <c r="EH31" s="230">
        <v>4030452</v>
      </c>
      <c r="EI31" s="229">
        <v>-0.54710000000000003</v>
      </c>
      <c r="EJ31" s="229">
        <v>0.62519999999999998</v>
      </c>
      <c r="EK31" s="231">
        <v>2680.76</v>
      </c>
      <c r="EL31" s="231">
        <v>1080.67</v>
      </c>
      <c r="EM31" s="228">
        <v>702.1</v>
      </c>
      <c r="EN31" s="228">
        <v>332.57</v>
      </c>
      <c r="EO31" s="231">
        <v>4463.53</v>
      </c>
      <c r="EP31" s="231">
        <v>8548.92</v>
      </c>
      <c r="EQ31" s="231">
        <v>-4085.39</v>
      </c>
      <c r="ER31" s="229">
        <v>-0.47789999999999999</v>
      </c>
      <c r="ES31" s="231">
        <v>1616.58</v>
      </c>
      <c r="ET31" s="228">
        <v>865.26</v>
      </c>
      <c r="EU31" s="231">
        <v>9423.31</v>
      </c>
      <c r="EV31" s="231">
        <v>314058656</v>
      </c>
      <c r="EW31" s="231">
        <v>11905.14</v>
      </c>
      <c r="EX31" s="231">
        <v>11833.61</v>
      </c>
      <c r="EY31" s="228">
        <v>71.53</v>
      </c>
      <c r="EZ31" s="229">
        <v>6.0000000000000001E-3</v>
      </c>
      <c r="FA31" s="229">
        <v>0.19789999999999999</v>
      </c>
      <c r="FB31" s="227" t="s">
        <v>556</v>
      </c>
      <c r="FC31">
        <f t="shared" si="0"/>
        <v>394</v>
      </c>
    </row>
    <row r="32" spans="1:159" ht="17.25" thickBot="1" x14ac:dyDescent="0.3">
      <c r="A32" s="226">
        <v>45936</v>
      </c>
      <c r="B32" s="227" t="s">
        <v>184</v>
      </c>
      <c r="C32" s="227" t="s">
        <v>190</v>
      </c>
      <c r="D32" s="228">
        <v>2625</v>
      </c>
      <c r="E32" s="228">
        <v>22</v>
      </c>
      <c r="F32" s="228">
        <v>246.24</v>
      </c>
      <c r="G32" s="228">
        <v>246.1</v>
      </c>
      <c r="H32" s="228">
        <v>0.14000000000000001</v>
      </c>
      <c r="I32" s="229">
        <v>5.9999999999999995E-4</v>
      </c>
      <c r="J32" s="228">
        <v>245.31</v>
      </c>
      <c r="K32" s="228">
        <v>245.02</v>
      </c>
      <c r="L32" s="228">
        <v>0.28999999999999998</v>
      </c>
      <c r="M32" s="229">
        <v>1.1999999999999999E-3</v>
      </c>
      <c r="N32" s="228">
        <v>246.24</v>
      </c>
      <c r="O32" s="228">
        <v>246.1</v>
      </c>
      <c r="P32" s="228">
        <v>0.14000000000000001</v>
      </c>
      <c r="Q32" s="229">
        <v>5.9999999999999995E-4</v>
      </c>
      <c r="R32" s="228">
        <v>247.52</v>
      </c>
      <c r="S32" s="228">
        <v>247.21</v>
      </c>
      <c r="T32" s="228">
        <v>0.31</v>
      </c>
      <c r="U32" s="229">
        <v>1.2999999999999999E-3</v>
      </c>
      <c r="V32" s="228">
        <v>249.3</v>
      </c>
      <c r="W32" s="228">
        <v>248.6</v>
      </c>
      <c r="X32" s="228">
        <v>0.7</v>
      </c>
      <c r="Y32" s="229">
        <v>2.8E-3</v>
      </c>
      <c r="Z32" s="228">
        <v>0.93</v>
      </c>
      <c r="AA32" s="228">
        <v>1.08</v>
      </c>
      <c r="AB32" s="228">
        <v>-0.15</v>
      </c>
      <c r="AC32" s="229">
        <v>3.8E-3</v>
      </c>
      <c r="AD32" s="228">
        <v>0.93</v>
      </c>
      <c r="AE32" s="228">
        <v>1.08</v>
      </c>
      <c r="AF32" s="228">
        <v>-0.15</v>
      </c>
      <c r="AG32" s="229">
        <v>3.8E-3</v>
      </c>
      <c r="AH32" s="228">
        <v>2.21</v>
      </c>
      <c r="AI32" s="228">
        <v>2.19</v>
      </c>
      <c r="AJ32" s="228">
        <v>0.02</v>
      </c>
      <c r="AK32" s="229">
        <v>8.9999999999999993E-3</v>
      </c>
      <c r="AL32" s="228">
        <v>3.99</v>
      </c>
      <c r="AM32" s="228">
        <v>3.58</v>
      </c>
      <c r="AN32" s="228">
        <v>0.41</v>
      </c>
      <c r="AO32" s="229">
        <v>1.6299999999999999E-2</v>
      </c>
      <c r="AP32" s="228">
        <v>245.98</v>
      </c>
      <c r="AQ32" s="228">
        <v>247.29</v>
      </c>
      <c r="AR32" s="228">
        <v>0</v>
      </c>
      <c r="AS32" s="228">
        <v>200</v>
      </c>
      <c r="AT32" s="228">
        <v>340</v>
      </c>
      <c r="AU32" s="228">
        <v>-140</v>
      </c>
      <c r="AV32" s="229">
        <v>-0.41099999999999998</v>
      </c>
      <c r="AW32" s="228">
        <v>191</v>
      </c>
      <c r="AX32" s="228">
        <v>322</v>
      </c>
      <c r="AY32" s="228">
        <v>-131</v>
      </c>
      <c r="AZ32" s="229">
        <v>-0.4073</v>
      </c>
      <c r="BA32" s="228">
        <v>8</v>
      </c>
      <c r="BB32" s="228">
        <v>14</v>
      </c>
      <c r="BC32" s="228">
        <v>-6</v>
      </c>
      <c r="BD32" s="229">
        <v>-0.43640000000000001</v>
      </c>
      <c r="BE32" s="228">
        <v>1</v>
      </c>
      <c r="BF32" s="228">
        <v>4</v>
      </c>
      <c r="BG32" s="228">
        <v>-2</v>
      </c>
      <c r="BH32" s="229">
        <v>-0.623</v>
      </c>
      <c r="BI32" s="228">
        <v>593</v>
      </c>
      <c r="BJ32" s="230">
        <v>1087</v>
      </c>
      <c r="BK32" s="228">
        <v>-493</v>
      </c>
      <c r="BL32" s="229">
        <v>-0.45379999999999998</v>
      </c>
      <c r="BM32" s="228">
        <v>317</v>
      </c>
      <c r="BN32" s="228">
        <v>440</v>
      </c>
      <c r="BO32" s="228">
        <v>-123</v>
      </c>
      <c r="BP32" s="229">
        <v>-0.28050000000000003</v>
      </c>
      <c r="BQ32" s="230">
        <v>1111</v>
      </c>
      <c r="BR32" s="230">
        <v>1867</v>
      </c>
      <c r="BS32" s="228">
        <v>-756</v>
      </c>
      <c r="BT32" s="229">
        <v>-0.4052</v>
      </c>
      <c r="BU32" s="230">
        <v>6214274</v>
      </c>
      <c r="BV32" s="230">
        <v>10113575</v>
      </c>
      <c r="BW32" s="230">
        <v>-3899301</v>
      </c>
      <c r="BX32" s="229">
        <v>-0.3856</v>
      </c>
      <c r="BY32" s="230">
        <v>1449</v>
      </c>
      <c r="BZ32" s="230">
        <v>1443</v>
      </c>
      <c r="CA32" s="228">
        <v>6</v>
      </c>
      <c r="CB32" s="229">
        <v>4.3E-3</v>
      </c>
      <c r="CC32" s="230">
        <v>1412</v>
      </c>
      <c r="CD32" s="230">
        <v>1408</v>
      </c>
      <c r="CE32" s="228">
        <v>4</v>
      </c>
      <c r="CF32" s="229">
        <v>2.8999999999999998E-3</v>
      </c>
      <c r="CG32" s="228">
        <v>33</v>
      </c>
      <c r="CH32" s="228">
        <v>31</v>
      </c>
      <c r="CI32" s="228">
        <v>1</v>
      </c>
      <c r="CJ32" s="229">
        <v>4.5400000000000003E-2</v>
      </c>
      <c r="CK32" s="228">
        <v>4</v>
      </c>
      <c r="CL32" s="228">
        <v>3</v>
      </c>
      <c r="CM32" s="228">
        <v>1</v>
      </c>
      <c r="CN32" s="229">
        <v>0.20830000000000001</v>
      </c>
      <c r="CO32" s="228">
        <v>446</v>
      </c>
      <c r="CP32" s="228">
        <v>414</v>
      </c>
      <c r="CQ32" s="228">
        <v>33</v>
      </c>
      <c r="CR32" s="229">
        <v>7.8600000000000003E-2</v>
      </c>
      <c r="CS32" s="228">
        <v>348</v>
      </c>
      <c r="CT32" s="228">
        <v>351</v>
      </c>
      <c r="CU32" s="228">
        <v>-3</v>
      </c>
      <c r="CV32" s="229">
        <v>-9.5999999999999992E-3</v>
      </c>
      <c r="CW32" s="230">
        <v>2243</v>
      </c>
      <c r="CX32" s="230">
        <v>2208</v>
      </c>
      <c r="CY32" s="228">
        <v>35</v>
      </c>
      <c r="CZ32" s="229">
        <v>1.6E-2</v>
      </c>
      <c r="DA32" s="228">
        <v>30.31</v>
      </c>
      <c r="DB32" s="228">
        <v>29.69</v>
      </c>
      <c r="DC32" s="228">
        <v>0.62</v>
      </c>
      <c r="DD32" s="228">
        <v>0.62</v>
      </c>
      <c r="DE32" s="228">
        <v>46.46</v>
      </c>
      <c r="DF32" s="228">
        <v>46.58</v>
      </c>
      <c r="DG32" s="228">
        <v>-16.149999999999999</v>
      </c>
      <c r="DH32" s="228">
        <v>-0.12</v>
      </c>
      <c r="DI32" s="228">
        <v>30.39</v>
      </c>
      <c r="DJ32" s="228">
        <v>29.5</v>
      </c>
      <c r="DK32" s="228">
        <v>0.89</v>
      </c>
      <c r="DL32" s="228">
        <v>0.89</v>
      </c>
      <c r="DM32" s="228">
        <v>30.17</v>
      </c>
      <c r="DN32" s="228">
        <v>30.14</v>
      </c>
      <c r="DO32" s="228">
        <v>0.03</v>
      </c>
      <c r="DP32" s="228">
        <v>0.03</v>
      </c>
      <c r="DQ32" s="228">
        <v>0.78</v>
      </c>
      <c r="DR32" s="228">
        <v>0.85</v>
      </c>
      <c r="DS32" s="228">
        <v>-7.0000000000000007E-2</v>
      </c>
      <c r="DT32" s="229">
        <v>-8.2400000000000001E-2</v>
      </c>
      <c r="DU32" s="228">
        <v>250</v>
      </c>
      <c r="DV32" s="228">
        <v>240</v>
      </c>
      <c r="DW32" s="228">
        <v>0.53</v>
      </c>
      <c r="DX32" s="228">
        <v>0.41</v>
      </c>
      <c r="DY32" s="228">
        <v>0.12</v>
      </c>
      <c r="DZ32" s="229">
        <v>0.29270000000000002</v>
      </c>
      <c r="EA32" s="229">
        <v>2.52E-2</v>
      </c>
      <c r="EB32" s="230">
        <v>1399125</v>
      </c>
      <c r="EC32" s="229">
        <v>5.1999999999999998E-3</v>
      </c>
      <c r="ED32" s="229">
        <v>2.52E-2</v>
      </c>
      <c r="EE32" s="228">
        <v>1.31</v>
      </c>
      <c r="EF32" s="229">
        <v>5.3E-3</v>
      </c>
      <c r="EG32" s="230">
        <v>2740861</v>
      </c>
      <c r="EH32" s="230">
        <v>4568943</v>
      </c>
      <c r="EI32" s="229">
        <v>-0.40010000000000001</v>
      </c>
      <c r="EJ32" s="229">
        <v>0.44109999999999999</v>
      </c>
      <c r="EK32" s="228">
        <v>618</v>
      </c>
      <c r="EL32" s="228">
        <v>316.57</v>
      </c>
      <c r="EM32" s="228">
        <v>200.29</v>
      </c>
      <c r="EN32" s="228">
        <v>106.82</v>
      </c>
      <c r="EO32" s="231">
        <v>1134.8599999999999</v>
      </c>
      <c r="EP32" s="231">
        <v>1907.09</v>
      </c>
      <c r="EQ32" s="228">
        <v>-772.23</v>
      </c>
      <c r="ER32" s="229">
        <v>-0.40489999999999998</v>
      </c>
      <c r="ES32" s="228">
        <v>451.51</v>
      </c>
      <c r="ET32" s="228">
        <v>334.05</v>
      </c>
      <c r="EU32" s="231">
        <v>1449.08</v>
      </c>
      <c r="EV32" s="231">
        <v>169029877</v>
      </c>
      <c r="EW32" s="231">
        <v>2234.64</v>
      </c>
      <c r="EX32" s="231">
        <v>2197.0100000000002</v>
      </c>
      <c r="EY32" s="228">
        <v>37.630000000000003</v>
      </c>
      <c r="EZ32" s="229">
        <v>1.7100000000000001E-2</v>
      </c>
      <c r="FA32" s="229">
        <v>0.53890000000000005</v>
      </c>
      <c r="FB32" s="227" t="s">
        <v>555</v>
      </c>
      <c r="FC32">
        <f t="shared" si="0"/>
        <v>37</v>
      </c>
    </row>
    <row r="33" spans="1:159" ht="17.25" thickBot="1" x14ac:dyDescent="0.3">
      <c r="A33" s="226">
        <v>45936</v>
      </c>
      <c r="B33" s="227" t="s">
        <v>170</v>
      </c>
      <c r="C33" s="227" t="s">
        <v>191</v>
      </c>
      <c r="D33" s="228">
        <v>2500</v>
      </c>
      <c r="E33" s="228">
        <v>22</v>
      </c>
      <c r="F33" s="228">
        <v>349.5</v>
      </c>
      <c r="G33" s="228">
        <v>354.4</v>
      </c>
      <c r="H33" s="228">
        <v>-4.9000000000000004</v>
      </c>
      <c r="I33" s="229">
        <v>-1.38E-2</v>
      </c>
      <c r="J33" s="228">
        <v>347.75</v>
      </c>
      <c r="K33" s="228">
        <v>352.25</v>
      </c>
      <c r="L33" s="228">
        <v>-4.5</v>
      </c>
      <c r="M33" s="229">
        <v>-1.2800000000000001E-2</v>
      </c>
      <c r="N33" s="228">
        <v>349.5</v>
      </c>
      <c r="O33" s="228">
        <v>354.4</v>
      </c>
      <c r="P33" s="228">
        <v>-4.9000000000000004</v>
      </c>
      <c r="Q33" s="229">
        <v>-1.38E-2</v>
      </c>
      <c r="R33" s="228">
        <v>351.4</v>
      </c>
      <c r="S33" s="228">
        <v>356.25</v>
      </c>
      <c r="T33" s="228">
        <v>-4.8499999999999996</v>
      </c>
      <c r="U33" s="229">
        <v>-1.3599999999999999E-2</v>
      </c>
      <c r="V33" s="228">
        <v>354</v>
      </c>
      <c r="W33" s="228">
        <v>358.1</v>
      </c>
      <c r="X33" s="228">
        <v>-4.0999999999999996</v>
      </c>
      <c r="Y33" s="229">
        <v>-1.14E-2</v>
      </c>
      <c r="Z33" s="228">
        <v>1.75</v>
      </c>
      <c r="AA33" s="228">
        <v>2.15</v>
      </c>
      <c r="AB33" s="228">
        <v>-0.4</v>
      </c>
      <c r="AC33" s="229">
        <v>5.0000000000000001E-3</v>
      </c>
      <c r="AD33" s="228">
        <v>1.75</v>
      </c>
      <c r="AE33" s="228">
        <v>2.15</v>
      </c>
      <c r="AF33" s="228">
        <v>-0.4</v>
      </c>
      <c r="AG33" s="229">
        <v>5.0000000000000001E-3</v>
      </c>
      <c r="AH33" s="228">
        <v>3.65</v>
      </c>
      <c r="AI33" s="228">
        <v>4</v>
      </c>
      <c r="AJ33" s="228">
        <v>-0.35</v>
      </c>
      <c r="AK33" s="229">
        <v>1.0500000000000001E-2</v>
      </c>
      <c r="AL33" s="228">
        <v>6.25</v>
      </c>
      <c r="AM33" s="228">
        <v>5.85</v>
      </c>
      <c r="AN33" s="228">
        <v>0.4</v>
      </c>
      <c r="AO33" s="229">
        <v>1.7999999999999999E-2</v>
      </c>
      <c r="AP33" s="228">
        <v>349</v>
      </c>
      <c r="AQ33" s="228">
        <v>350.5</v>
      </c>
      <c r="AR33" s="228">
        <v>0</v>
      </c>
      <c r="AS33" s="228">
        <v>172</v>
      </c>
      <c r="AT33" s="228">
        <v>166</v>
      </c>
      <c r="AU33" s="228">
        <v>6</v>
      </c>
      <c r="AV33" s="229">
        <v>3.3099999999999997E-2</v>
      </c>
      <c r="AW33" s="228">
        <v>160</v>
      </c>
      <c r="AX33" s="228">
        <v>155</v>
      </c>
      <c r="AY33" s="228">
        <v>4</v>
      </c>
      <c r="AZ33" s="229">
        <v>2.75E-2</v>
      </c>
      <c r="BA33" s="228">
        <v>11</v>
      </c>
      <c r="BB33" s="228">
        <v>10</v>
      </c>
      <c r="BC33" s="228">
        <v>1</v>
      </c>
      <c r="BD33" s="229">
        <v>0.1081</v>
      </c>
      <c r="BE33" s="228">
        <v>1</v>
      </c>
      <c r="BF33" s="228">
        <v>1</v>
      </c>
      <c r="BG33" s="228">
        <v>0</v>
      </c>
      <c r="BH33" s="229">
        <v>0.1333</v>
      </c>
      <c r="BI33" s="228">
        <v>512</v>
      </c>
      <c r="BJ33" s="228">
        <v>430</v>
      </c>
      <c r="BK33" s="228">
        <v>82</v>
      </c>
      <c r="BL33" s="229">
        <v>0.19070000000000001</v>
      </c>
      <c r="BM33" s="228">
        <v>166</v>
      </c>
      <c r="BN33" s="228">
        <v>174</v>
      </c>
      <c r="BO33" s="228">
        <v>-8</v>
      </c>
      <c r="BP33" s="229">
        <v>-4.4600000000000001E-2</v>
      </c>
      <c r="BQ33" s="228">
        <v>851</v>
      </c>
      <c r="BR33" s="228">
        <v>771</v>
      </c>
      <c r="BS33" s="228">
        <v>80</v>
      </c>
      <c r="BT33" s="229">
        <v>0.10349999999999999</v>
      </c>
      <c r="BU33" s="230">
        <v>2853812</v>
      </c>
      <c r="BV33" s="230">
        <v>2709436</v>
      </c>
      <c r="BW33" s="230">
        <v>144376</v>
      </c>
      <c r="BX33" s="229">
        <v>5.33E-2</v>
      </c>
      <c r="BY33" s="230">
        <v>1375</v>
      </c>
      <c r="BZ33" s="230">
        <v>1376</v>
      </c>
      <c r="CA33" s="228">
        <v>0</v>
      </c>
      <c r="CB33" s="229">
        <v>-2.9999999999999997E-4</v>
      </c>
      <c r="CC33" s="230">
        <v>1347</v>
      </c>
      <c r="CD33" s="230">
        <v>1353</v>
      </c>
      <c r="CE33" s="228">
        <v>-6</v>
      </c>
      <c r="CF33" s="229">
        <v>-4.3E-3</v>
      </c>
      <c r="CG33" s="228">
        <v>25</v>
      </c>
      <c r="CH33" s="228">
        <v>21</v>
      </c>
      <c r="CI33" s="228">
        <v>4</v>
      </c>
      <c r="CJ33" s="229">
        <v>0.19919999999999999</v>
      </c>
      <c r="CK33" s="228">
        <v>3</v>
      </c>
      <c r="CL33" s="228">
        <v>1</v>
      </c>
      <c r="CM33" s="228">
        <v>1</v>
      </c>
      <c r="CN33" s="229">
        <v>0.93330000000000002</v>
      </c>
      <c r="CO33" s="228">
        <v>457</v>
      </c>
      <c r="CP33" s="228">
        <v>376</v>
      </c>
      <c r="CQ33" s="228">
        <v>81</v>
      </c>
      <c r="CR33" s="229">
        <v>0.2152</v>
      </c>
      <c r="CS33" s="228">
        <v>299</v>
      </c>
      <c r="CT33" s="228">
        <v>293</v>
      </c>
      <c r="CU33" s="228">
        <v>6</v>
      </c>
      <c r="CV33" s="229">
        <v>2.0899999999999998E-2</v>
      </c>
      <c r="CW33" s="230">
        <v>2131</v>
      </c>
      <c r="CX33" s="230">
        <v>2045</v>
      </c>
      <c r="CY33" s="228">
        <v>87</v>
      </c>
      <c r="CZ33" s="229">
        <v>4.24E-2</v>
      </c>
      <c r="DA33" s="228">
        <v>25.33</v>
      </c>
      <c r="DB33" s="228">
        <v>25.29</v>
      </c>
      <c r="DC33" s="228">
        <v>0.04</v>
      </c>
      <c r="DD33" s="228">
        <v>0.04</v>
      </c>
      <c r="DE33" s="228">
        <v>39.909999999999997</v>
      </c>
      <c r="DF33" s="228">
        <v>39.97</v>
      </c>
      <c r="DG33" s="228">
        <v>-14.58</v>
      </c>
      <c r="DH33" s="228">
        <v>-0.06</v>
      </c>
      <c r="DI33" s="228">
        <v>25.2</v>
      </c>
      <c r="DJ33" s="228">
        <v>24.74</v>
      </c>
      <c r="DK33" s="228">
        <v>0.46</v>
      </c>
      <c r="DL33" s="228">
        <v>0.46</v>
      </c>
      <c r="DM33" s="228">
        <v>25.73</v>
      </c>
      <c r="DN33" s="228">
        <v>26.64</v>
      </c>
      <c r="DO33" s="228">
        <v>-0.91</v>
      </c>
      <c r="DP33" s="228">
        <v>-0.91</v>
      </c>
      <c r="DQ33" s="228">
        <v>0.65</v>
      </c>
      <c r="DR33" s="228">
        <v>0.78</v>
      </c>
      <c r="DS33" s="228">
        <v>-0.13</v>
      </c>
      <c r="DT33" s="229">
        <v>-0.16669999999999999</v>
      </c>
      <c r="DU33" s="228">
        <v>360</v>
      </c>
      <c r="DV33" s="228">
        <v>350</v>
      </c>
      <c r="DW33" s="228">
        <v>0.32</v>
      </c>
      <c r="DX33" s="228">
        <v>0.41</v>
      </c>
      <c r="DY33" s="228">
        <v>-0.09</v>
      </c>
      <c r="DZ33" s="229">
        <v>-0.2195</v>
      </c>
      <c r="EA33" s="229">
        <v>2.0199999999999999E-2</v>
      </c>
      <c r="EB33" s="230">
        <v>640000</v>
      </c>
      <c r="EC33" s="229">
        <v>5.4000000000000003E-3</v>
      </c>
      <c r="ED33" s="229">
        <v>2.0199999999999999E-2</v>
      </c>
      <c r="EE33" s="228">
        <v>1.5</v>
      </c>
      <c r="EF33" s="229">
        <v>4.3E-3</v>
      </c>
      <c r="EG33" s="230">
        <v>1658671</v>
      </c>
      <c r="EH33" s="230">
        <v>1564381</v>
      </c>
      <c r="EI33" s="229">
        <v>6.0299999999999999E-2</v>
      </c>
      <c r="EJ33" s="229">
        <v>0.58120000000000005</v>
      </c>
      <c r="EK33" s="228">
        <v>539.16</v>
      </c>
      <c r="EL33" s="228">
        <v>166.31</v>
      </c>
      <c r="EM33" s="228">
        <v>171.77</v>
      </c>
      <c r="EN33" s="228">
        <v>51.27</v>
      </c>
      <c r="EO33" s="228">
        <v>877.25</v>
      </c>
      <c r="EP33" s="228">
        <v>791.15</v>
      </c>
      <c r="EQ33" s="228">
        <v>86.1</v>
      </c>
      <c r="ER33" s="229">
        <v>0.10879999999999999</v>
      </c>
      <c r="ES33" s="228">
        <v>484.47</v>
      </c>
      <c r="ET33" s="228">
        <v>292.01</v>
      </c>
      <c r="EU33" s="231">
        <v>1375.45</v>
      </c>
      <c r="EV33" s="231">
        <v>90981174</v>
      </c>
      <c r="EW33" s="231">
        <v>2151.94</v>
      </c>
      <c r="EX33" s="231">
        <v>2081.29</v>
      </c>
      <c r="EY33" s="228">
        <v>70.650000000000006</v>
      </c>
      <c r="EZ33" s="229">
        <v>3.39E-2</v>
      </c>
      <c r="FA33" s="229">
        <v>0.67030000000000001</v>
      </c>
      <c r="FB33" s="227" t="s">
        <v>568</v>
      </c>
      <c r="FC33">
        <f t="shared" si="0"/>
        <v>28</v>
      </c>
    </row>
    <row r="34" spans="1:159" ht="17.25" thickBot="1" x14ac:dyDescent="0.3">
      <c r="A34" s="226">
        <v>45936</v>
      </c>
      <c r="B34" s="227" t="s">
        <v>184</v>
      </c>
      <c r="C34" s="227" t="s">
        <v>681</v>
      </c>
      <c r="D34" s="228">
        <v>325</v>
      </c>
      <c r="E34" s="228">
        <v>22</v>
      </c>
      <c r="F34" s="231">
        <v>1901.7</v>
      </c>
      <c r="G34" s="231">
        <v>1901.9</v>
      </c>
      <c r="H34" s="228">
        <v>-0.2</v>
      </c>
      <c r="I34" s="229">
        <v>-1E-4</v>
      </c>
      <c r="J34" s="231">
        <v>1892.8</v>
      </c>
      <c r="K34" s="231">
        <v>1899.2</v>
      </c>
      <c r="L34" s="228">
        <v>-6.4</v>
      </c>
      <c r="M34" s="229">
        <v>-3.3999999999999998E-3</v>
      </c>
      <c r="N34" s="231">
        <v>1901.7</v>
      </c>
      <c r="O34" s="231">
        <v>1901.9</v>
      </c>
      <c r="P34" s="228">
        <v>-0.2</v>
      </c>
      <c r="Q34" s="229">
        <v>-1E-4</v>
      </c>
      <c r="R34" s="231">
        <v>1898.6</v>
      </c>
      <c r="S34" s="231">
        <v>1896.3</v>
      </c>
      <c r="T34" s="228">
        <v>2.2999999999999998</v>
      </c>
      <c r="U34" s="229">
        <v>1.1999999999999999E-3</v>
      </c>
      <c r="V34" s="231">
        <v>1895.1</v>
      </c>
      <c r="W34" s="231">
        <v>1895.1</v>
      </c>
      <c r="X34" s="228">
        <v>0</v>
      </c>
      <c r="Y34" s="229">
        <v>0</v>
      </c>
      <c r="Z34" s="228">
        <v>8.9</v>
      </c>
      <c r="AA34" s="228">
        <v>2.7</v>
      </c>
      <c r="AB34" s="228">
        <v>6.2</v>
      </c>
      <c r="AC34" s="229">
        <v>4.7000000000000002E-3</v>
      </c>
      <c r="AD34" s="228">
        <v>8.9</v>
      </c>
      <c r="AE34" s="228">
        <v>2.7</v>
      </c>
      <c r="AF34" s="228">
        <v>6.2</v>
      </c>
      <c r="AG34" s="229">
        <v>4.7000000000000002E-3</v>
      </c>
      <c r="AH34" s="228">
        <v>5.8</v>
      </c>
      <c r="AI34" s="228">
        <v>-2.9</v>
      </c>
      <c r="AJ34" s="228">
        <v>8.6999999999999993</v>
      </c>
      <c r="AK34" s="229">
        <v>3.0999999999999999E-3</v>
      </c>
      <c r="AL34" s="228">
        <v>2.2999999999999998</v>
      </c>
      <c r="AM34" s="228">
        <v>-4.0999999999999996</v>
      </c>
      <c r="AN34" s="228">
        <v>6.4</v>
      </c>
      <c r="AO34" s="229">
        <v>1.1999999999999999E-3</v>
      </c>
      <c r="AP34" s="231">
        <v>1899.72</v>
      </c>
      <c r="AQ34" s="231">
        <v>1894.3</v>
      </c>
      <c r="AR34" s="228">
        <v>0</v>
      </c>
      <c r="AS34" s="228">
        <v>54</v>
      </c>
      <c r="AT34" s="228">
        <v>47</v>
      </c>
      <c r="AU34" s="228">
        <v>7</v>
      </c>
      <c r="AV34" s="229">
        <v>0.15490000000000001</v>
      </c>
      <c r="AW34" s="228">
        <v>53</v>
      </c>
      <c r="AX34" s="228">
        <v>45</v>
      </c>
      <c r="AY34" s="228">
        <v>8</v>
      </c>
      <c r="AZ34" s="229">
        <v>0.18060000000000001</v>
      </c>
      <c r="BA34" s="228">
        <v>1</v>
      </c>
      <c r="BB34" s="228">
        <v>2</v>
      </c>
      <c r="BC34" s="228">
        <v>-1</v>
      </c>
      <c r="BD34" s="229">
        <v>-0.37040000000000001</v>
      </c>
      <c r="BE34" s="228">
        <v>0</v>
      </c>
      <c r="BF34" s="228">
        <v>0</v>
      </c>
      <c r="BG34" s="228">
        <v>0</v>
      </c>
      <c r="BH34" s="229">
        <v>-1</v>
      </c>
      <c r="BI34" s="228">
        <v>35</v>
      </c>
      <c r="BJ34" s="228">
        <v>41</v>
      </c>
      <c r="BK34" s="228">
        <v>-6</v>
      </c>
      <c r="BL34" s="229">
        <v>-0.1409</v>
      </c>
      <c r="BM34" s="228">
        <v>18</v>
      </c>
      <c r="BN34" s="228">
        <v>18</v>
      </c>
      <c r="BO34" s="228">
        <v>1</v>
      </c>
      <c r="BP34" s="229">
        <v>3.5000000000000003E-2</v>
      </c>
      <c r="BQ34" s="228">
        <v>108</v>
      </c>
      <c r="BR34" s="228">
        <v>106</v>
      </c>
      <c r="BS34" s="228">
        <v>2</v>
      </c>
      <c r="BT34" s="229">
        <v>1.9800000000000002E-2</v>
      </c>
      <c r="BU34" s="230">
        <v>326336</v>
      </c>
      <c r="BV34" s="230">
        <v>363069</v>
      </c>
      <c r="BW34" s="230">
        <v>-36733</v>
      </c>
      <c r="BX34" s="229">
        <v>-0.1012</v>
      </c>
      <c r="BY34" s="228">
        <v>355</v>
      </c>
      <c r="BZ34" s="228">
        <v>359</v>
      </c>
      <c r="CA34" s="228">
        <v>-3</v>
      </c>
      <c r="CB34" s="229">
        <v>-9.1000000000000004E-3</v>
      </c>
      <c r="CC34" s="228">
        <v>351</v>
      </c>
      <c r="CD34" s="228">
        <v>354</v>
      </c>
      <c r="CE34" s="228">
        <v>-3</v>
      </c>
      <c r="CF34" s="229">
        <v>-9.4000000000000004E-3</v>
      </c>
      <c r="CG34" s="228">
        <v>4</v>
      </c>
      <c r="CH34" s="228">
        <v>4</v>
      </c>
      <c r="CI34" s="228">
        <v>0</v>
      </c>
      <c r="CJ34" s="229">
        <v>1.5900000000000001E-2</v>
      </c>
      <c r="CK34" s="228">
        <v>1</v>
      </c>
      <c r="CL34" s="228">
        <v>1</v>
      </c>
      <c r="CM34" s="228">
        <v>0</v>
      </c>
      <c r="CN34" s="229">
        <v>0</v>
      </c>
      <c r="CO34" s="228">
        <v>47</v>
      </c>
      <c r="CP34" s="228">
        <v>44</v>
      </c>
      <c r="CQ34" s="228">
        <v>4</v>
      </c>
      <c r="CR34" s="229">
        <v>8.2199999999999995E-2</v>
      </c>
      <c r="CS34" s="228">
        <v>41</v>
      </c>
      <c r="CT34" s="228">
        <v>37</v>
      </c>
      <c r="CU34" s="228">
        <v>4</v>
      </c>
      <c r="CV34" s="229">
        <v>0.1061</v>
      </c>
      <c r="CW34" s="228">
        <v>444</v>
      </c>
      <c r="CX34" s="228">
        <v>440</v>
      </c>
      <c r="CY34" s="228">
        <v>4</v>
      </c>
      <c r="CZ34" s="229">
        <v>9.7000000000000003E-3</v>
      </c>
      <c r="DA34" s="228">
        <v>28.45</v>
      </c>
      <c r="DB34" s="228">
        <v>28.53</v>
      </c>
      <c r="DC34" s="228">
        <v>-0.08</v>
      </c>
      <c r="DD34" s="228">
        <v>-0.08</v>
      </c>
      <c r="DE34" s="228">
        <v>42.36</v>
      </c>
      <c r="DF34" s="228">
        <v>42.47</v>
      </c>
      <c r="DG34" s="228">
        <v>-13.91</v>
      </c>
      <c r="DH34" s="228">
        <v>-0.11</v>
      </c>
      <c r="DI34" s="228">
        <v>28.74</v>
      </c>
      <c r="DJ34" s="228">
        <v>28.67</v>
      </c>
      <c r="DK34" s="228">
        <v>7.0000000000000007E-2</v>
      </c>
      <c r="DL34" s="228">
        <v>7.0000000000000007E-2</v>
      </c>
      <c r="DM34" s="228">
        <v>27.9</v>
      </c>
      <c r="DN34" s="228">
        <v>28.19</v>
      </c>
      <c r="DO34" s="228">
        <v>-0.28999999999999998</v>
      </c>
      <c r="DP34" s="228">
        <v>-0.28999999999999998</v>
      </c>
      <c r="DQ34" s="228">
        <v>0.87</v>
      </c>
      <c r="DR34" s="228">
        <v>0.85</v>
      </c>
      <c r="DS34" s="228">
        <v>0.02</v>
      </c>
      <c r="DT34" s="229">
        <v>2.35E-2</v>
      </c>
      <c r="DU34" s="231">
        <v>2000</v>
      </c>
      <c r="DV34" s="231">
        <v>1800</v>
      </c>
      <c r="DW34" s="228">
        <v>0.52</v>
      </c>
      <c r="DX34" s="228">
        <v>0.43</v>
      </c>
      <c r="DY34" s="228">
        <v>0.09</v>
      </c>
      <c r="DZ34" s="229">
        <v>0.20930000000000001</v>
      </c>
      <c r="EA34" s="229">
        <v>1.29E-2</v>
      </c>
      <c r="EB34" s="230">
        <v>23725</v>
      </c>
      <c r="EC34" s="229">
        <v>-1.6000000000000001E-3</v>
      </c>
      <c r="ED34" s="229">
        <v>1.29E-2</v>
      </c>
      <c r="EE34" s="228">
        <v>-5.42</v>
      </c>
      <c r="EF34" s="229">
        <v>-2.8999999999999998E-3</v>
      </c>
      <c r="EG34" s="230">
        <v>208886</v>
      </c>
      <c r="EH34" s="230">
        <v>213938</v>
      </c>
      <c r="EI34" s="229">
        <v>-2.3599999999999999E-2</v>
      </c>
      <c r="EJ34" s="229">
        <v>0.6401</v>
      </c>
      <c r="EK34" s="228">
        <v>37.32</v>
      </c>
      <c r="EL34" s="228">
        <v>17.62</v>
      </c>
      <c r="EM34" s="228">
        <v>54.33</v>
      </c>
      <c r="EN34" s="228">
        <v>30.15</v>
      </c>
      <c r="EO34" s="228">
        <v>109.27</v>
      </c>
      <c r="EP34" s="228">
        <v>107.98</v>
      </c>
      <c r="EQ34" s="228">
        <v>1.29</v>
      </c>
      <c r="ER34" s="229">
        <v>1.1900000000000001E-2</v>
      </c>
      <c r="ES34" s="228">
        <v>50.41</v>
      </c>
      <c r="ET34" s="228">
        <v>39.36</v>
      </c>
      <c r="EU34" s="228">
        <v>355.43</v>
      </c>
      <c r="EV34" s="231">
        <v>19584741</v>
      </c>
      <c r="EW34" s="228">
        <v>445.2</v>
      </c>
      <c r="EX34" s="228">
        <v>440.99</v>
      </c>
      <c r="EY34" s="228">
        <v>4.21</v>
      </c>
      <c r="EZ34" s="229">
        <v>9.4999999999999998E-3</v>
      </c>
      <c r="FA34" s="229">
        <v>0.1192</v>
      </c>
      <c r="FB34" s="227" t="s">
        <v>568</v>
      </c>
      <c r="FC34">
        <f t="shared" si="0"/>
        <v>4</v>
      </c>
    </row>
    <row r="35" spans="1:159" ht="17.25" thickBot="1" x14ac:dyDescent="0.3">
      <c r="A35" s="226">
        <v>45936</v>
      </c>
      <c r="B35" s="227" t="s">
        <v>162</v>
      </c>
      <c r="C35" s="227" t="s">
        <v>192</v>
      </c>
      <c r="D35" s="228">
        <v>25</v>
      </c>
      <c r="E35" s="228">
        <v>22</v>
      </c>
      <c r="F35" s="231">
        <v>39030</v>
      </c>
      <c r="G35" s="231">
        <v>38785</v>
      </c>
      <c r="H35" s="228">
        <v>245</v>
      </c>
      <c r="I35" s="229">
        <v>6.3E-3</v>
      </c>
      <c r="J35" s="231">
        <v>38800</v>
      </c>
      <c r="K35" s="231">
        <v>38630</v>
      </c>
      <c r="L35" s="228">
        <v>170</v>
      </c>
      <c r="M35" s="229">
        <v>4.4000000000000003E-3</v>
      </c>
      <c r="N35" s="231">
        <v>39030</v>
      </c>
      <c r="O35" s="231">
        <v>38785</v>
      </c>
      <c r="P35" s="228">
        <v>245</v>
      </c>
      <c r="Q35" s="229">
        <v>6.3E-3</v>
      </c>
      <c r="R35" s="231">
        <v>39240</v>
      </c>
      <c r="S35" s="231">
        <v>39000</v>
      </c>
      <c r="T35" s="228">
        <v>240</v>
      </c>
      <c r="U35" s="229">
        <v>6.1999999999999998E-3</v>
      </c>
      <c r="V35" s="228">
        <v>0</v>
      </c>
      <c r="W35" s="228">
        <v>0</v>
      </c>
      <c r="X35" s="228">
        <v>0</v>
      </c>
      <c r="Y35" s="229">
        <v>0</v>
      </c>
      <c r="Z35" s="228">
        <v>230</v>
      </c>
      <c r="AA35" s="228">
        <v>155</v>
      </c>
      <c r="AB35" s="228">
        <v>75</v>
      </c>
      <c r="AC35" s="229">
        <v>5.8999999999999999E-3</v>
      </c>
      <c r="AD35" s="228">
        <v>230</v>
      </c>
      <c r="AE35" s="228">
        <v>155</v>
      </c>
      <c r="AF35" s="228">
        <v>75</v>
      </c>
      <c r="AG35" s="229">
        <v>5.8999999999999999E-3</v>
      </c>
      <c r="AH35" s="228">
        <v>440</v>
      </c>
      <c r="AI35" s="228">
        <v>370</v>
      </c>
      <c r="AJ35" s="228">
        <v>70</v>
      </c>
      <c r="AK35" s="229">
        <v>1.1299999999999999E-2</v>
      </c>
      <c r="AL35" s="228">
        <v>0</v>
      </c>
      <c r="AM35" s="228">
        <v>0</v>
      </c>
      <c r="AN35" s="228">
        <v>0</v>
      </c>
      <c r="AO35" s="229">
        <v>0</v>
      </c>
      <c r="AP35" s="231">
        <v>38860.230000000003</v>
      </c>
      <c r="AQ35" s="231">
        <v>39046.58</v>
      </c>
      <c r="AR35" s="228">
        <v>0</v>
      </c>
      <c r="AS35" s="228">
        <v>109</v>
      </c>
      <c r="AT35" s="228">
        <v>106</v>
      </c>
      <c r="AU35" s="228">
        <v>4</v>
      </c>
      <c r="AV35" s="229">
        <v>3.32E-2</v>
      </c>
      <c r="AW35" s="228">
        <v>101</v>
      </c>
      <c r="AX35" s="228">
        <v>101</v>
      </c>
      <c r="AY35" s="228">
        <v>1</v>
      </c>
      <c r="AZ35" s="229">
        <v>6.7999999999999996E-3</v>
      </c>
      <c r="BA35" s="228">
        <v>8</v>
      </c>
      <c r="BB35" s="228">
        <v>5</v>
      </c>
      <c r="BC35" s="228">
        <v>3</v>
      </c>
      <c r="BD35" s="229">
        <v>0.57999999999999996</v>
      </c>
      <c r="BE35" s="228">
        <v>0</v>
      </c>
      <c r="BF35" s="228">
        <v>0</v>
      </c>
      <c r="BG35" s="228">
        <v>0</v>
      </c>
      <c r="BH35" s="229">
        <v>0</v>
      </c>
      <c r="BI35" s="228">
        <v>346</v>
      </c>
      <c r="BJ35" s="228">
        <v>312</v>
      </c>
      <c r="BK35" s="228">
        <v>34</v>
      </c>
      <c r="BL35" s="229">
        <v>0.1086</v>
      </c>
      <c r="BM35" s="228">
        <v>95</v>
      </c>
      <c r="BN35" s="228">
        <v>98</v>
      </c>
      <c r="BO35" s="228">
        <v>-3</v>
      </c>
      <c r="BP35" s="229">
        <v>-2.8899999999999999E-2</v>
      </c>
      <c r="BQ35" s="228">
        <v>550</v>
      </c>
      <c r="BR35" s="228">
        <v>515</v>
      </c>
      <c r="BS35" s="228">
        <v>35</v>
      </c>
      <c r="BT35" s="229">
        <v>6.7000000000000004E-2</v>
      </c>
      <c r="BU35" s="230">
        <v>12169</v>
      </c>
      <c r="BV35" s="230">
        <v>23040</v>
      </c>
      <c r="BW35" s="230">
        <v>-10871</v>
      </c>
      <c r="BX35" s="229">
        <v>-0.4718</v>
      </c>
      <c r="BY35" s="228">
        <v>929</v>
      </c>
      <c r="BZ35" s="228">
        <v>936</v>
      </c>
      <c r="CA35" s="228">
        <v>-7</v>
      </c>
      <c r="CB35" s="229">
        <v>-7.1000000000000004E-3</v>
      </c>
      <c r="CC35" s="228">
        <v>909</v>
      </c>
      <c r="CD35" s="228">
        <v>917</v>
      </c>
      <c r="CE35" s="228">
        <v>-8</v>
      </c>
      <c r="CF35" s="229">
        <v>-8.6E-3</v>
      </c>
      <c r="CG35" s="228">
        <v>20</v>
      </c>
      <c r="CH35" s="228">
        <v>19</v>
      </c>
      <c r="CI35" s="228">
        <v>1</v>
      </c>
      <c r="CJ35" s="229">
        <v>6.7400000000000002E-2</v>
      </c>
      <c r="CK35" s="228">
        <v>0</v>
      </c>
      <c r="CL35" s="228">
        <v>0</v>
      </c>
      <c r="CM35" s="228">
        <v>0</v>
      </c>
      <c r="CN35" s="229">
        <v>0</v>
      </c>
      <c r="CO35" s="228">
        <v>177</v>
      </c>
      <c r="CP35" s="228">
        <v>157</v>
      </c>
      <c r="CQ35" s="228">
        <v>21</v>
      </c>
      <c r="CR35" s="229">
        <v>0.1321</v>
      </c>
      <c r="CS35" s="228">
        <v>119</v>
      </c>
      <c r="CT35" s="228">
        <v>113</v>
      </c>
      <c r="CU35" s="228">
        <v>6</v>
      </c>
      <c r="CV35" s="229">
        <v>5.7200000000000001E-2</v>
      </c>
      <c r="CW35" s="230">
        <v>1226</v>
      </c>
      <c r="CX35" s="230">
        <v>1205</v>
      </c>
      <c r="CY35" s="228">
        <v>20</v>
      </c>
      <c r="CZ35" s="229">
        <v>1.7000000000000001E-2</v>
      </c>
      <c r="DA35" s="228">
        <v>21.55</v>
      </c>
      <c r="DB35" s="228">
        <v>20.88</v>
      </c>
      <c r="DC35" s="228">
        <v>0.67</v>
      </c>
      <c r="DD35" s="228">
        <v>0.67</v>
      </c>
      <c r="DE35" s="228">
        <v>29.3</v>
      </c>
      <c r="DF35" s="228">
        <v>29.36</v>
      </c>
      <c r="DG35" s="228">
        <v>-7.75</v>
      </c>
      <c r="DH35" s="228">
        <v>-0.06</v>
      </c>
      <c r="DI35" s="228">
        <v>21.35</v>
      </c>
      <c r="DJ35" s="228">
        <v>20.6</v>
      </c>
      <c r="DK35" s="228">
        <v>0.75</v>
      </c>
      <c r="DL35" s="228">
        <v>0.75</v>
      </c>
      <c r="DM35" s="228">
        <v>22.28</v>
      </c>
      <c r="DN35" s="228">
        <v>21.78</v>
      </c>
      <c r="DO35" s="228">
        <v>0.5</v>
      </c>
      <c r="DP35" s="228">
        <v>0.5</v>
      </c>
      <c r="DQ35" s="228">
        <v>0.67</v>
      </c>
      <c r="DR35" s="228">
        <v>0.72</v>
      </c>
      <c r="DS35" s="228">
        <v>-0.05</v>
      </c>
      <c r="DT35" s="229">
        <v>-6.9400000000000003E-2</v>
      </c>
      <c r="DU35" s="231">
        <v>40000</v>
      </c>
      <c r="DV35" s="231">
        <v>38000</v>
      </c>
      <c r="DW35" s="228">
        <v>0.28000000000000003</v>
      </c>
      <c r="DX35" s="228">
        <v>0.31</v>
      </c>
      <c r="DY35" s="228">
        <v>-0.03</v>
      </c>
      <c r="DZ35" s="229">
        <v>-9.6799999999999997E-2</v>
      </c>
      <c r="EA35" s="229">
        <v>2.1600000000000001E-2</v>
      </c>
      <c r="EB35" s="230">
        <v>4825</v>
      </c>
      <c r="EC35" s="229">
        <v>5.4000000000000003E-3</v>
      </c>
      <c r="ED35" s="229">
        <v>2.1600000000000001E-2</v>
      </c>
      <c r="EE35" s="228">
        <v>186.35</v>
      </c>
      <c r="EF35" s="229">
        <v>4.7999999999999996E-3</v>
      </c>
      <c r="EG35" s="230">
        <v>7131</v>
      </c>
      <c r="EH35" s="230">
        <v>14198</v>
      </c>
      <c r="EI35" s="229">
        <v>-0.49769999999999998</v>
      </c>
      <c r="EJ35" s="229">
        <v>0.58599999999999997</v>
      </c>
      <c r="EK35" s="228">
        <v>360.63</v>
      </c>
      <c r="EL35" s="228">
        <v>91.39</v>
      </c>
      <c r="EM35" s="228">
        <v>108.75</v>
      </c>
      <c r="EN35" s="228">
        <v>31.71</v>
      </c>
      <c r="EO35" s="228">
        <v>560.77</v>
      </c>
      <c r="EP35" s="228">
        <v>523.94000000000005</v>
      </c>
      <c r="EQ35" s="228">
        <v>36.83</v>
      </c>
      <c r="ER35" s="229">
        <v>7.0300000000000001E-2</v>
      </c>
      <c r="ES35" s="228">
        <v>184.14</v>
      </c>
      <c r="ET35" s="228">
        <v>113.83</v>
      </c>
      <c r="EU35" s="228">
        <v>929.51</v>
      </c>
      <c r="EV35" s="231">
        <v>982526</v>
      </c>
      <c r="EW35" s="231">
        <v>1227.48</v>
      </c>
      <c r="EX35" s="231">
        <v>1199.8399999999999</v>
      </c>
      <c r="EY35" s="228">
        <v>27.64</v>
      </c>
      <c r="EZ35" s="229">
        <v>2.3E-2</v>
      </c>
      <c r="FA35" s="229">
        <v>0.3196</v>
      </c>
      <c r="FB35" s="227" t="s">
        <v>556</v>
      </c>
      <c r="FC35">
        <f t="shared" si="0"/>
        <v>20</v>
      </c>
    </row>
    <row r="36" spans="1:159" ht="17.25" thickBot="1" x14ac:dyDescent="0.3">
      <c r="A36" s="226">
        <v>45936</v>
      </c>
      <c r="B36" s="227" t="s">
        <v>193</v>
      </c>
      <c r="C36" s="227" t="s">
        <v>194</v>
      </c>
      <c r="D36" s="228">
        <v>1975</v>
      </c>
      <c r="E36" s="228">
        <v>22</v>
      </c>
      <c r="F36" s="228">
        <v>345.9</v>
      </c>
      <c r="G36" s="228">
        <v>343.6</v>
      </c>
      <c r="H36" s="228">
        <v>2.2999999999999998</v>
      </c>
      <c r="I36" s="229">
        <v>6.7000000000000002E-3</v>
      </c>
      <c r="J36" s="228">
        <v>343.6</v>
      </c>
      <c r="K36" s="228">
        <v>341.55</v>
      </c>
      <c r="L36" s="228">
        <v>2.0499999999999998</v>
      </c>
      <c r="M36" s="229">
        <v>6.0000000000000001E-3</v>
      </c>
      <c r="N36" s="228">
        <v>345.9</v>
      </c>
      <c r="O36" s="228">
        <v>343.6</v>
      </c>
      <c r="P36" s="228">
        <v>2.2999999999999998</v>
      </c>
      <c r="Q36" s="229">
        <v>6.7000000000000002E-3</v>
      </c>
      <c r="R36" s="228">
        <v>346.7</v>
      </c>
      <c r="S36" s="228">
        <v>345.05</v>
      </c>
      <c r="T36" s="228">
        <v>1.65</v>
      </c>
      <c r="U36" s="229">
        <v>4.7999999999999996E-3</v>
      </c>
      <c r="V36" s="228">
        <v>346.55</v>
      </c>
      <c r="W36" s="228">
        <v>345.7</v>
      </c>
      <c r="X36" s="228">
        <v>0.85</v>
      </c>
      <c r="Y36" s="229">
        <v>2.5000000000000001E-3</v>
      </c>
      <c r="Z36" s="228">
        <v>2.2999999999999998</v>
      </c>
      <c r="AA36" s="228">
        <v>2.0499999999999998</v>
      </c>
      <c r="AB36" s="228">
        <v>0.25</v>
      </c>
      <c r="AC36" s="229">
        <v>6.7000000000000002E-3</v>
      </c>
      <c r="AD36" s="228">
        <v>2.2999999999999998</v>
      </c>
      <c r="AE36" s="228">
        <v>2.0499999999999998</v>
      </c>
      <c r="AF36" s="228">
        <v>0.25</v>
      </c>
      <c r="AG36" s="229">
        <v>6.7000000000000002E-3</v>
      </c>
      <c r="AH36" s="228">
        <v>3.1</v>
      </c>
      <c r="AI36" s="228">
        <v>3.5</v>
      </c>
      <c r="AJ36" s="228">
        <v>-0.4</v>
      </c>
      <c r="AK36" s="229">
        <v>8.9999999999999993E-3</v>
      </c>
      <c r="AL36" s="228">
        <v>2.95</v>
      </c>
      <c r="AM36" s="228">
        <v>4.1500000000000004</v>
      </c>
      <c r="AN36" s="228">
        <v>-1.2</v>
      </c>
      <c r="AO36" s="229">
        <v>8.6E-3</v>
      </c>
      <c r="AP36" s="228">
        <v>344.04</v>
      </c>
      <c r="AQ36" s="228">
        <v>345.51</v>
      </c>
      <c r="AR36" s="228">
        <v>0</v>
      </c>
      <c r="AS36" s="228">
        <v>313</v>
      </c>
      <c r="AT36" s="228">
        <v>215</v>
      </c>
      <c r="AU36" s="228">
        <v>97</v>
      </c>
      <c r="AV36" s="229">
        <v>0.45129999999999998</v>
      </c>
      <c r="AW36" s="228">
        <v>296</v>
      </c>
      <c r="AX36" s="228">
        <v>201</v>
      </c>
      <c r="AY36" s="228">
        <v>95</v>
      </c>
      <c r="AZ36" s="229">
        <v>0.4718</v>
      </c>
      <c r="BA36" s="228">
        <v>15</v>
      </c>
      <c r="BB36" s="228">
        <v>14</v>
      </c>
      <c r="BC36" s="228">
        <v>1</v>
      </c>
      <c r="BD36" s="229">
        <v>0.1045</v>
      </c>
      <c r="BE36" s="228">
        <v>1</v>
      </c>
      <c r="BF36" s="228">
        <v>1</v>
      </c>
      <c r="BG36" s="228">
        <v>1</v>
      </c>
      <c r="BH36" s="229">
        <v>1.625</v>
      </c>
      <c r="BI36" s="230">
        <v>1174</v>
      </c>
      <c r="BJ36" s="228">
        <v>677</v>
      </c>
      <c r="BK36" s="228">
        <v>497</v>
      </c>
      <c r="BL36" s="229">
        <v>0.7339</v>
      </c>
      <c r="BM36" s="228">
        <v>840</v>
      </c>
      <c r="BN36" s="228">
        <v>316</v>
      </c>
      <c r="BO36" s="228">
        <v>524</v>
      </c>
      <c r="BP36" s="229">
        <v>1.6579999999999999</v>
      </c>
      <c r="BQ36" s="230">
        <v>2326</v>
      </c>
      <c r="BR36" s="230">
        <v>1208</v>
      </c>
      <c r="BS36" s="230">
        <v>1118</v>
      </c>
      <c r="BT36" s="229">
        <v>0.92520000000000002</v>
      </c>
      <c r="BU36" s="230">
        <v>6146443</v>
      </c>
      <c r="BV36" s="230">
        <v>6023788</v>
      </c>
      <c r="BW36" s="230">
        <v>122655</v>
      </c>
      <c r="BX36" s="229">
        <v>2.0400000000000001E-2</v>
      </c>
      <c r="BY36" s="230">
        <v>1238</v>
      </c>
      <c r="BZ36" s="230">
        <v>1192</v>
      </c>
      <c r="CA36" s="228">
        <v>46</v>
      </c>
      <c r="CB36" s="229">
        <v>3.8699999999999998E-2</v>
      </c>
      <c r="CC36" s="230">
        <v>1221</v>
      </c>
      <c r="CD36" s="230">
        <v>1179</v>
      </c>
      <c r="CE36" s="228">
        <v>42</v>
      </c>
      <c r="CF36" s="229">
        <v>3.5900000000000001E-2</v>
      </c>
      <c r="CG36" s="228">
        <v>16</v>
      </c>
      <c r="CH36" s="228">
        <v>13</v>
      </c>
      <c r="CI36" s="228">
        <v>3</v>
      </c>
      <c r="CJ36" s="229">
        <v>0.26629999999999998</v>
      </c>
      <c r="CK36" s="228">
        <v>2</v>
      </c>
      <c r="CL36" s="228">
        <v>1</v>
      </c>
      <c r="CM36" s="228">
        <v>1</v>
      </c>
      <c r="CN36" s="229">
        <v>0.5333</v>
      </c>
      <c r="CO36" s="228">
        <v>400</v>
      </c>
      <c r="CP36" s="228">
        <v>347</v>
      </c>
      <c r="CQ36" s="228">
        <v>53</v>
      </c>
      <c r="CR36" s="229">
        <v>0.1537</v>
      </c>
      <c r="CS36" s="228">
        <v>373</v>
      </c>
      <c r="CT36" s="228">
        <v>261</v>
      </c>
      <c r="CU36" s="228">
        <v>111</v>
      </c>
      <c r="CV36" s="229">
        <v>0.42680000000000001</v>
      </c>
      <c r="CW36" s="230">
        <v>2012</v>
      </c>
      <c r="CX36" s="230">
        <v>1801</v>
      </c>
      <c r="CY36" s="228">
        <v>211</v>
      </c>
      <c r="CZ36" s="229">
        <v>0.1172</v>
      </c>
      <c r="DA36" s="228">
        <v>27.9</v>
      </c>
      <c r="DB36" s="228">
        <v>25.59</v>
      </c>
      <c r="DC36" s="228">
        <v>2.31</v>
      </c>
      <c r="DD36" s="228">
        <v>2.31</v>
      </c>
      <c r="DE36" s="228">
        <v>33.81</v>
      </c>
      <c r="DF36" s="228">
        <v>33.880000000000003</v>
      </c>
      <c r="DG36" s="228">
        <v>-5.91</v>
      </c>
      <c r="DH36" s="228">
        <v>-7.0000000000000007E-2</v>
      </c>
      <c r="DI36" s="228">
        <v>27.73</v>
      </c>
      <c r="DJ36" s="228">
        <v>25.45</v>
      </c>
      <c r="DK36" s="228">
        <v>2.2799999999999998</v>
      </c>
      <c r="DL36" s="228">
        <v>2.2799999999999998</v>
      </c>
      <c r="DM36" s="228">
        <v>28.13</v>
      </c>
      <c r="DN36" s="228">
        <v>25.87</v>
      </c>
      <c r="DO36" s="228">
        <v>2.2599999999999998</v>
      </c>
      <c r="DP36" s="228">
        <v>2.2599999999999998</v>
      </c>
      <c r="DQ36" s="228">
        <v>0.93</v>
      </c>
      <c r="DR36" s="228">
        <v>0.75</v>
      </c>
      <c r="DS36" s="228">
        <v>0.18</v>
      </c>
      <c r="DT36" s="229">
        <v>0.24</v>
      </c>
      <c r="DU36" s="228">
        <v>350</v>
      </c>
      <c r="DV36" s="228">
        <v>335</v>
      </c>
      <c r="DW36" s="228">
        <v>0.72</v>
      </c>
      <c r="DX36" s="228">
        <v>0.47</v>
      </c>
      <c r="DY36" s="228">
        <v>0.25</v>
      </c>
      <c r="DZ36" s="229">
        <v>0.53190000000000004</v>
      </c>
      <c r="EA36" s="229">
        <v>1.41E-2</v>
      </c>
      <c r="EB36" s="230">
        <v>393025</v>
      </c>
      <c r="EC36" s="229">
        <v>2.3E-3</v>
      </c>
      <c r="ED36" s="229">
        <v>1.41E-2</v>
      </c>
      <c r="EE36" s="228">
        <v>1.47</v>
      </c>
      <c r="EF36" s="229">
        <v>4.3E-3</v>
      </c>
      <c r="EG36" s="230">
        <v>3007297</v>
      </c>
      <c r="EH36" s="230">
        <v>3038369</v>
      </c>
      <c r="EI36" s="229">
        <v>-1.0200000000000001E-2</v>
      </c>
      <c r="EJ36" s="229">
        <v>0.48930000000000001</v>
      </c>
      <c r="EK36" s="231">
        <v>1218.57</v>
      </c>
      <c r="EL36" s="228">
        <v>827.97</v>
      </c>
      <c r="EM36" s="228">
        <v>311</v>
      </c>
      <c r="EN36" s="228">
        <v>79.489999999999995</v>
      </c>
      <c r="EO36" s="231">
        <v>2357.54</v>
      </c>
      <c r="EP36" s="231">
        <v>1220.23</v>
      </c>
      <c r="EQ36" s="231">
        <v>1137.31</v>
      </c>
      <c r="ER36" s="229">
        <v>0.93200000000000005</v>
      </c>
      <c r="ES36" s="228">
        <v>408.86</v>
      </c>
      <c r="ET36" s="228">
        <v>353.46</v>
      </c>
      <c r="EU36" s="231">
        <v>1238.53</v>
      </c>
      <c r="EV36" s="231">
        <v>281577339</v>
      </c>
      <c r="EW36" s="231">
        <v>2000.84</v>
      </c>
      <c r="EX36" s="231">
        <v>1783.82</v>
      </c>
      <c r="EY36" s="228">
        <v>217.02</v>
      </c>
      <c r="EZ36" s="229">
        <v>0.1217</v>
      </c>
      <c r="FA36" s="229">
        <v>0.20649999999999999</v>
      </c>
      <c r="FB36" s="227" t="s">
        <v>555</v>
      </c>
      <c r="FC36">
        <f t="shared" si="0"/>
        <v>17</v>
      </c>
    </row>
    <row r="37" spans="1:159" ht="17.25" thickBot="1" x14ac:dyDescent="0.3">
      <c r="A37" s="226">
        <v>45936</v>
      </c>
      <c r="B37" s="227" t="s">
        <v>168</v>
      </c>
      <c r="C37" s="227" t="s">
        <v>195</v>
      </c>
      <c r="D37" s="228">
        <v>125</v>
      </c>
      <c r="E37" s="228">
        <v>22</v>
      </c>
      <c r="F37" s="231">
        <v>6034</v>
      </c>
      <c r="G37" s="231">
        <v>6022.5</v>
      </c>
      <c r="H37" s="228">
        <v>11.5</v>
      </c>
      <c r="I37" s="229">
        <v>1.9E-3</v>
      </c>
      <c r="J37" s="231">
        <v>6011</v>
      </c>
      <c r="K37" s="231">
        <v>5992.5</v>
      </c>
      <c r="L37" s="228">
        <v>18.5</v>
      </c>
      <c r="M37" s="229">
        <v>3.0999999999999999E-3</v>
      </c>
      <c r="N37" s="231">
        <v>6034</v>
      </c>
      <c r="O37" s="231">
        <v>6022.5</v>
      </c>
      <c r="P37" s="228">
        <v>11.5</v>
      </c>
      <c r="Q37" s="229">
        <v>1.9E-3</v>
      </c>
      <c r="R37" s="231">
        <v>6064.5</v>
      </c>
      <c r="S37" s="231">
        <v>6048.5</v>
      </c>
      <c r="T37" s="228">
        <v>16</v>
      </c>
      <c r="U37" s="229">
        <v>2.5999999999999999E-3</v>
      </c>
      <c r="V37" s="231">
        <v>6051</v>
      </c>
      <c r="W37" s="228">
        <v>0</v>
      </c>
      <c r="X37" s="231">
        <v>6051</v>
      </c>
      <c r="Y37" s="229">
        <v>0</v>
      </c>
      <c r="Z37" s="228">
        <v>23</v>
      </c>
      <c r="AA37" s="228">
        <v>30</v>
      </c>
      <c r="AB37" s="228">
        <v>-7</v>
      </c>
      <c r="AC37" s="229">
        <v>3.8E-3</v>
      </c>
      <c r="AD37" s="228">
        <v>23</v>
      </c>
      <c r="AE37" s="228">
        <v>30</v>
      </c>
      <c r="AF37" s="228">
        <v>-7</v>
      </c>
      <c r="AG37" s="229">
        <v>3.8E-3</v>
      </c>
      <c r="AH37" s="228">
        <v>53.5</v>
      </c>
      <c r="AI37" s="228">
        <v>56</v>
      </c>
      <c r="AJ37" s="228">
        <v>-2.5</v>
      </c>
      <c r="AK37" s="229">
        <v>8.8999999999999999E-3</v>
      </c>
      <c r="AL37" s="228">
        <v>40</v>
      </c>
      <c r="AM37" s="228">
        <v>0</v>
      </c>
      <c r="AN37" s="228">
        <v>40</v>
      </c>
      <c r="AO37" s="229">
        <v>6.7000000000000002E-3</v>
      </c>
      <c r="AP37" s="231">
        <v>6014.87</v>
      </c>
      <c r="AQ37" s="231">
        <v>6050.25</v>
      </c>
      <c r="AR37" s="228">
        <v>0</v>
      </c>
      <c r="AS37" s="228">
        <v>131</v>
      </c>
      <c r="AT37" s="228">
        <v>122</v>
      </c>
      <c r="AU37" s="228">
        <v>10</v>
      </c>
      <c r="AV37" s="229">
        <v>8.1900000000000001E-2</v>
      </c>
      <c r="AW37" s="228">
        <v>129</v>
      </c>
      <c r="AX37" s="228">
        <v>119</v>
      </c>
      <c r="AY37" s="228">
        <v>10</v>
      </c>
      <c r="AZ37" s="229">
        <v>8.1600000000000006E-2</v>
      </c>
      <c r="BA37" s="228">
        <v>2</v>
      </c>
      <c r="BB37" s="228">
        <v>2</v>
      </c>
      <c r="BC37" s="228">
        <v>0</v>
      </c>
      <c r="BD37" s="229">
        <v>3.2300000000000002E-2</v>
      </c>
      <c r="BE37" s="228">
        <v>0</v>
      </c>
      <c r="BF37" s="228">
        <v>0</v>
      </c>
      <c r="BG37" s="228">
        <v>0</v>
      </c>
      <c r="BH37" s="229">
        <v>0</v>
      </c>
      <c r="BI37" s="228">
        <v>469</v>
      </c>
      <c r="BJ37" s="228">
        <v>408</v>
      </c>
      <c r="BK37" s="228">
        <v>61</v>
      </c>
      <c r="BL37" s="229">
        <v>0.14940000000000001</v>
      </c>
      <c r="BM37" s="228">
        <v>140</v>
      </c>
      <c r="BN37" s="228">
        <v>98</v>
      </c>
      <c r="BO37" s="228">
        <v>42</v>
      </c>
      <c r="BP37" s="229">
        <v>0.42380000000000001</v>
      </c>
      <c r="BQ37" s="228">
        <v>741</v>
      </c>
      <c r="BR37" s="228">
        <v>628</v>
      </c>
      <c r="BS37" s="228">
        <v>113</v>
      </c>
      <c r="BT37" s="229">
        <v>0.17929999999999999</v>
      </c>
      <c r="BU37" s="230">
        <v>202253</v>
      </c>
      <c r="BV37" s="230">
        <v>282970</v>
      </c>
      <c r="BW37" s="230">
        <v>-80717</v>
      </c>
      <c r="BX37" s="229">
        <v>-0.28520000000000001</v>
      </c>
      <c r="BY37" s="230">
        <v>2227</v>
      </c>
      <c r="BZ37" s="230">
        <v>2240</v>
      </c>
      <c r="CA37" s="228">
        <v>-13</v>
      </c>
      <c r="CB37" s="229">
        <v>-5.8999999999999999E-3</v>
      </c>
      <c r="CC37" s="230">
        <v>2218</v>
      </c>
      <c r="CD37" s="230">
        <v>2232</v>
      </c>
      <c r="CE37" s="228">
        <v>-14</v>
      </c>
      <c r="CF37" s="229">
        <v>-6.1000000000000004E-3</v>
      </c>
      <c r="CG37" s="228">
        <v>9</v>
      </c>
      <c r="CH37" s="228">
        <v>9</v>
      </c>
      <c r="CI37" s="228">
        <v>0</v>
      </c>
      <c r="CJ37" s="229">
        <v>2.5899999999999999E-2</v>
      </c>
      <c r="CK37" s="228">
        <v>0</v>
      </c>
      <c r="CL37" s="228">
        <v>0</v>
      </c>
      <c r="CM37" s="228">
        <v>0</v>
      </c>
      <c r="CN37" s="229">
        <v>0</v>
      </c>
      <c r="CO37" s="228">
        <v>433</v>
      </c>
      <c r="CP37" s="228">
        <v>380</v>
      </c>
      <c r="CQ37" s="228">
        <v>54</v>
      </c>
      <c r="CR37" s="229">
        <v>0.1416</v>
      </c>
      <c r="CS37" s="228">
        <v>232</v>
      </c>
      <c r="CT37" s="228">
        <v>202</v>
      </c>
      <c r="CU37" s="228">
        <v>29</v>
      </c>
      <c r="CV37" s="229">
        <v>0.1454</v>
      </c>
      <c r="CW37" s="230">
        <v>2892</v>
      </c>
      <c r="CX37" s="230">
        <v>2822</v>
      </c>
      <c r="CY37" s="228">
        <v>70</v>
      </c>
      <c r="CZ37" s="229">
        <v>2.4799999999999999E-2</v>
      </c>
      <c r="DA37" s="228">
        <v>20.5</v>
      </c>
      <c r="DB37" s="228">
        <v>19.91</v>
      </c>
      <c r="DC37" s="228">
        <v>0.59</v>
      </c>
      <c r="DD37" s="228">
        <v>0.59</v>
      </c>
      <c r="DE37" s="228">
        <v>24.8</v>
      </c>
      <c r="DF37" s="228">
        <v>24.86</v>
      </c>
      <c r="DG37" s="228">
        <v>-4.3</v>
      </c>
      <c r="DH37" s="228">
        <v>-0.06</v>
      </c>
      <c r="DI37" s="228">
        <v>20.420000000000002</v>
      </c>
      <c r="DJ37" s="228">
        <v>19.86</v>
      </c>
      <c r="DK37" s="228">
        <v>0.56000000000000005</v>
      </c>
      <c r="DL37" s="228">
        <v>0.56000000000000005</v>
      </c>
      <c r="DM37" s="228">
        <v>20.77</v>
      </c>
      <c r="DN37" s="228">
        <v>20.13</v>
      </c>
      <c r="DO37" s="228">
        <v>0.64</v>
      </c>
      <c r="DP37" s="228">
        <v>0.64</v>
      </c>
      <c r="DQ37" s="228">
        <v>0.53</v>
      </c>
      <c r="DR37" s="228">
        <v>0.53</v>
      </c>
      <c r="DS37" s="228">
        <v>0</v>
      </c>
      <c r="DT37" s="229">
        <v>0</v>
      </c>
      <c r="DU37" s="231">
        <v>6600</v>
      </c>
      <c r="DV37" s="231">
        <v>5500</v>
      </c>
      <c r="DW37" s="228">
        <v>0.3</v>
      </c>
      <c r="DX37" s="228">
        <v>0.24</v>
      </c>
      <c r="DY37" s="228">
        <v>0.06</v>
      </c>
      <c r="DZ37" s="229">
        <v>0.25</v>
      </c>
      <c r="EA37" s="229">
        <v>4.1000000000000003E-3</v>
      </c>
      <c r="EB37" s="230">
        <v>14500</v>
      </c>
      <c r="EC37" s="229">
        <v>5.1000000000000004E-3</v>
      </c>
      <c r="ED37" s="229">
        <v>4.1000000000000003E-3</v>
      </c>
      <c r="EE37" s="228">
        <v>35.380000000000003</v>
      </c>
      <c r="EF37" s="229">
        <v>5.8999999999999999E-3</v>
      </c>
      <c r="EG37" s="230">
        <v>141489</v>
      </c>
      <c r="EH37" s="230">
        <v>205000</v>
      </c>
      <c r="EI37" s="229">
        <v>-0.30980000000000002</v>
      </c>
      <c r="EJ37" s="229">
        <v>0.6996</v>
      </c>
      <c r="EK37" s="228">
        <v>486.09</v>
      </c>
      <c r="EL37" s="228">
        <v>135.16999999999999</v>
      </c>
      <c r="EM37" s="228">
        <v>131.06</v>
      </c>
      <c r="EN37" s="228">
        <v>100.92</v>
      </c>
      <c r="EO37" s="228">
        <v>752.32</v>
      </c>
      <c r="EP37" s="228">
        <v>640.89</v>
      </c>
      <c r="EQ37" s="228">
        <v>111.44</v>
      </c>
      <c r="ER37" s="229">
        <v>0.1739</v>
      </c>
      <c r="ES37" s="228">
        <v>452.9</v>
      </c>
      <c r="ET37" s="228">
        <v>220.57</v>
      </c>
      <c r="EU37" s="231">
        <v>2227.27</v>
      </c>
      <c r="EV37" s="231">
        <v>13082978</v>
      </c>
      <c r="EW37" s="231">
        <v>2900.75</v>
      </c>
      <c r="EX37" s="231">
        <v>2825.45</v>
      </c>
      <c r="EY37" s="228">
        <v>75.3</v>
      </c>
      <c r="EZ37" s="229">
        <v>2.6700000000000002E-2</v>
      </c>
      <c r="FA37" s="229">
        <v>0.3664</v>
      </c>
      <c r="FB37" s="227" t="s">
        <v>556</v>
      </c>
      <c r="FC37">
        <f t="shared" si="0"/>
        <v>9</v>
      </c>
    </row>
    <row r="38" spans="1:159" ht="17.25" thickBot="1" x14ac:dyDescent="0.3">
      <c r="A38" s="226">
        <v>45936</v>
      </c>
      <c r="B38" s="227" t="s">
        <v>175</v>
      </c>
      <c r="C38" s="227" t="s">
        <v>585</v>
      </c>
      <c r="D38" s="228">
        <v>375</v>
      </c>
      <c r="E38" s="228">
        <v>22</v>
      </c>
      <c r="F38" s="231">
        <v>2230.3000000000002</v>
      </c>
      <c r="G38" s="231">
        <v>2107.1</v>
      </c>
      <c r="H38" s="228">
        <v>123.2</v>
      </c>
      <c r="I38" s="229">
        <v>5.8500000000000003E-2</v>
      </c>
      <c r="J38" s="231">
        <v>2217.9</v>
      </c>
      <c r="K38" s="231">
        <v>2093.4</v>
      </c>
      <c r="L38" s="228">
        <v>124.5</v>
      </c>
      <c r="M38" s="229">
        <v>5.9499999999999997E-2</v>
      </c>
      <c r="N38" s="231">
        <v>2230.3000000000002</v>
      </c>
      <c r="O38" s="231">
        <v>2107.1</v>
      </c>
      <c r="P38" s="228">
        <v>123.2</v>
      </c>
      <c r="Q38" s="229">
        <v>5.8500000000000003E-2</v>
      </c>
      <c r="R38" s="231">
        <v>2237.8000000000002</v>
      </c>
      <c r="S38" s="231">
        <v>2116</v>
      </c>
      <c r="T38" s="228">
        <v>121.8</v>
      </c>
      <c r="U38" s="229">
        <v>5.7599999999999998E-2</v>
      </c>
      <c r="V38" s="231">
        <v>2246.3000000000002</v>
      </c>
      <c r="W38" s="231">
        <v>2120.9</v>
      </c>
      <c r="X38" s="228">
        <v>125.4</v>
      </c>
      <c r="Y38" s="229">
        <v>5.91E-2</v>
      </c>
      <c r="Z38" s="228">
        <v>12.4</v>
      </c>
      <c r="AA38" s="228">
        <v>13.7</v>
      </c>
      <c r="AB38" s="228">
        <v>-1.3</v>
      </c>
      <c r="AC38" s="229">
        <v>5.5999999999999999E-3</v>
      </c>
      <c r="AD38" s="228">
        <v>12.4</v>
      </c>
      <c r="AE38" s="228">
        <v>13.7</v>
      </c>
      <c r="AF38" s="228">
        <v>-1.3</v>
      </c>
      <c r="AG38" s="229">
        <v>5.5999999999999999E-3</v>
      </c>
      <c r="AH38" s="228">
        <v>19.899999999999999</v>
      </c>
      <c r="AI38" s="228">
        <v>22.6</v>
      </c>
      <c r="AJ38" s="228">
        <v>-2.7</v>
      </c>
      <c r="AK38" s="229">
        <v>8.9999999999999993E-3</v>
      </c>
      <c r="AL38" s="228">
        <v>28.4</v>
      </c>
      <c r="AM38" s="228">
        <v>27.5</v>
      </c>
      <c r="AN38" s="228">
        <v>0.9</v>
      </c>
      <c r="AO38" s="229">
        <v>1.2800000000000001E-2</v>
      </c>
      <c r="AP38" s="231">
        <v>2194.66</v>
      </c>
      <c r="AQ38" s="231">
        <v>2203.2600000000002</v>
      </c>
      <c r="AR38" s="228">
        <v>0</v>
      </c>
      <c r="AS38" s="230">
        <v>1735</v>
      </c>
      <c r="AT38" s="228">
        <v>556</v>
      </c>
      <c r="AU38" s="230">
        <v>1178</v>
      </c>
      <c r="AV38" s="229">
        <v>2.1177000000000001</v>
      </c>
      <c r="AW38" s="230">
        <v>1607</v>
      </c>
      <c r="AX38" s="228">
        <v>519</v>
      </c>
      <c r="AY38" s="230">
        <v>1087</v>
      </c>
      <c r="AZ38" s="229">
        <v>2.0937000000000001</v>
      </c>
      <c r="BA38" s="228">
        <v>108</v>
      </c>
      <c r="BB38" s="228">
        <v>30</v>
      </c>
      <c r="BC38" s="228">
        <v>79</v>
      </c>
      <c r="BD38" s="229">
        <v>2.6478999999999999</v>
      </c>
      <c r="BE38" s="228">
        <v>20</v>
      </c>
      <c r="BF38" s="228">
        <v>7</v>
      </c>
      <c r="BG38" s="228">
        <v>12</v>
      </c>
      <c r="BH38" s="229">
        <v>1.6705000000000001</v>
      </c>
      <c r="BI38" s="230">
        <v>8460</v>
      </c>
      <c r="BJ38" s="230">
        <v>2019</v>
      </c>
      <c r="BK38" s="230">
        <v>6440</v>
      </c>
      <c r="BL38" s="229">
        <v>3.1892</v>
      </c>
      <c r="BM38" s="230">
        <v>4077</v>
      </c>
      <c r="BN38" s="230">
        <v>1224</v>
      </c>
      <c r="BO38" s="230">
        <v>2853</v>
      </c>
      <c r="BP38" s="229">
        <v>2.3313000000000001</v>
      </c>
      <c r="BQ38" s="230">
        <v>14271</v>
      </c>
      <c r="BR38" s="230">
        <v>3800</v>
      </c>
      <c r="BS38" s="230">
        <v>10472</v>
      </c>
      <c r="BT38" s="229">
        <v>2.7559999999999998</v>
      </c>
      <c r="BU38" s="230">
        <v>8546614</v>
      </c>
      <c r="BV38" s="230">
        <v>2827421</v>
      </c>
      <c r="BW38" s="230">
        <v>5719193</v>
      </c>
      <c r="BX38" s="229">
        <v>2.0228000000000002</v>
      </c>
      <c r="BY38" s="230">
        <v>3100</v>
      </c>
      <c r="BZ38" s="230">
        <v>3168</v>
      </c>
      <c r="CA38" s="228">
        <v>-68</v>
      </c>
      <c r="CB38" s="229">
        <v>-2.1499999999999998E-2</v>
      </c>
      <c r="CC38" s="230">
        <v>2903</v>
      </c>
      <c r="CD38" s="230">
        <v>2979</v>
      </c>
      <c r="CE38" s="228">
        <v>-75</v>
      </c>
      <c r="CF38" s="229">
        <v>-2.53E-2</v>
      </c>
      <c r="CG38" s="228">
        <v>181</v>
      </c>
      <c r="CH38" s="228">
        <v>182</v>
      </c>
      <c r="CI38" s="228">
        <v>-1</v>
      </c>
      <c r="CJ38" s="229">
        <v>-5.4999999999999997E-3</v>
      </c>
      <c r="CK38" s="228">
        <v>15</v>
      </c>
      <c r="CL38" s="228">
        <v>7</v>
      </c>
      <c r="CM38" s="228">
        <v>8</v>
      </c>
      <c r="CN38" s="229">
        <v>1.1529</v>
      </c>
      <c r="CO38" s="230">
        <v>1645</v>
      </c>
      <c r="CP38" s="230">
        <v>1556</v>
      </c>
      <c r="CQ38" s="228">
        <v>88</v>
      </c>
      <c r="CR38" s="229">
        <v>5.6899999999999999E-2</v>
      </c>
      <c r="CS38" s="230">
        <v>1558</v>
      </c>
      <c r="CT38" s="230">
        <v>1417</v>
      </c>
      <c r="CU38" s="228">
        <v>141</v>
      </c>
      <c r="CV38" s="229">
        <v>9.9599999999999994E-2</v>
      </c>
      <c r="CW38" s="230">
        <v>6303</v>
      </c>
      <c r="CX38" s="230">
        <v>6141</v>
      </c>
      <c r="CY38" s="228">
        <v>161</v>
      </c>
      <c r="CZ38" s="229">
        <v>2.63E-2</v>
      </c>
      <c r="DA38" s="228">
        <v>46.07</v>
      </c>
      <c r="DB38" s="228">
        <v>45.92</v>
      </c>
      <c r="DC38" s="228">
        <v>0.15</v>
      </c>
      <c r="DD38" s="228">
        <v>0.15</v>
      </c>
      <c r="DE38" s="228">
        <v>64.13</v>
      </c>
      <c r="DF38" s="228">
        <v>63.82</v>
      </c>
      <c r="DG38" s="228">
        <v>-18.059999999999999</v>
      </c>
      <c r="DH38" s="228">
        <v>0.31</v>
      </c>
      <c r="DI38" s="228">
        <v>44.72</v>
      </c>
      <c r="DJ38" s="228">
        <v>44.75</v>
      </c>
      <c r="DK38" s="228">
        <v>-0.03</v>
      </c>
      <c r="DL38" s="228">
        <v>-0.03</v>
      </c>
      <c r="DM38" s="228">
        <v>48.87</v>
      </c>
      <c r="DN38" s="228">
        <v>47.85</v>
      </c>
      <c r="DO38" s="228">
        <v>1.02</v>
      </c>
      <c r="DP38" s="228">
        <v>1.02</v>
      </c>
      <c r="DQ38" s="228">
        <v>0.95</v>
      </c>
      <c r="DR38" s="228">
        <v>0.91</v>
      </c>
      <c r="DS38" s="228">
        <v>0.04</v>
      </c>
      <c r="DT38" s="229">
        <v>4.3999999999999997E-2</v>
      </c>
      <c r="DU38" s="231">
        <v>2200</v>
      </c>
      <c r="DV38" s="231">
        <v>2100</v>
      </c>
      <c r="DW38" s="228">
        <v>0.48</v>
      </c>
      <c r="DX38" s="228">
        <v>0.61</v>
      </c>
      <c r="DY38" s="228">
        <v>-0.13</v>
      </c>
      <c r="DZ38" s="229">
        <v>-0.21310000000000001</v>
      </c>
      <c r="EA38" s="229">
        <v>6.3500000000000001E-2</v>
      </c>
      <c r="EB38" s="230">
        <v>849750</v>
      </c>
      <c r="EC38" s="229">
        <v>3.3999999999999998E-3</v>
      </c>
      <c r="ED38" s="229">
        <v>6.3500000000000001E-2</v>
      </c>
      <c r="EE38" s="228">
        <v>8.6</v>
      </c>
      <c r="EF38" s="229">
        <v>3.8999999999999998E-3</v>
      </c>
      <c r="EG38" s="230">
        <v>2602275</v>
      </c>
      <c r="EH38" s="230">
        <v>952335</v>
      </c>
      <c r="EI38" s="229">
        <v>1.7324999999999999</v>
      </c>
      <c r="EJ38" s="229">
        <v>0.30449999999999999</v>
      </c>
      <c r="EK38" s="231">
        <v>8996.56</v>
      </c>
      <c r="EL38" s="231">
        <v>3849.92</v>
      </c>
      <c r="EM38" s="231">
        <v>1707.66</v>
      </c>
      <c r="EN38" s="228">
        <v>185.03</v>
      </c>
      <c r="EO38" s="231">
        <v>14554.13</v>
      </c>
      <c r="EP38" s="231">
        <v>3694.25</v>
      </c>
      <c r="EQ38" s="231">
        <v>10859.89</v>
      </c>
      <c r="ER38" s="229">
        <v>2.9397000000000002</v>
      </c>
      <c r="ES38" s="231">
        <v>1735.67</v>
      </c>
      <c r="ET38" s="231">
        <v>1414.22</v>
      </c>
      <c r="EU38" s="231">
        <v>3100.61</v>
      </c>
      <c r="EV38" s="231">
        <v>48385387</v>
      </c>
      <c r="EW38" s="231">
        <v>6250.51</v>
      </c>
      <c r="EX38" s="231">
        <v>5883.81</v>
      </c>
      <c r="EY38" s="228">
        <v>366.7</v>
      </c>
      <c r="EZ38" s="229">
        <v>6.2300000000000001E-2</v>
      </c>
      <c r="FA38" s="229">
        <v>0.58409999999999995</v>
      </c>
      <c r="FB38" s="227" t="s">
        <v>556</v>
      </c>
      <c r="FC38">
        <f t="shared" si="0"/>
        <v>197</v>
      </c>
    </row>
    <row r="39" spans="1:159" ht="17.25" thickBot="1" x14ac:dyDescent="0.3">
      <c r="A39" s="226">
        <v>45936</v>
      </c>
      <c r="B39" s="227" t="s">
        <v>175</v>
      </c>
      <c r="C39" s="227" t="s">
        <v>612</v>
      </c>
      <c r="D39" s="228">
        <v>150</v>
      </c>
      <c r="E39" s="228">
        <v>22</v>
      </c>
      <c r="F39" s="231">
        <v>3857.2</v>
      </c>
      <c r="G39" s="231">
        <v>3833.5</v>
      </c>
      <c r="H39" s="228">
        <v>23.7</v>
      </c>
      <c r="I39" s="229">
        <v>6.1999999999999998E-3</v>
      </c>
      <c r="J39" s="231">
        <v>3825.5</v>
      </c>
      <c r="K39" s="231">
        <v>3811.3</v>
      </c>
      <c r="L39" s="228">
        <v>14.2</v>
      </c>
      <c r="M39" s="229">
        <v>3.7000000000000002E-3</v>
      </c>
      <c r="N39" s="231">
        <v>3857.2</v>
      </c>
      <c r="O39" s="231">
        <v>3833.5</v>
      </c>
      <c r="P39" s="228">
        <v>23.7</v>
      </c>
      <c r="Q39" s="229">
        <v>6.1999999999999998E-3</v>
      </c>
      <c r="R39" s="231">
        <v>3862.6</v>
      </c>
      <c r="S39" s="231">
        <v>3842.4</v>
      </c>
      <c r="T39" s="228">
        <v>20.2</v>
      </c>
      <c r="U39" s="229">
        <v>5.3E-3</v>
      </c>
      <c r="V39" s="231">
        <v>3887</v>
      </c>
      <c r="W39" s="231">
        <v>3858.4</v>
      </c>
      <c r="X39" s="228">
        <v>28.6</v>
      </c>
      <c r="Y39" s="229">
        <v>7.4000000000000003E-3</v>
      </c>
      <c r="Z39" s="228">
        <v>31.7</v>
      </c>
      <c r="AA39" s="228">
        <v>22.2</v>
      </c>
      <c r="AB39" s="228">
        <v>9.5</v>
      </c>
      <c r="AC39" s="229">
        <v>8.3000000000000001E-3</v>
      </c>
      <c r="AD39" s="228">
        <v>31.7</v>
      </c>
      <c r="AE39" s="228">
        <v>22.2</v>
      </c>
      <c r="AF39" s="228">
        <v>9.5</v>
      </c>
      <c r="AG39" s="229">
        <v>8.3000000000000001E-3</v>
      </c>
      <c r="AH39" s="228">
        <v>37.1</v>
      </c>
      <c r="AI39" s="228">
        <v>31.1</v>
      </c>
      <c r="AJ39" s="228">
        <v>6</v>
      </c>
      <c r="AK39" s="229">
        <v>9.7000000000000003E-3</v>
      </c>
      <c r="AL39" s="228">
        <v>61.5</v>
      </c>
      <c r="AM39" s="228">
        <v>47.1</v>
      </c>
      <c r="AN39" s="228">
        <v>14.4</v>
      </c>
      <c r="AO39" s="229">
        <v>1.61E-2</v>
      </c>
      <c r="AP39" s="231">
        <v>3844.13</v>
      </c>
      <c r="AQ39" s="231">
        <v>3852.56</v>
      </c>
      <c r="AR39" s="228">
        <v>0</v>
      </c>
      <c r="AS39" s="228">
        <v>126</v>
      </c>
      <c r="AT39" s="228">
        <v>97</v>
      </c>
      <c r="AU39" s="228">
        <v>30</v>
      </c>
      <c r="AV39" s="229">
        <v>0.30819999999999997</v>
      </c>
      <c r="AW39" s="228">
        <v>122</v>
      </c>
      <c r="AX39" s="228">
        <v>91</v>
      </c>
      <c r="AY39" s="228">
        <v>31</v>
      </c>
      <c r="AZ39" s="229">
        <v>0.33900000000000002</v>
      </c>
      <c r="BA39" s="228">
        <v>3</v>
      </c>
      <c r="BB39" s="228">
        <v>5</v>
      </c>
      <c r="BC39" s="228">
        <v>-2</v>
      </c>
      <c r="BD39" s="229">
        <v>-0.31030000000000002</v>
      </c>
      <c r="BE39" s="228">
        <v>1</v>
      </c>
      <c r="BF39" s="228">
        <v>0</v>
      </c>
      <c r="BG39" s="228">
        <v>0</v>
      </c>
      <c r="BH39" s="229">
        <v>2</v>
      </c>
      <c r="BI39" s="228">
        <v>311</v>
      </c>
      <c r="BJ39" s="228">
        <v>287</v>
      </c>
      <c r="BK39" s="228">
        <v>24</v>
      </c>
      <c r="BL39" s="229">
        <v>8.2600000000000007E-2</v>
      </c>
      <c r="BM39" s="228">
        <v>120</v>
      </c>
      <c r="BN39" s="228">
        <v>100</v>
      </c>
      <c r="BO39" s="228">
        <v>19</v>
      </c>
      <c r="BP39" s="229">
        <v>0.19350000000000001</v>
      </c>
      <c r="BQ39" s="228">
        <v>557</v>
      </c>
      <c r="BR39" s="228">
        <v>484</v>
      </c>
      <c r="BS39" s="228">
        <v>73</v>
      </c>
      <c r="BT39" s="229">
        <v>0.15060000000000001</v>
      </c>
      <c r="BU39" s="230">
        <v>417600</v>
      </c>
      <c r="BV39" s="230">
        <v>260142</v>
      </c>
      <c r="BW39" s="230">
        <v>157458</v>
      </c>
      <c r="BX39" s="229">
        <v>0.60529999999999995</v>
      </c>
      <c r="BY39" s="228">
        <v>777</v>
      </c>
      <c r="BZ39" s="228">
        <v>756</v>
      </c>
      <c r="CA39" s="228">
        <v>21</v>
      </c>
      <c r="CB39" s="229">
        <v>2.75E-2</v>
      </c>
      <c r="CC39" s="228">
        <v>748</v>
      </c>
      <c r="CD39" s="228">
        <v>728</v>
      </c>
      <c r="CE39" s="228">
        <v>20</v>
      </c>
      <c r="CF39" s="229">
        <v>2.7699999999999999E-2</v>
      </c>
      <c r="CG39" s="228">
        <v>28</v>
      </c>
      <c r="CH39" s="228">
        <v>28</v>
      </c>
      <c r="CI39" s="228">
        <v>0</v>
      </c>
      <c r="CJ39" s="229">
        <v>1.03E-2</v>
      </c>
      <c r="CK39" s="228">
        <v>1</v>
      </c>
      <c r="CL39" s="228">
        <v>0</v>
      </c>
      <c r="CM39" s="228">
        <v>0</v>
      </c>
      <c r="CN39" s="229">
        <v>1.5</v>
      </c>
      <c r="CO39" s="228">
        <v>212</v>
      </c>
      <c r="CP39" s="228">
        <v>193</v>
      </c>
      <c r="CQ39" s="228">
        <v>19</v>
      </c>
      <c r="CR39" s="229">
        <v>9.74E-2</v>
      </c>
      <c r="CS39" s="228">
        <v>153</v>
      </c>
      <c r="CT39" s="228">
        <v>132</v>
      </c>
      <c r="CU39" s="228">
        <v>21</v>
      </c>
      <c r="CV39" s="229">
        <v>0.1605</v>
      </c>
      <c r="CW39" s="230">
        <v>1142</v>
      </c>
      <c r="CX39" s="230">
        <v>1081</v>
      </c>
      <c r="CY39" s="228">
        <v>61</v>
      </c>
      <c r="CZ39" s="229">
        <v>5.62E-2</v>
      </c>
      <c r="DA39" s="228">
        <v>29.92</v>
      </c>
      <c r="DB39" s="228">
        <v>28.85</v>
      </c>
      <c r="DC39" s="228">
        <v>1.07</v>
      </c>
      <c r="DD39" s="228">
        <v>1.07</v>
      </c>
      <c r="DE39" s="228">
        <v>43.15</v>
      </c>
      <c r="DF39" s="228">
        <v>43.25</v>
      </c>
      <c r="DG39" s="228">
        <v>-13.23</v>
      </c>
      <c r="DH39" s="228">
        <v>-0.1</v>
      </c>
      <c r="DI39" s="228">
        <v>29.98</v>
      </c>
      <c r="DJ39" s="228">
        <v>28.92</v>
      </c>
      <c r="DK39" s="228">
        <v>1.06</v>
      </c>
      <c r="DL39" s="228">
        <v>1.06</v>
      </c>
      <c r="DM39" s="228">
        <v>29.74</v>
      </c>
      <c r="DN39" s="228">
        <v>28.68</v>
      </c>
      <c r="DO39" s="228">
        <v>1.06</v>
      </c>
      <c r="DP39" s="228">
        <v>1.06</v>
      </c>
      <c r="DQ39" s="228">
        <v>0.72</v>
      </c>
      <c r="DR39" s="228">
        <v>0.69</v>
      </c>
      <c r="DS39" s="228">
        <v>0.03</v>
      </c>
      <c r="DT39" s="229">
        <v>4.3499999999999997E-2</v>
      </c>
      <c r="DU39" s="231">
        <v>4000</v>
      </c>
      <c r="DV39" s="231">
        <v>3800</v>
      </c>
      <c r="DW39" s="228">
        <v>0.39</v>
      </c>
      <c r="DX39" s="228">
        <v>0.35</v>
      </c>
      <c r="DY39" s="228">
        <v>0.04</v>
      </c>
      <c r="DZ39" s="229">
        <v>0.1143</v>
      </c>
      <c r="EA39" s="229">
        <v>3.7199999999999997E-2</v>
      </c>
      <c r="EB39" s="230">
        <v>73200</v>
      </c>
      <c r="EC39" s="229">
        <v>1.4E-3</v>
      </c>
      <c r="ED39" s="229">
        <v>3.7199999999999997E-2</v>
      </c>
      <c r="EE39" s="228">
        <v>8.43</v>
      </c>
      <c r="EF39" s="229">
        <v>2.2000000000000001E-3</v>
      </c>
      <c r="EG39" s="230">
        <v>275556</v>
      </c>
      <c r="EH39" s="230">
        <v>119428</v>
      </c>
      <c r="EI39" s="229">
        <v>1.3072999999999999</v>
      </c>
      <c r="EJ39" s="229">
        <v>0.65990000000000004</v>
      </c>
      <c r="EK39" s="228">
        <v>324.37</v>
      </c>
      <c r="EL39" s="228">
        <v>119.02</v>
      </c>
      <c r="EM39" s="228">
        <v>125.83</v>
      </c>
      <c r="EN39" s="228">
        <v>48.05</v>
      </c>
      <c r="EO39" s="228">
        <v>569.21</v>
      </c>
      <c r="EP39" s="228">
        <v>496.64</v>
      </c>
      <c r="EQ39" s="228">
        <v>72.569999999999993</v>
      </c>
      <c r="ER39" s="229">
        <v>0.14610000000000001</v>
      </c>
      <c r="ES39" s="228">
        <v>220.26</v>
      </c>
      <c r="ET39" s="228">
        <v>151.54</v>
      </c>
      <c r="EU39" s="228">
        <v>776.73</v>
      </c>
      <c r="EV39" s="231">
        <v>7421215</v>
      </c>
      <c r="EW39" s="231">
        <v>1148.52</v>
      </c>
      <c r="EX39" s="231">
        <v>1083.19</v>
      </c>
      <c r="EY39" s="228">
        <v>65.33</v>
      </c>
      <c r="EZ39" s="229">
        <v>6.0299999999999999E-2</v>
      </c>
      <c r="FA39" s="229">
        <v>0.39900000000000002</v>
      </c>
      <c r="FB39" s="227" t="s">
        <v>555</v>
      </c>
      <c r="FC39">
        <f t="shared" si="0"/>
        <v>29</v>
      </c>
    </row>
    <row r="40" spans="1:159" ht="17.25" thickBot="1" x14ac:dyDescent="0.3">
      <c r="A40" s="226">
        <v>45936</v>
      </c>
      <c r="B40" s="227" t="s">
        <v>172</v>
      </c>
      <c r="C40" s="227" t="s">
        <v>196</v>
      </c>
      <c r="D40" s="228">
        <v>6750</v>
      </c>
      <c r="E40" s="228">
        <v>22</v>
      </c>
      <c r="F40" s="228">
        <v>127.42</v>
      </c>
      <c r="G40" s="228">
        <v>126.73</v>
      </c>
      <c r="H40" s="228">
        <v>0.69</v>
      </c>
      <c r="I40" s="229">
        <v>5.4000000000000003E-3</v>
      </c>
      <c r="J40" s="228">
        <v>126.76</v>
      </c>
      <c r="K40" s="228">
        <v>125.9</v>
      </c>
      <c r="L40" s="228">
        <v>0.86</v>
      </c>
      <c r="M40" s="229">
        <v>6.7999999999999996E-3</v>
      </c>
      <c r="N40" s="228">
        <v>127.42</v>
      </c>
      <c r="O40" s="228">
        <v>126.73</v>
      </c>
      <c r="P40" s="228">
        <v>0.69</v>
      </c>
      <c r="Q40" s="229">
        <v>5.4000000000000003E-3</v>
      </c>
      <c r="R40" s="228">
        <v>128.08000000000001</v>
      </c>
      <c r="S40" s="228">
        <v>127.41</v>
      </c>
      <c r="T40" s="228">
        <v>0.67</v>
      </c>
      <c r="U40" s="229">
        <v>5.3E-3</v>
      </c>
      <c r="V40" s="228">
        <v>128.84</v>
      </c>
      <c r="W40" s="228">
        <v>128</v>
      </c>
      <c r="X40" s="228">
        <v>0.84</v>
      </c>
      <c r="Y40" s="229">
        <v>6.6E-3</v>
      </c>
      <c r="Z40" s="228">
        <v>0.66</v>
      </c>
      <c r="AA40" s="228">
        <v>0.83</v>
      </c>
      <c r="AB40" s="228">
        <v>-0.17</v>
      </c>
      <c r="AC40" s="229">
        <v>5.1999999999999998E-3</v>
      </c>
      <c r="AD40" s="228">
        <v>0.66</v>
      </c>
      <c r="AE40" s="228">
        <v>0.83</v>
      </c>
      <c r="AF40" s="228">
        <v>-0.17</v>
      </c>
      <c r="AG40" s="229">
        <v>5.1999999999999998E-3</v>
      </c>
      <c r="AH40" s="228">
        <v>1.32</v>
      </c>
      <c r="AI40" s="228">
        <v>1.51</v>
      </c>
      <c r="AJ40" s="228">
        <v>-0.19</v>
      </c>
      <c r="AK40" s="229">
        <v>1.04E-2</v>
      </c>
      <c r="AL40" s="228">
        <v>2.08</v>
      </c>
      <c r="AM40" s="228">
        <v>2.1</v>
      </c>
      <c r="AN40" s="228">
        <v>-0.02</v>
      </c>
      <c r="AO40" s="229">
        <v>1.6400000000000001E-2</v>
      </c>
      <c r="AP40" s="228">
        <v>127.41</v>
      </c>
      <c r="AQ40" s="228">
        <v>128.15</v>
      </c>
      <c r="AR40" s="228">
        <v>0</v>
      </c>
      <c r="AS40" s="228">
        <v>660</v>
      </c>
      <c r="AT40" s="228">
        <v>795</v>
      </c>
      <c r="AU40" s="228">
        <v>-135</v>
      </c>
      <c r="AV40" s="229">
        <v>-0.1696</v>
      </c>
      <c r="AW40" s="228">
        <v>623</v>
      </c>
      <c r="AX40" s="228">
        <v>754</v>
      </c>
      <c r="AY40" s="228">
        <v>-131</v>
      </c>
      <c r="AZ40" s="229">
        <v>-0.17369999999999999</v>
      </c>
      <c r="BA40" s="228">
        <v>30</v>
      </c>
      <c r="BB40" s="228">
        <v>33</v>
      </c>
      <c r="BC40" s="228">
        <v>-3</v>
      </c>
      <c r="BD40" s="229">
        <v>-0.1003</v>
      </c>
      <c r="BE40" s="228">
        <v>7</v>
      </c>
      <c r="BF40" s="228">
        <v>7</v>
      </c>
      <c r="BG40" s="228">
        <v>-1</v>
      </c>
      <c r="BH40" s="229">
        <v>-6.9800000000000001E-2</v>
      </c>
      <c r="BI40" s="230">
        <v>1918</v>
      </c>
      <c r="BJ40" s="230">
        <v>2457</v>
      </c>
      <c r="BK40" s="228">
        <v>-539</v>
      </c>
      <c r="BL40" s="229">
        <v>-0.21940000000000001</v>
      </c>
      <c r="BM40" s="228">
        <v>978</v>
      </c>
      <c r="BN40" s="230">
        <v>1301</v>
      </c>
      <c r="BO40" s="228">
        <v>-323</v>
      </c>
      <c r="BP40" s="229">
        <v>-0.24809999999999999</v>
      </c>
      <c r="BQ40" s="230">
        <v>3556</v>
      </c>
      <c r="BR40" s="230">
        <v>4553</v>
      </c>
      <c r="BS40" s="228">
        <v>-997</v>
      </c>
      <c r="BT40" s="229">
        <v>-0.21890000000000001</v>
      </c>
      <c r="BU40" s="230">
        <v>28241272</v>
      </c>
      <c r="BV40" s="230">
        <v>37375911</v>
      </c>
      <c r="BW40" s="230">
        <v>-9134639</v>
      </c>
      <c r="BX40" s="229">
        <v>-0.24440000000000001</v>
      </c>
      <c r="BY40" s="230">
        <v>3489</v>
      </c>
      <c r="BZ40" s="230">
        <v>3440</v>
      </c>
      <c r="CA40" s="228">
        <v>49</v>
      </c>
      <c r="CB40" s="229">
        <v>1.44E-2</v>
      </c>
      <c r="CC40" s="230">
        <v>3414</v>
      </c>
      <c r="CD40" s="230">
        <v>3369</v>
      </c>
      <c r="CE40" s="228">
        <v>44</v>
      </c>
      <c r="CF40" s="229">
        <v>1.3100000000000001E-2</v>
      </c>
      <c r="CG40" s="228">
        <v>67</v>
      </c>
      <c r="CH40" s="228">
        <v>64</v>
      </c>
      <c r="CI40" s="228">
        <v>3</v>
      </c>
      <c r="CJ40" s="229">
        <v>4.41E-2</v>
      </c>
      <c r="CK40" s="228">
        <v>9</v>
      </c>
      <c r="CL40" s="228">
        <v>6</v>
      </c>
      <c r="CM40" s="228">
        <v>2</v>
      </c>
      <c r="CN40" s="229">
        <v>0.38890000000000002</v>
      </c>
      <c r="CO40" s="228">
        <v>915</v>
      </c>
      <c r="CP40" s="228">
        <v>859</v>
      </c>
      <c r="CQ40" s="228">
        <v>56</v>
      </c>
      <c r="CR40" s="229">
        <v>6.5299999999999997E-2</v>
      </c>
      <c r="CS40" s="228">
        <v>859</v>
      </c>
      <c r="CT40" s="228">
        <v>811</v>
      </c>
      <c r="CU40" s="228">
        <v>48</v>
      </c>
      <c r="CV40" s="229">
        <v>5.9299999999999999E-2</v>
      </c>
      <c r="CW40" s="230">
        <v>5264</v>
      </c>
      <c r="CX40" s="230">
        <v>5110</v>
      </c>
      <c r="CY40" s="228">
        <v>154</v>
      </c>
      <c r="CZ40" s="229">
        <v>3.0099999999999998E-2</v>
      </c>
      <c r="DA40" s="228">
        <v>30.54</v>
      </c>
      <c r="DB40" s="228">
        <v>29.3</v>
      </c>
      <c r="DC40" s="228">
        <v>1.24</v>
      </c>
      <c r="DD40" s="228">
        <v>1.24</v>
      </c>
      <c r="DE40" s="228">
        <v>37.94</v>
      </c>
      <c r="DF40" s="228">
        <v>38.03</v>
      </c>
      <c r="DG40" s="228">
        <v>-7.4</v>
      </c>
      <c r="DH40" s="228">
        <v>-0.09</v>
      </c>
      <c r="DI40" s="228">
        <v>30.02</v>
      </c>
      <c r="DJ40" s="228">
        <v>28.77</v>
      </c>
      <c r="DK40" s="228">
        <v>1.25</v>
      </c>
      <c r="DL40" s="228">
        <v>1.25</v>
      </c>
      <c r="DM40" s="228">
        <v>31.55</v>
      </c>
      <c r="DN40" s="228">
        <v>30.3</v>
      </c>
      <c r="DO40" s="228">
        <v>1.25</v>
      </c>
      <c r="DP40" s="228">
        <v>1.25</v>
      </c>
      <c r="DQ40" s="228">
        <v>0.94</v>
      </c>
      <c r="DR40" s="228">
        <v>0.94</v>
      </c>
      <c r="DS40" s="228">
        <v>0</v>
      </c>
      <c r="DT40" s="229">
        <v>0</v>
      </c>
      <c r="DU40" s="228">
        <v>130</v>
      </c>
      <c r="DV40" s="228">
        <v>115</v>
      </c>
      <c r="DW40" s="228">
        <v>0.51</v>
      </c>
      <c r="DX40" s="228">
        <v>0.53</v>
      </c>
      <c r="DY40" s="228">
        <v>-0.02</v>
      </c>
      <c r="DZ40" s="229">
        <v>-3.7699999999999997E-2</v>
      </c>
      <c r="EA40" s="229">
        <v>2.1700000000000001E-2</v>
      </c>
      <c r="EB40" s="230">
        <v>5541750</v>
      </c>
      <c r="EC40" s="229">
        <v>5.1999999999999998E-3</v>
      </c>
      <c r="ED40" s="229">
        <v>2.1700000000000001E-2</v>
      </c>
      <c r="EE40" s="228">
        <v>0.74</v>
      </c>
      <c r="EF40" s="229">
        <v>5.7999999999999996E-3</v>
      </c>
      <c r="EG40" s="230">
        <v>11456188</v>
      </c>
      <c r="EH40" s="230">
        <v>17329998</v>
      </c>
      <c r="EI40" s="229">
        <v>-0.33889999999999998</v>
      </c>
      <c r="EJ40" s="229">
        <v>0.40570000000000001</v>
      </c>
      <c r="EK40" s="231">
        <v>1991.43</v>
      </c>
      <c r="EL40" s="228">
        <v>954.51</v>
      </c>
      <c r="EM40" s="228">
        <v>660.42</v>
      </c>
      <c r="EN40" s="228">
        <v>143.49</v>
      </c>
      <c r="EO40" s="231">
        <v>3606.36</v>
      </c>
      <c r="EP40" s="231">
        <v>4572.0200000000004</v>
      </c>
      <c r="EQ40" s="228">
        <v>-965.67</v>
      </c>
      <c r="ER40" s="229">
        <v>-0.2112</v>
      </c>
      <c r="ES40" s="228">
        <v>906.88</v>
      </c>
      <c r="ET40" s="228">
        <v>798.92</v>
      </c>
      <c r="EU40" s="231">
        <v>3489.81</v>
      </c>
      <c r="EV40" s="231">
        <v>504315430</v>
      </c>
      <c r="EW40" s="231">
        <v>5195.6099999999997</v>
      </c>
      <c r="EX40" s="231">
        <v>5017.5</v>
      </c>
      <c r="EY40" s="228">
        <v>178.11</v>
      </c>
      <c r="EZ40" s="229">
        <v>3.5499999999999997E-2</v>
      </c>
      <c r="FA40" s="229">
        <v>0.81910000000000005</v>
      </c>
      <c r="FB40" s="227" t="s">
        <v>555</v>
      </c>
      <c r="FC40">
        <f t="shared" si="0"/>
        <v>75</v>
      </c>
    </row>
    <row r="41" spans="1:159" ht="17.25" thickBot="1" x14ac:dyDescent="0.3">
      <c r="A41" s="226">
        <v>45936</v>
      </c>
      <c r="B41" s="227" t="s">
        <v>175</v>
      </c>
      <c r="C41" s="227" t="s">
        <v>598</v>
      </c>
      <c r="D41" s="228">
        <v>475</v>
      </c>
      <c r="E41" s="228">
        <v>22</v>
      </c>
      <c r="F41" s="231">
        <v>1529.3</v>
      </c>
      <c r="G41" s="231">
        <v>1497.2</v>
      </c>
      <c r="H41" s="228">
        <v>32.1</v>
      </c>
      <c r="I41" s="229">
        <v>2.1399999999999999E-2</v>
      </c>
      <c r="J41" s="231">
        <v>1524.9</v>
      </c>
      <c r="K41" s="231">
        <v>1490.1</v>
      </c>
      <c r="L41" s="228">
        <v>34.799999999999997</v>
      </c>
      <c r="M41" s="229">
        <v>2.3400000000000001E-2</v>
      </c>
      <c r="N41" s="231">
        <v>1529.3</v>
      </c>
      <c r="O41" s="231">
        <v>1497.2</v>
      </c>
      <c r="P41" s="228">
        <v>32.1</v>
      </c>
      <c r="Q41" s="229">
        <v>2.1399999999999999E-2</v>
      </c>
      <c r="R41" s="231">
        <v>1532.7</v>
      </c>
      <c r="S41" s="231">
        <v>1501.3</v>
      </c>
      <c r="T41" s="228">
        <v>31.4</v>
      </c>
      <c r="U41" s="229">
        <v>2.0899999999999998E-2</v>
      </c>
      <c r="V41" s="231">
        <v>1536.9</v>
      </c>
      <c r="W41" s="231">
        <v>1505.2</v>
      </c>
      <c r="X41" s="228">
        <v>31.7</v>
      </c>
      <c r="Y41" s="229">
        <v>2.1100000000000001E-2</v>
      </c>
      <c r="Z41" s="228">
        <v>4.4000000000000004</v>
      </c>
      <c r="AA41" s="228">
        <v>7.1</v>
      </c>
      <c r="AB41" s="228">
        <v>-2.7</v>
      </c>
      <c r="AC41" s="229">
        <v>2.8999999999999998E-3</v>
      </c>
      <c r="AD41" s="228">
        <v>4.4000000000000004</v>
      </c>
      <c r="AE41" s="228">
        <v>7.1</v>
      </c>
      <c r="AF41" s="228">
        <v>-2.7</v>
      </c>
      <c r="AG41" s="229">
        <v>2.8999999999999998E-3</v>
      </c>
      <c r="AH41" s="228">
        <v>7.8</v>
      </c>
      <c r="AI41" s="228">
        <v>11.2</v>
      </c>
      <c r="AJ41" s="228">
        <v>-3.4</v>
      </c>
      <c r="AK41" s="229">
        <v>5.1000000000000004E-3</v>
      </c>
      <c r="AL41" s="228">
        <v>12</v>
      </c>
      <c r="AM41" s="228">
        <v>15.1</v>
      </c>
      <c r="AN41" s="228">
        <v>-3.1</v>
      </c>
      <c r="AO41" s="229">
        <v>7.9000000000000008E-3</v>
      </c>
      <c r="AP41" s="231">
        <v>1518.9</v>
      </c>
      <c r="AQ41" s="231">
        <v>1521.36</v>
      </c>
      <c r="AR41" s="228">
        <v>0</v>
      </c>
      <c r="AS41" s="228">
        <v>418</v>
      </c>
      <c r="AT41" s="228">
        <v>178</v>
      </c>
      <c r="AU41" s="228">
        <v>240</v>
      </c>
      <c r="AV41" s="229">
        <v>1.353</v>
      </c>
      <c r="AW41" s="228">
        <v>385</v>
      </c>
      <c r="AX41" s="228">
        <v>157</v>
      </c>
      <c r="AY41" s="228">
        <v>228</v>
      </c>
      <c r="AZ41" s="229">
        <v>1.4589000000000001</v>
      </c>
      <c r="BA41" s="228">
        <v>26</v>
      </c>
      <c r="BB41" s="228">
        <v>16</v>
      </c>
      <c r="BC41" s="228">
        <v>10</v>
      </c>
      <c r="BD41" s="229">
        <v>0.58150000000000002</v>
      </c>
      <c r="BE41" s="228">
        <v>7</v>
      </c>
      <c r="BF41" s="228">
        <v>5</v>
      </c>
      <c r="BG41" s="228">
        <v>2</v>
      </c>
      <c r="BH41" s="229">
        <v>0.50790000000000002</v>
      </c>
      <c r="BI41" s="230">
        <v>1790</v>
      </c>
      <c r="BJ41" s="228">
        <v>728</v>
      </c>
      <c r="BK41" s="230">
        <v>1062</v>
      </c>
      <c r="BL41" s="229">
        <v>1.4603999999999999</v>
      </c>
      <c r="BM41" s="228">
        <v>602</v>
      </c>
      <c r="BN41" s="228">
        <v>300</v>
      </c>
      <c r="BO41" s="228">
        <v>302</v>
      </c>
      <c r="BP41" s="229">
        <v>1.0041</v>
      </c>
      <c r="BQ41" s="230">
        <v>2810</v>
      </c>
      <c r="BR41" s="230">
        <v>1206</v>
      </c>
      <c r="BS41" s="230">
        <v>1604</v>
      </c>
      <c r="BT41" s="229">
        <v>1.3309</v>
      </c>
      <c r="BU41" s="230">
        <v>2020414</v>
      </c>
      <c r="BV41" s="230">
        <v>1372102</v>
      </c>
      <c r="BW41" s="230">
        <v>648312</v>
      </c>
      <c r="BX41" s="229">
        <v>0.47249999999999998</v>
      </c>
      <c r="BY41" s="230">
        <v>1361</v>
      </c>
      <c r="BZ41" s="230">
        <v>1345</v>
      </c>
      <c r="CA41" s="228">
        <v>15</v>
      </c>
      <c r="CB41" s="229">
        <v>1.1299999999999999E-2</v>
      </c>
      <c r="CC41" s="230">
        <v>1271</v>
      </c>
      <c r="CD41" s="230">
        <v>1262</v>
      </c>
      <c r="CE41" s="228">
        <v>8</v>
      </c>
      <c r="CF41" s="229">
        <v>6.7000000000000002E-3</v>
      </c>
      <c r="CG41" s="228">
        <v>84</v>
      </c>
      <c r="CH41" s="228">
        <v>78</v>
      </c>
      <c r="CI41" s="228">
        <v>6</v>
      </c>
      <c r="CJ41" s="229">
        <v>7.8299999999999995E-2</v>
      </c>
      <c r="CK41" s="228">
        <v>6</v>
      </c>
      <c r="CL41" s="228">
        <v>5</v>
      </c>
      <c r="CM41" s="228">
        <v>1</v>
      </c>
      <c r="CN41" s="229">
        <v>0.1143</v>
      </c>
      <c r="CO41" s="228">
        <v>661</v>
      </c>
      <c r="CP41" s="228">
        <v>617</v>
      </c>
      <c r="CQ41" s="228">
        <v>44</v>
      </c>
      <c r="CR41" s="229">
        <v>7.1499999999999994E-2</v>
      </c>
      <c r="CS41" s="228">
        <v>479</v>
      </c>
      <c r="CT41" s="228">
        <v>453</v>
      </c>
      <c r="CU41" s="228">
        <v>26</v>
      </c>
      <c r="CV41" s="229">
        <v>5.6399999999999999E-2</v>
      </c>
      <c r="CW41" s="230">
        <v>2500</v>
      </c>
      <c r="CX41" s="230">
        <v>2416</v>
      </c>
      <c r="CY41" s="228">
        <v>85</v>
      </c>
      <c r="CZ41" s="229">
        <v>3.5099999999999999E-2</v>
      </c>
      <c r="DA41" s="228">
        <v>28.99</v>
      </c>
      <c r="DB41" s="228">
        <v>28.29</v>
      </c>
      <c r="DC41" s="228">
        <v>0.7</v>
      </c>
      <c r="DD41" s="228">
        <v>0.7</v>
      </c>
      <c r="DE41" s="228">
        <v>48.13</v>
      </c>
      <c r="DF41" s="228">
        <v>48.16</v>
      </c>
      <c r="DG41" s="228">
        <v>-19.14</v>
      </c>
      <c r="DH41" s="228">
        <v>-0.03</v>
      </c>
      <c r="DI41" s="228">
        <v>28.81</v>
      </c>
      <c r="DJ41" s="228">
        <v>28.09</v>
      </c>
      <c r="DK41" s="228">
        <v>0.72</v>
      </c>
      <c r="DL41" s="228">
        <v>0.72</v>
      </c>
      <c r="DM41" s="228">
        <v>29.53</v>
      </c>
      <c r="DN41" s="228">
        <v>28.77</v>
      </c>
      <c r="DO41" s="228">
        <v>0.76</v>
      </c>
      <c r="DP41" s="228">
        <v>0.76</v>
      </c>
      <c r="DQ41" s="228">
        <v>0.72</v>
      </c>
      <c r="DR41" s="228">
        <v>0.73</v>
      </c>
      <c r="DS41" s="228">
        <v>-0.01</v>
      </c>
      <c r="DT41" s="229">
        <v>-1.37E-2</v>
      </c>
      <c r="DU41" s="231">
        <v>1600</v>
      </c>
      <c r="DV41" s="231">
        <v>1500</v>
      </c>
      <c r="DW41" s="228">
        <v>0.34</v>
      </c>
      <c r="DX41" s="228">
        <v>0.41</v>
      </c>
      <c r="DY41" s="228">
        <v>-7.0000000000000007E-2</v>
      </c>
      <c r="DZ41" s="229">
        <v>-0.17069999999999999</v>
      </c>
      <c r="EA41" s="229">
        <v>6.59E-2</v>
      </c>
      <c r="EB41" s="230">
        <v>542925</v>
      </c>
      <c r="EC41" s="229">
        <v>2.2000000000000001E-3</v>
      </c>
      <c r="ED41" s="229">
        <v>6.59E-2</v>
      </c>
      <c r="EE41" s="228">
        <v>2.46</v>
      </c>
      <c r="EF41" s="229">
        <v>1.6000000000000001E-3</v>
      </c>
      <c r="EG41" s="230">
        <v>678333</v>
      </c>
      <c r="EH41" s="230">
        <v>569046</v>
      </c>
      <c r="EI41" s="229">
        <v>0.19209999999999999</v>
      </c>
      <c r="EJ41" s="229">
        <v>0.3357</v>
      </c>
      <c r="EK41" s="231">
        <v>1853.21</v>
      </c>
      <c r="EL41" s="228">
        <v>589.34</v>
      </c>
      <c r="EM41" s="228">
        <v>415.15</v>
      </c>
      <c r="EN41" s="228">
        <v>86.64</v>
      </c>
      <c r="EO41" s="231">
        <v>2857.7</v>
      </c>
      <c r="EP41" s="231">
        <v>1207.44</v>
      </c>
      <c r="EQ41" s="231">
        <v>1650.26</v>
      </c>
      <c r="ER41" s="229">
        <v>1.3667</v>
      </c>
      <c r="ES41" s="228">
        <v>684.24</v>
      </c>
      <c r="ET41" s="228">
        <v>465.99</v>
      </c>
      <c r="EU41" s="231">
        <v>1360.79</v>
      </c>
      <c r="EV41" s="231">
        <v>26647500</v>
      </c>
      <c r="EW41" s="231">
        <v>2511.0300000000002</v>
      </c>
      <c r="EX41" s="231">
        <v>2396.17</v>
      </c>
      <c r="EY41" s="228">
        <v>114.86</v>
      </c>
      <c r="EZ41" s="229">
        <v>4.7899999999999998E-2</v>
      </c>
      <c r="FA41" s="229">
        <v>0.61360000000000003</v>
      </c>
      <c r="FB41" s="227" t="s">
        <v>555</v>
      </c>
      <c r="FC41">
        <f t="shared" si="0"/>
        <v>90</v>
      </c>
    </row>
    <row r="42" spans="1:159" ht="17.25" thickBot="1" x14ac:dyDescent="0.3">
      <c r="A42" s="226">
        <v>45936</v>
      </c>
      <c r="B42" s="227" t="s">
        <v>161</v>
      </c>
      <c r="C42" s="227" t="s">
        <v>613</v>
      </c>
      <c r="D42" s="228">
        <v>850</v>
      </c>
      <c r="E42" s="228">
        <v>22</v>
      </c>
      <c r="F42" s="228">
        <v>749.95</v>
      </c>
      <c r="G42" s="228">
        <v>750.6</v>
      </c>
      <c r="H42" s="228">
        <v>-0.65</v>
      </c>
      <c r="I42" s="229">
        <v>-8.9999999999999998E-4</v>
      </c>
      <c r="J42" s="228">
        <v>745.4</v>
      </c>
      <c r="K42" s="228">
        <v>747.5</v>
      </c>
      <c r="L42" s="228">
        <v>-2.1</v>
      </c>
      <c r="M42" s="229">
        <v>-2.8E-3</v>
      </c>
      <c r="N42" s="228">
        <v>749.95</v>
      </c>
      <c r="O42" s="228">
        <v>750.6</v>
      </c>
      <c r="P42" s="228">
        <v>-0.65</v>
      </c>
      <c r="Q42" s="229">
        <v>-8.9999999999999998E-4</v>
      </c>
      <c r="R42" s="228">
        <v>754.9</v>
      </c>
      <c r="S42" s="228">
        <v>755.1</v>
      </c>
      <c r="T42" s="228">
        <v>-0.2</v>
      </c>
      <c r="U42" s="229">
        <v>-2.9999999999999997E-4</v>
      </c>
      <c r="V42" s="228">
        <v>755</v>
      </c>
      <c r="W42" s="228">
        <v>757.6</v>
      </c>
      <c r="X42" s="228">
        <v>-2.6</v>
      </c>
      <c r="Y42" s="229">
        <v>-3.3999999999999998E-3</v>
      </c>
      <c r="Z42" s="228">
        <v>4.55</v>
      </c>
      <c r="AA42" s="228">
        <v>3.1</v>
      </c>
      <c r="AB42" s="228">
        <v>1.45</v>
      </c>
      <c r="AC42" s="229">
        <v>6.1000000000000004E-3</v>
      </c>
      <c r="AD42" s="228">
        <v>4.55</v>
      </c>
      <c r="AE42" s="228">
        <v>3.1</v>
      </c>
      <c r="AF42" s="228">
        <v>1.45</v>
      </c>
      <c r="AG42" s="229">
        <v>6.1000000000000004E-3</v>
      </c>
      <c r="AH42" s="228">
        <v>9.5</v>
      </c>
      <c r="AI42" s="228">
        <v>7.6</v>
      </c>
      <c r="AJ42" s="228">
        <v>1.9</v>
      </c>
      <c r="AK42" s="229">
        <v>1.2699999999999999E-2</v>
      </c>
      <c r="AL42" s="228">
        <v>9.6</v>
      </c>
      <c r="AM42" s="228">
        <v>10.1</v>
      </c>
      <c r="AN42" s="228">
        <v>-0.5</v>
      </c>
      <c r="AO42" s="229">
        <v>1.29E-2</v>
      </c>
      <c r="AP42" s="228">
        <v>748.36</v>
      </c>
      <c r="AQ42" s="228">
        <v>752.66</v>
      </c>
      <c r="AR42" s="228">
        <v>0</v>
      </c>
      <c r="AS42" s="228">
        <v>122</v>
      </c>
      <c r="AT42" s="228">
        <v>124</v>
      </c>
      <c r="AU42" s="228">
        <v>-2</v>
      </c>
      <c r="AV42" s="229">
        <v>-1.7999999999999999E-2</v>
      </c>
      <c r="AW42" s="228">
        <v>117</v>
      </c>
      <c r="AX42" s="228">
        <v>116</v>
      </c>
      <c r="AY42" s="228">
        <v>1</v>
      </c>
      <c r="AZ42" s="229">
        <v>1.1599999999999999E-2</v>
      </c>
      <c r="BA42" s="228">
        <v>4</v>
      </c>
      <c r="BB42" s="228">
        <v>8</v>
      </c>
      <c r="BC42" s="228">
        <v>-4</v>
      </c>
      <c r="BD42" s="229">
        <v>-0.47060000000000002</v>
      </c>
      <c r="BE42" s="228">
        <v>1</v>
      </c>
      <c r="BF42" s="228">
        <v>1</v>
      </c>
      <c r="BG42" s="228">
        <v>0</v>
      </c>
      <c r="BH42" s="229">
        <v>0</v>
      </c>
      <c r="BI42" s="228">
        <v>234</v>
      </c>
      <c r="BJ42" s="228">
        <v>279</v>
      </c>
      <c r="BK42" s="228">
        <v>-45</v>
      </c>
      <c r="BL42" s="229">
        <v>-0.161</v>
      </c>
      <c r="BM42" s="228">
        <v>48</v>
      </c>
      <c r="BN42" s="228">
        <v>64</v>
      </c>
      <c r="BO42" s="228">
        <v>-17</v>
      </c>
      <c r="BP42" s="229">
        <v>-0.25869999999999999</v>
      </c>
      <c r="BQ42" s="228">
        <v>403</v>
      </c>
      <c r="BR42" s="228">
        <v>467</v>
      </c>
      <c r="BS42" s="228">
        <v>-64</v>
      </c>
      <c r="BT42" s="229">
        <v>-0.1366</v>
      </c>
      <c r="BU42" s="230">
        <v>1249071</v>
      </c>
      <c r="BV42" s="230">
        <v>1446028</v>
      </c>
      <c r="BW42" s="230">
        <v>-196957</v>
      </c>
      <c r="BX42" s="229">
        <v>-0.13619999999999999</v>
      </c>
      <c r="BY42" s="230">
        <v>1312</v>
      </c>
      <c r="BZ42" s="230">
        <v>1298</v>
      </c>
      <c r="CA42" s="228">
        <v>14</v>
      </c>
      <c r="CB42" s="229">
        <v>1.12E-2</v>
      </c>
      <c r="CC42" s="230">
        <v>1289</v>
      </c>
      <c r="CD42" s="230">
        <v>1276</v>
      </c>
      <c r="CE42" s="228">
        <v>13</v>
      </c>
      <c r="CF42" s="229">
        <v>1.0200000000000001E-2</v>
      </c>
      <c r="CG42" s="228">
        <v>22</v>
      </c>
      <c r="CH42" s="228">
        <v>21</v>
      </c>
      <c r="CI42" s="228">
        <v>1</v>
      </c>
      <c r="CJ42" s="229">
        <v>4.53E-2</v>
      </c>
      <c r="CK42" s="228">
        <v>2</v>
      </c>
      <c r="CL42" s="228">
        <v>1</v>
      </c>
      <c r="CM42" s="228">
        <v>1</v>
      </c>
      <c r="CN42" s="229">
        <v>0.5</v>
      </c>
      <c r="CO42" s="228">
        <v>322</v>
      </c>
      <c r="CP42" s="228">
        <v>298</v>
      </c>
      <c r="CQ42" s="228">
        <v>23</v>
      </c>
      <c r="CR42" s="229">
        <v>7.8E-2</v>
      </c>
      <c r="CS42" s="228">
        <v>189</v>
      </c>
      <c r="CT42" s="228">
        <v>181</v>
      </c>
      <c r="CU42" s="228">
        <v>9</v>
      </c>
      <c r="CV42" s="229">
        <v>4.7699999999999999E-2</v>
      </c>
      <c r="CW42" s="230">
        <v>1823</v>
      </c>
      <c r="CX42" s="230">
        <v>1777</v>
      </c>
      <c r="CY42" s="228">
        <v>46</v>
      </c>
      <c r="CZ42" s="229">
        <v>2.6100000000000002E-2</v>
      </c>
      <c r="DA42" s="228">
        <v>32.340000000000003</v>
      </c>
      <c r="DB42" s="228">
        <v>31.06</v>
      </c>
      <c r="DC42" s="228">
        <v>1.28</v>
      </c>
      <c r="DD42" s="228">
        <v>1.28</v>
      </c>
      <c r="DE42" s="228">
        <v>42.22</v>
      </c>
      <c r="DF42" s="228">
        <v>42.33</v>
      </c>
      <c r="DG42" s="228">
        <v>-9.8800000000000008</v>
      </c>
      <c r="DH42" s="228">
        <v>-0.11</v>
      </c>
      <c r="DI42" s="228">
        <v>32.409999999999997</v>
      </c>
      <c r="DJ42" s="228">
        <v>31.22</v>
      </c>
      <c r="DK42" s="228">
        <v>1.19</v>
      </c>
      <c r="DL42" s="228">
        <v>1.19</v>
      </c>
      <c r="DM42" s="228">
        <v>31.96</v>
      </c>
      <c r="DN42" s="228">
        <v>30.4</v>
      </c>
      <c r="DO42" s="228">
        <v>1.56</v>
      </c>
      <c r="DP42" s="228">
        <v>1.56</v>
      </c>
      <c r="DQ42" s="228">
        <v>0.59</v>
      </c>
      <c r="DR42" s="228">
        <v>0.61</v>
      </c>
      <c r="DS42" s="228">
        <v>-0.02</v>
      </c>
      <c r="DT42" s="229">
        <v>-3.2800000000000003E-2</v>
      </c>
      <c r="DU42" s="228">
        <v>840</v>
      </c>
      <c r="DV42" s="228">
        <v>700</v>
      </c>
      <c r="DW42" s="228">
        <v>0.2</v>
      </c>
      <c r="DX42" s="228">
        <v>0.23</v>
      </c>
      <c r="DY42" s="228">
        <v>-0.03</v>
      </c>
      <c r="DZ42" s="229">
        <v>-0.13039999999999999</v>
      </c>
      <c r="EA42" s="229">
        <v>1.7999999999999999E-2</v>
      </c>
      <c r="EB42" s="230">
        <v>294950</v>
      </c>
      <c r="EC42" s="229">
        <v>6.6E-3</v>
      </c>
      <c r="ED42" s="229">
        <v>1.7999999999999999E-2</v>
      </c>
      <c r="EE42" s="228">
        <v>4.3</v>
      </c>
      <c r="EF42" s="229">
        <v>5.7000000000000002E-3</v>
      </c>
      <c r="EG42" s="230">
        <v>629523</v>
      </c>
      <c r="EH42" s="230">
        <v>713058</v>
      </c>
      <c r="EI42" s="229">
        <v>-0.1172</v>
      </c>
      <c r="EJ42" s="229">
        <v>0.504</v>
      </c>
      <c r="EK42" s="228">
        <v>247.88</v>
      </c>
      <c r="EL42" s="228">
        <v>47.02</v>
      </c>
      <c r="EM42" s="228">
        <v>121.34</v>
      </c>
      <c r="EN42" s="228">
        <v>56.84</v>
      </c>
      <c r="EO42" s="228">
        <v>416.24</v>
      </c>
      <c r="EP42" s="228">
        <v>482.26</v>
      </c>
      <c r="EQ42" s="228">
        <v>-66.02</v>
      </c>
      <c r="ER42" s="229">
        <v>-0.13689999999999999</v>
      </c>
      <c r="ES42" s="228">
        <v>341.96</v>
      </c>
      <c r="ET42" s="228">
        <v>184.18</v>
      </c>
      <c r="EU42" s="231">
        <v>1312.3</v>
      </c>
      <c r="EV42" s="231">
        <v>100245792</v>
      </c>
      <c r="EW42" s="231">
        <v>1838.44</v>
      </c>
      <c r="EX42" s="231">
        <v>1792.16</v>
      </c>
      <c r="EY42" s="228">
        <v>46.28</v>
      </c>
      <c r="EZ42" s="229">
        <v>2.58E-2</v>
      </c>
      <c r="FA42" s="229">
        <v>0.24249999999999999</v>
      </c>
      <c r="FB42" s="227" t="s">
        <v>567</v>
      </c>
      <c r="FC42">
        <f t="shared" si="0"/>
        <v>23</v>
      </c>
    </row>
    <row r="43" spans="1:159" ht="17.25" thickBot="1" x14ac:dyDescent="0.3">
      <c r="A43" s="226">
        <v>45936</v>
      </c>
      <c r="B43" s="227" t="s">
        <v>175</v>
      </c>
      <c r="C43" s="227" t="s">
        <v>198</v>
      </c>
      <c r="D43" s="228">
        <v>625</v>
      </c>
      <c r="E43" s="228">
        <v>22</v>
      </c>
      <c r="F43" s="231">
        <v>1620.4</v>
      </c>
      <c r="G43" s="231">
        <v>1566.2</v>
      </c>
      <c r="H43" s="228">
        <v>54.2</v>
      </c>
      <c r="I43" s="229">
        <v>3.4599999999999999E-2</v>
      </c>
      <c r="J43" s="231">
        <v>1634.1</v>
      </c>
      <c r="K43" s="231">
        <v>1570.9</v>
      </c>
      <c r="L43" s="228">
        <v>63.2</v>
      </c>
      <c r="M43" s="229">
        <v>4.02E-2</v>
      </c>
      <c r="N43" s="231">
        <v>1620.4</v>
      </c>
      <c r="O43" s="231">
        <v>1566.2</v>
      </c>
      <c r="P43" s="228">
        <v>54.2</v>
      </c>
      <c r="Q43" s="229">
        <v>3.4599999999999999E-2</v>
      </c>
      <c r="R43" s="231">
        <v>1609.3</v>
      </c>
      <c r="S43" s="231">
        <v>1555.4</v>
      </c>
      <c r="T43" s="228">
        <v>53.9</v>
      </c>
      <c r="U43" s="229">
        <v>3.4700000000000002E-2</v>
      </c>
      <c r="V43" s="231">
        <v>1601.6</v>
      </c>
      <c r="W43" s="231">
        <v>1553.9</v>
      </c>
      <c r="X43" s="228">
        <v>47.7</v>
      </c>
      <c r="Y43" s="229">
        <v>3.0700000000000002E-2</v>
      </c>
      <c r="Z43" s="228">
        <v>-13.7</v>
      </c>
      <c r="AA43" s="228">
        <v>-4.7</v>
      </c>
      <c r="AB43" s="228">
        <v>-9</v>
      </c>
      <c r="AC43" s="229">
        <v>-8.3999999999999995E-3</v>
      </c>
      <c r="AD43" s="228">
        <v>-13.7</v>
      </c>
      <c r="AE43" s="228">
        <v>-4.7</v>
      </c>
      <c r="AF43" s="228">
        <v>-9</v>
      </c>
      <c r="AG43" s="229">
        <v>-8.3999999999999995E-3</v>
      </c>
      <c r="AH43" s="228">
        <v>-24.8</v>
      </c>
      <c r="AI43" s="228">
        <v>-15.5</v>
      </c>
      <c r="AJ43" s="228">
        <v>-9.3000000000000007</v>
      </c>
      <c r="AK43" s="229">
        <v>-1.52E-2</v>
      </c>
      <c r="AL43" s="228">
        <v>-32.5</v>
      </c>
      <c r="AM43" s="228">
        <v>-17</v>
      </c>
      <c r="AN43" s="228">
        <v>-15.5</v>
      </c>
      <c r="AO43" s="229">
        <v>-1.9900000000000001E-2</v>
      </c>
      <c r="AP43" s="231">
        <v>1602.15</v>
      </c>
      <c r="AQ43" s="231">
        <v>1596.3</v>
      </c>
      <c r="AR43" s="228">
        <v>0</v>
      </c>
      <c r="AS43" s="228">
        <v>551</v>
      </c>
      <c r="AT43" s="228">
        <v>406</v>
      </c>
      <c r="AU43" s="228">
        <v>145</v>
      </c>
      <c r="AV43" s="229">
        <v>0.35589999999999999</v>
      </c>
      <c r="AW43" s="228">
        <v>532</v>
      </c>
      <c r="AX43" s="228">
        <v>390</v>
      </c>
      <c r="AY43" s="228">
        <v>142</v>
      </c>
      <c r="AZ43" s="229">
        <v>0.36309999999999998</v>
      </c>
      <c r="BA43" s="228">
        <v>17</v>
      </c>
      <c r="BB43" s="228">
        <v>14</v>
      </c>
      <c r="BC43" s="228">
        <v>3</v>
      </c>
      <c r="BD43" s="229">
        <v>0.2286</v>
      </c>
      <c r="BE43" s="228">
        <v>1</v>
      </c>
      <c r="BF43" s="228">
        <v>2</v>
      </c>
      <c r="BG43" s="228">
        <v>0</v>
      </c>
      <c r="BH43" s="229">
        <v>-0.23530000000000001</v>
      </c>
      <c r="BI43" s="230">
        <v>1289</v>
      </c>
      <c r="BJ43" s="228">
        <v>714</v>
      </c>
      <c r="BK43" s="228">
        <v>574</v>
      </c>
      <c r="BL43" s="229">
        <v>0.80389999999999995</v>
      </c>
      <c r="BM43" s="228">
        <v>545</v>
      </c>
      <c r="BN43" s="228">
        <v>422</v>
      </c>
      <c r="BO43" s="228">
        <v>124</v>
      </c>
      <c r="BP43" s="229">
        <v>0.29339999999999999</v>
      </c>
      <c r="BQ43" s="230">
        <v>2385</v>
      </c>
      <c r="BR43" s="230">
        <v>1542</v>
      </c>
      <c r="BS43" s="228">
        <v>843</v>
      </c>
      <c r="BT43" s="229">
        <v>0.5464</v>
      </c>
      <c r="BU43" s="230">
        <v>1897839</v>
      </c>
      <c r="BV43" s="230">
        <v>1544239</v>
      </c>
      <c r="BW43" s="230">
        <v>353600</v>
      </c>
      <c r="BX43" s="229">
        <v>0.22900000000000001</v>
      </c>
      <c r="BY43" s="230">
        <v>2374</v>
      </c>
      <c r="BZ43" s="230">
        <v>2382</v>
      </c>
      <c r="CA43" s="228">
        <v>-8</v>
      </c>
      <c r="CB43" s="229">
        <v>-3.2000000000000002E-3</v>
      </c>
      <c r="CC43" s="230">
        <v>2342</v>
      </c>
      <c r="CD43" s="230">
        <v>2350</v>
      </c>
      <c r="CE43" s="228">
        <v>-8</v>
      </c>
      <c r="CF43" s="229">
        <v>-3.3999999999999998E-3</v>
      </c>
      <c r="CG43" s="228">
        <v>30</v>
      </c>
      <c r="CH43" s="228">
        <v>29</v>
      </c>
      <c r="CI43" s="228">
        <v>1</v>
      </c>
      <c r="CJ43" s="229">
        <v>1.7399999999999999E-2</v>
      </c>
      <c r="CK43" s="228">
        <v>2</v>
      </c>
      <c r="CL43" s="228">
        <v>2</v>
      </c>
      <c r="CM43" s="228">
        <v>0</v>
      </c>
      <c r="CN43" s="229">
        <v>-4.3499999999999997E-2</v>
      </c>
      <c r="CO43" s="228">
        <v>312</v>
      </c>
      <c r="CP43" s="228">
        <v>298</v>
      </c>
      <c r="CQ43" s="228">
        <v>15</v>
      </c>
      <c r="CR43" s="229">
        <v>4.9000000000000002E-2</v>
      </c>
      <c r="CS43" s="228">
        <v>254</v>
      </c>
      <c r="CT43" s="228">
        <v>240</v>
      </c>
      <c r="CU43" s="228">
        <v>15</v>
      </c>
      <c r="CV43" s="229">
        <v>6.13E-2</v>
      </c>
      <c r="CW43" s="230">
        <v>2941</v>
      </c>
      <c r="CX43" s="230">
        <v>2919</v>
      </c>
      <c r="CY43" s="228">
        <v>22</v>
      </c>
      <c r="CZ43" s="229">
        <v>7.4000000000000003E-3</v>
      </c>
      <c r="DA43" s="228">
        <v>26.23</v>
      </c>
      <c r="DB43" s="228">
        <v>25.12</v>
      </c>
      <c r="DC43" s="228">
        <v>1.1100000000000001</v>
      </c>
      <c r="DD43" s="228">
        <v>1.1100000000000001</v>
      </c>
      <c r="DE43" s="228">
        <v>39.090000000000003</v>
      </c>
      <c r="DF43" s="228">
        <v>38.82</v>
      </c>
      <c r="DG43" s="228">
        <v>-12.86</v>
      </c>
      <c r="DH43" s="228">
        <v>0.27</v>
      </c>
      <c r="DI43" s="228">
        <v>26</v>
      </c>
      <c r="DJ43" s="228">
        <v>25.26</v>
      </c>
      <c r="DK43" s="228">
        <v>0.74</v>
      </c>
      <c r="DL43" s="228">
        <v>0.74</v>
      </c>
      <c r="DM43" s="228">
        <v>26.75</v>
      </c>
      <c r="DN43" s="228">
        <v>24.89</v>
      </c>
      <c r="DO43" s="228">
        <v>1.86</v>
      </c>
      <c r="DP43" s="228">
        <v>1.86</v>
      </c>
      <c r="DQ43" s="228">
        <v>0.81</v>
      </c>
      <c r="DR43" s="228">
        <v>0.8</v>
      </c>
      <c r="DS43" s="228">
        <v>0.01</v>
      </c>
      <c r="DT43" s="229">
        <v>1.2500000000000001E-2</v>
      </c>
      <c r="DU43" s="231">
        <v>1700</v>
      </c>
      <c r="DV43" s="231">
        <v>1500</v>
      </c>
      <c r="DW43" s="228">
        <v>0.42</v>
      </c>
      <c r="DX43" s="228">
        <v>0.59</v>
      </c>
      <c r="DY43" s="228">
        <v>-0.17</v>
      </c>
      <c r="DZ43" s="229">
        <v>-0.28810000000000002</v>
      </c>
      <c r="EA43" s="229">
        <v>1.34E-2</v>
      </c>
      <c r="EB43" s="230">
        <v>194375</v>
      </c>
      <c r="EC43" s="229">
        <v>-6.8999999999999999E-3</v>
      </c>
      <c r="ED43" s="229">
        <v>1.34E-2</v>
      </c>
      <c r="EE43" s="228">
        <v>-5.85</v>
      </c>
      <c r="EF43" s="229">
        <v>-3.7000000000000002E-3</v>
      </c>
      <c r="EG43" s="230">
        <v>1014744</v>
      </c>
      <c r="EH43" s="230">
        <v>938591</v>
      </c>
      <c r="EI43" s="229">
        <v>8.1100000000000005E-2</v>
      </c>
      <c r="EJ43" s="229">
        <v>0.53469999999999995</v>
      </c>
      <c r="EK43" s="231">
        <v>1324.25</v>
      </c>
      <c r="EL43" s="228">
        <v>526.26</v>
      </c>
      <c r="EM43" s="228">
        <v>544.35</v>
      </c>
      <c r="EN43" s="228">
        <v>77.45</v>
      </c>
      <c r="EO43" s="231">
        <v>2394.87</v>
      </c>
      <c r="EP43" s="231">
        <v>1518.35</v>
      </c>
      <c r="EQ43" s="228">
        <v>876.52</v>
      </c>
      <c r="ER43" s="229">
        <v>0.57730000000000004</v>
      </c>
      <c r="ES43" s="228">
        <v>318.72000000000003</v>
      </c>
      <c r="ET43" s="228">
        <v>238.71</v>
      </c>
      <c r="EU43" s="231">
        <v>2373.96</v>
      </c>
      <c r="EV43" s="231">
        <v>63212268</v>
      </c>
      <c r="EW43" s="231">
        <v>2931.39</v>
      </c>
      <c r="EX43" s="231">
        <v>2824.88</v>
      </c>
      <c r="EY43" s="228">
        <v>106.51</v>
      </c>
      <c r="EZ43" s="229">
        <v>3.7699999999999997E-2</v>
      </c>
      <c r="FA43" s="229">
        <v>0.28710000000000002</v>
      </c>
      <c r="FB43" s="227" t="s">
        <v>556</v>
      </c>
      <c r="FC43">
        <f t="shared" si="0"/>
        <v>32</v>
      </c>
    </row>
    <row r="44" spans="1:159" ht="17.25" thickBot="1" x14ac:dyDescent="0.3">
      <c r="A44" s="226">
        <v>45936</v>
      </c>
      <c r="B44" s="227" t="s">
        <v>170</v>
      </c>
      <c r="C44" s="227" t="s">
        <v>199</v>
      </c>
      <c r="D44" s="228">
        <v>375</v>
      </c>
      <c r="E44" s="228">
        <v>22</v>
      </c>
      <c r="F44" s="231">
        <v>1522.1</v>
      </c>
      <c r="G44" s="231">
        <v>1523.7</v>
      </c>
      <c r="H44" s="228">
        <v>-1.6</v>
      </c>
      <c r="I44" s="229">
        <v>-1.1000000000000001E-3</v>
      </c>
      <c r="J44" s="231">
        <v>1513.1</v>
      </c>
      <c r="K44" s="231">
        <v>1517.7</v>
      </c>
      <c r="L44" s="228">
        <v>-4.5999999999999996</v>
      </c>
      <c r="M44" s="229">
        <v>-3.0000000000000001E-3</v>
      </c>
      <c r="N44" s="231">
        <v>1522.1</v>
      </c>
      <c r="O44" s="231">
        <v>1523.7</v>
      </c>
      <c r="P44" s="228">
        <v>-1.6</v>
      </c>
      <c r="Q44" s="229">
        <v>-1.1000000000000001E-3</v>
      </c>
      <c r="R44" s="231">
        <v>1530.3</v>
      </c>
      <c r="S44" s="231">
        <v>1532.1</v>
      </c>
      <c r="T44" s="228">
        <v>-1.8</v>
      </c>
      <c r="U44" s="229">
        <v>-1.1999999999999999E-3</v>
      </c>
      <c r="V44" s="231">
        <v>1521.2</v>
      </c>
      <c r="W44" s="231">
        <v>1538.5</v>
      </c>
      <c r="X44" s="228">
        <v>-17.3</v>
      </c>
      <c r="Y44" s="229">
        <v>-1.12E-2</v>
      </c>
      <c r="Z44" s="228">
        <v>9</v>
      </c>
      <c r="AA44" s="228">
        <v>6</v>
      </c>
      <c r="AB44" s="228">
        <v>3</v>
      </c>
      <c r="AC44" s="229">
        <v>5.8999999999999999E-3</v>
      </c>
      <c r="AD44" s="228">
        <v>9</v>
      </c>
      <c r="AE44" s="228">
        <v>6</v>
      </c>
      <c r="AF44" s="228">
        <v>3</v>
      </c>
      <c r="AG44" s="229">
        <v>5.8999999999999999E-3</v>
      </c>
      <c r="AH44" s="228">
        <v>17.2</v>
      </c>
      <c r="AI44" s="228">
        <v>14.4</v>
      </c>
      <c r="AJ44" s="228">
        <v>2.8</v>
      </c>
      <c r="AK44" s="229">
        <v>1.14E-2</v>
      </c>
      <c r="AL44" s="228">
        <v>8.1</v>
      </c>
      <c r="AM44" s="228">
        <v>20.8</v>
      </c>
      <c r="AN44" s="228">
        <v>-12.7</v>
      </c>
      <c r="AO44" s="229">
        <v>5.4000000000000003E-3</v>
      </c>
      <c r="AP44" s="231">
        <v>1517.72</v>
      </c>
      <c r="AQ44" s="231">
        <v>1526.76</v>
      </c>
      <c r="AR44" s="228">
        <v>0</v>
      </c>
      <c r="AS44" s="228">
        <v>128</v>
      </c>
      <c r="AT44" s="228">
        <v>127</v>
      </c>
      <c r="AU44" s="228">
        <v>1</v>
      </c>
      <c r="AV44" s="229">
        <v>9.9000000000000008E-3</v>
      </c>
      <c r="AW44" s="228">
        <v>122</v>
      </c>
      <c r="AX44" s="228">
        <v>123</v>
      </c>
      <c r="AY44" s="228">
        <v>-1</v>
      </c>
      <c r="AZ44" s="229">
        <v>-7.0000000000000001E-3</v>
      </c>
      <c r="BA44" s="228">
        <v>6</v>
      </c>
      <c r="BB44" s="228">
        <v>4</v>
      </c>
      <c r="BC44" s="228">
        <v>2</v>
      </c>
      <c r="BD44" s="229">
        <v>0.66669999999999996</v>
      </c>
      <c r="BE44" s="228">
        <v>0</v>
      </c>
      <c r="BF44" s="228">
        <v>0</v>
      </c>
      <c r="BG44" s="228">
        <v>0</v>
      </c>
      <c r="BH44" s="229">
        <v>-0.71430000000000005</v>
      </c>
      <c r="BI44" s="228">
        <v>387</v>
      </c>
      <c r="BJ44" s="228">
        <v>356</v>
      </c>
      <c r="BK44" s="228">
        <v>31</v>
      </c>
      <c r="BL44" s="229">
        <v>8.6800000000000002E-2</v>
      </c>
      <c r="BM44" s="228">
        <v>237</v>
      </c>
      <c r="BN44" s="228">
        <v>215</v>
      </c>
      <c r="BO44" s="228">
        <v>22</v>
      </c>
      <c r="BP44" s="229">
        <v>0.1032</v>
      </c>
      <c r="BQ44" s="228">
        <v>753</v>
      </c>
      <c r="BR44" s="228">
        <v>698</v>
      </c>
      <c r="BS44" s="228">
        <v>54</v>
      </c>
      <c r="BT44" s="229">
        <v>7.7899999999999997E-2</v>
      </c>
      <c r="BU44" s="230">
        <v>784944</v>
      </c>
      <c r="BV44" s="230">
        <v>1187627</v>
      </c>
      <c r="BW44" s="230">
        <v>-402683</v>
      </c>
      <c r="BX44" s="229">
        <v>-0.33910000000000001</v>
      </c>
      <c r="BY44" s="230">
        <v>1631</v>
      </c>
      <c r="BZ44" s="230">
        <v>1640</v>
      </c>
      <c r="CA44" s="228">
        <v>-9</v>
      </c>
      <c r="CB44" s="229">
        <v>-5.5999999999999999E-3</v>
      </c>
      <c r="CC44" s="230">
        <v>1619</v>
      </c>
      <c r="CD44" s="230">
        <v>1630</v>
      </c>
      <c r="CE44" s="228">
        <v>-11</v>
      </c>
      <c r="CF44" s="229">
        <v>-7.0000000000000001E-3</v>
      </c>
      <c r="CG44" s="228">
        <v>12</v>
      </c>
      <c r="CH44" s="228">
        <v>10</v>
      </c>
      <c r="CI44" s="228">
        <v>2</v>
      </c>
      <c r="CJ44" s="229">
        <v>0.22670000000000001</v>
      </c>
      <c r="CK44" s="228">
        <v>0</v>
      </c>
      <c r="CL44" s="228">
        <v>0</v>
      </c>
      <c r="CM44" s="228">
        <v>0</v>
      </c>
      <c r="CN44" s="229">
        <v>0.16669999999999999</v>
      </c>
      <c r="CO44" s="228">
        <v>408</v>
      </c>
      <c r="CP44" s="228">
        <v>323</v>
      </c>
      <c r="CQ44" s="228">
        <v>84</v>
      </c>
      <c r="CR44" s="229">
        <v>0.26119999999999999</v>
      </c>
      <c r="CS44" s="228">
        <v>304</v>
      </c>
      <c r="CT44" s="228">
        <v>293</v>
      </c>
      <c r="CU44" s="228">
        <v>11</v>
      </c>
      <c r="CV44" s="229">
        <v>3.6200000000000003E-2</v>
      </c>
      <c r="CW44" s="230">
        <v>2343</v>
      </c>
      <c r="CX44" s="230">
        <v>2257</v>
      </c>
      <c r="CY44" s="228">
        <v>86</v>
      </c>
      <c r="CZ44" s="229">
        <v>3.8100000000000002E-2</v>
      </c>
      <c r="DA44" s="228">
        <v>18.420000000000002</v>
      </c>
      <c r="DB44" s="228">
        <v>18.510000000000002</v>
      </c>
      <c r="DC44" s="228">
        <v>-0.09</v>
      </c>
      <c r="DD44" s="228">
        <v>-0.09</v>
      </c>
      <c r="DE44" s="228">
        <v>26.3</v>
      </c>
      <c r="DF44" s="228">
        <v>26.36</v>
      </c>
      <c r="DG44" s="228">
        <v>-7.88</v>
      </c>
      <c r="DH44" s="228">
        <v>-0.06</v>
      </c>
      <c r="DI44" s="228">
        <v>18.010000000000002</v>
      </c>
      <c r="DJ44" s="228">
        <v>17.78</v>
      </c>
      <c r="DK44" s="228">
        <v>0.23</v>
      </c>
      <c r="DL44" s="228">
        <v>0.23</v>
      </c>
      <c r="DM44" s="228">
        <v>19.09</v>
      </c>
      <c r="DN44" s="228">
        <v>19.71</v>
      </c>
      <c r="DO44" s="228">
        <v>-0.62</v>
      </c>
      <c r="DP44" s="228">
        <v>-0.62</v>
      </c>
      <c r="DQ44" s="228">
        <v>0.75</v>
      </c>
      <c r="DR44" s="228">
        <v>0.91</v>
      </c>
      <c r="DS44" s="228">
        <v>-0.16</v>
      </c>
      <c r="DT44" s="229">
        <v>-0.17580000000000001</v>
      </c>
      <c r="DU44" s="231">
        <v>1600</v>
      </c>
      <c r="DV44" s="231">
        <v>1500</v>
      </c>
      <c r="DW44" s="228">
        <v>0.61</v>
      </c>
      <c r="DX44" s="228">
        <v>0.6</v>
      </c>
      <c r="DY44" s="228">
        <v>0.01</v>
      </c>
      <c r="DZ44" s="229">
        <v>1.67E-2</v>
      </c>
      <c r="EA44" s="229">
        <v>7.6E-3</v>
      </c>
      <c r="EB44" s="230">
        <v>66750</v>
      </c>
      <c r="EC44" s="229">
        <v>5.4000000000000003E-3</v>
      </c>
      <c r="ED44" s="229">
        <v>7.6E-3</v>
      </c>
      <c r="EE44" s="228">
        <v>9.0399999999999991</v>
      </c>
      <c r="EF44" s="229">
        <v>6.0000000000000001E-3</v>
      </c>
      <c r="EG44" s="230">
        <v>456639</v>
      </c>
      <c r="EH44" s="230">
        <v>823545</v>
      </c>
      <c r="EI44" s="229">
        <v>-0.44550000000000001</v>
      </c>
      <c r="EJ44" s="229">
        <v>0.58169999999999999</v>
      </c>
      <c r="EK44" s="228">
        <v>401.44</v>
      </c>
      <c r="EL44" s="228">
        <v>233.73</v>
      </c>
      <c r="EM44" s="228">
        <v>127.98</v>
      </c>
      <c r="EN44" s="228">
        <v>84.67</v>
      </c>
      <c r="EO44" s="228">
        <v>763.15</v>
      </c>
      <c r="EP44" s="228">
        <v>705.52</v>
      </c>
      <c r="EQ44" s="228">
        <v>57.63</v>
      </c>
      <c r="ER44" s="229">
        <v>8.1699999999999995E-2</v>
      </c>
      <c r="ES44" s="228">
        <v>428.98</v>
      </c>
      <c r="ET44" s="228">
        <v>289.86</v>
      </c>
      <c r="EU44" s="231">
        <v>1631.26</v>
      </c>
      <c r="EV44" s="231">
        <v>57073940</v>
      </c>
      <c r="EW44" s="231">
        <v>2350.1</v>
      </c>
      <c r="EX44" s="231">
        <v>2261.67</v>
      </c>
      <c r="EY44" s="228">
        <v>88.43</v>
      </c>
      <c r="EZ44" s="229">
        <v>3.9100000000000003E-2</v>
      </c>
      <c r="FA44" s="229">
        <v>0.2697</v>
      </c>
      <c r="FB44" s="227" t="s">
        <v>568</v>
      </c>
      <c r="FC44">
        <f t="shared" si="0"/>
        <v>12</v>
      </c>
    </row>
    <row r="45" spans="1:159" ht="17.25" thickBot="1" x14ac:dyDescent="0.3">
      <c r="A45" s="226">
        <v>45936</v>
      </c>
      <c r="B45" s="227" t="s">
        <v>227</v>
      </c>
      <c r="C45" s="227" t="s">
        <v>200</v>
      </c>
      <c r="D45" s="228">
        <v>1350</v>
      </c>
      <c r="E45" s="228">
        <v>22</v>
      </c>
      <c r="F45" s="228">
        <v>384.2</v>
      </c>
      <c r="G45" s="228">
        <v>384.9</v>
      </c>
      <c r="H45" s="228">
        <v>-0.7</v>
      </c>
      <c r="I45" s="229">
        <v>-1.8E-3</v>
      </c>
      <c r="J45" s="228">
        <v>381.9</v>
      </c>
      <c r="K45" s="228">
        <v>383.35</v>
      </c>
      <c r="L45" s="228">
        <v>-1.45</v>
      </c>
      <c r="M45" s="229">
        <v>-3.8E-3</v>
      </c>
      <c r="N45" s="228">
        <v>384.2</v>
      </c>
      <c r="O45" s="228">
        <v>384.9</v>
      </c>
      <c r="P45" s="228">
        <v>-0.7</v>
      </c>
      <c r="Q45" s="229">
        <v>-1.8E-3</v>
      </c>
      <c r="R45" s="228">
        <v>385.05</v>
      </c>
      <c r="S45" s="228">
        <v>385.6</v>
      </c>
      <c r="T45" s="228">
        <v>-0.55000000000000004</v>
      </c>
      <c r="U45" s="229">
        <v>-1.4E-3</v>
      </c>
      <c r="V45" s="228">
        <v>387.3</v>
      </c>
      <c r="W45" s="228">
        <v>388.05</v>
      </c>
      <c r="X45" s="228">
        <v>-0.75</v>
      </c>
      <c r="Y45" s="229">
        <v>-1.9E-3</v>
      </c>
      <c r="Z45" s="228">
        <v>2.2999999999999998</v>
      </c>
      <c r="AA45" s="228">
        <v>1.55</v>
      </c>
      <c r="AB45" s="228">
        <v>0.75</v>
      </c>
      <c r="AC45" s="229">
        <v>6.0000000000000001E-3</v>
      </c>
      <c r="AD45" s="228">
        <v>2.2999999999999998</v>
      </c>
      <c r="AE45" s="228">
        <v>1.55</v>
      </c>
      <c r="AF45" s="228">
        <v>0.75</v>
      </c>
      <c r="AG45" s="229">
        <v>6.0000000000000001E-3</v>
      </c>
      <c r="AH45" s="228">
        <v>3.15</v>
      </c>
      <c r="AI45" s="228">
        <v>2.25</v>
      </c>
      <c r="AJ45" s="228">
        <v>0.9</v>
      </c>
      <c r="AK45" s="229">
        <v>8.2000000000000007E-3</v>
      </c>
      <c r="AL45" s="228">
        <v>5.4</v>
      </c>
      <c r="AM45" s="228">
        <v>4.7</v>
      </c>
      <c r="AN45" s="228">
        <v>0.7</v>
      </c>
      <c r="AO45" s="229">
        <v>1.41E-2</v>
      </c>
      <c r="AP45" s="228">
        <v>383.49</v>
      </c>
      <c r="AQ45" s="228">
        <v>383.97</v>
      </c>
      <c r="AR45" s="228">
        <v>0</v>
      </c>
      <c r="AS45" s="228">
        <v>291</v>
      </c>
      <c r="AT45" s="228">
        <v>377</v>
      </c>
      <c r="AU45" s="228">
        <v>-87</v>
      </c>
      <c r="AV45" s="229">
        <v>-0.23039999999999999</v>
      </c>
      <c r="AW45" s="228">
        <v>269</v>
      </c>
      <c r="AX45" s="228">
        <v>336</v>
      </c>
      <c r="AY45" s="228">
        <v>-67</v>
      </c>
      <c r="AZ45" s="229">
        <v>-0.19889999999999999</v>
      </c>
      <c r="BA45" s="228">
        <v>17</v>
      </c>
      <c r="BB45" s="228">
        <v>35</v>
      </c>
      <c r="BC45" s="228">
        <v>-18</v>
      </c>
      <c r="BD45" s="229">
        <v>-0.51470000000000005</v>
      </c>
      <c r="BE45" s="228">
        <v>5</v>
      </c>
      <c r="BF45" s="228">
        <v>7</v>
      </c>
      <c r="BG45" s="228">
        <v>-2</v>
      </c>
      <c r="BH45" s="229">
        <v>-0.315</v>
      </c>
      <c r="BI45" s="228">
        <v>752</v>
      </c>
      <c r="BJ45" s="230">
        <v>1317</v>
      </c>
      <c r="BK45" s="228">
        <v>-565</v>
      </c>
      <c r="BL45" s="229">
        <v>-0.42870000000000003</v>
      </c>
      <c r="BM45" s="228">
        <v>289</v>
      </c>
      <c r="BN45" s="228">
        <v>638</v>
      </c>
      <c r="BO45" s="228">
        <v>-348</v>
      </c>
      <c r="BP45" s="229">
        <v>-0.54630000000000001</v>
      </c>
      <c r="BQ45" s="230">
        <v>1332</v>
      </c>
      <c r="BR45" s="230">
        <v>2333</v>
      </c>
      <c r="BS45" s="230">
        <v>-1000</v>
      </c>
      <c r="BT45" s="229">
        <v>-0.42880000000000001</v>
      </c>
      <c r="BU45" s="230">
        <v>7587742</v>
      </c>
      <c r="BV45" s="230">
        <v>7918273</v>
      </c>
      <c r="BW45" s="230">
        <v>-330531</v>
      </c>
      <c r="BX45" s="229">
        <v>-4.1700000000000001E-2</v>
      </c>
      <c r="BY45" s="230">
        <v>2708</v>
      </c>
      <c r="BZ45" s="230">
        <v>2684</v>
      </c>
      <c r="CA45" s="228">
        <v>24</v>
      </c>
      <c r="CB45" s="229">
        <v>8.9999999999999993E-3</v>
      </c>
      <c r="CC45" s="230">
        <v>2640</v>
      </c>
      <c r="CD45" s="230">
        <v>2624</v>
      </c>
      <c r="CE45" s="228">
        <v>16</v>
      </c>
      <c r="CF45" s="229">
        <v>6.1999999999999998E-3</v>
      </c>
      <c r="CG45" s="228">
        <v>61</v>
      </c>
      <c r="CH45" s="228">
        <v>55</v>
      </c>
      <c r="CI45" s="228">
        <v>6</v>
      </c>
      <c r="CJ45" s="229">
        <v>0.1009</v>
      </c>
      <c r="CK45" s="228">
        <v>7</v>
      </c>
      <c r="CL45" s="228">
        <v>4</v>
      </c>
      <c r="CM45" s="228">
        <v>2</v>
      </c>
      <c r="CN45" s="229">
        <v>0.53569999999999995</v>
      </c>
      <c r="CO45" s="228">
        <v>938</v>
      </c>
      <c r="CP45" s="228">
        <v>821</v>
      </c>
      <c r="CQ45" s="228">
        <v>117</v>
      </c>
      <c r="CR45" s="229">
        <v>0.1431</v>
      </c>
      <c r="CS45" s="228">
        <v>673</v>
      </c>
      <c r="CT45" s="228">
        <v>637</v>
      </c>
      <c r="CU45" s="228">
        <v>36</v>
      </c>
      <c r="CV45" s="229">
        <v>5.6800000000000003E-2</v>
      </c>
      <c r="CW45" s="230">
        <v>4319</v>
      </c>
      <c r="CX45" s="230">
        <v>4142</v>
      </c>
      <c r="CY45" s="228">
        <v>178</v>
      </c>
      <c r="CZ45" s="229">
        <v>4.2999999999999997E-2</v>
      </c>
      <c r="DA45" s="228">
        <v>18.04</v>
      </c>
      <c r="DB45" s="228">
        <v>17.48</v>
      </c>
      <c r="DC45" s="228">
        <v>0.56000000000000005</v>
      </c>
      <c r="DD45" s="228">
        <v>0.56000000000000005</v>
      </c>
      <c r="DE45" s="228">
        <v>29.25</v>
      </c>
      <c r="DF45" s="228">
        <v>29.33</v>
      </c>
      <c r="DG45" s="228">
        <v>-11.21</v>
      </c>
      <c r="DH45" s="228">
        <v>-0.08</v>
      </c>
      <c r="DI45" s="228">
        <v>18.25</v>
      </c>
      <c r="DJ45" s="228">
        <v>17.72</v>
      </c>
      <c r="DK45" s="228">
        <v>0.53</v>
      </c>
      <c r="DL45" s="228">
        <v>0.53</v>
      </c>
      <c r="DM45" s="228">
        <v>17.489999999999998</v>
      </c>
      <c r="DN45" s="228">
        <v>16.989999999999998</v>
      </c>
      <c r="DO45" s="228">
        <v>0.5</v>
      </c>
      <c r="DP45" s="228">
        <v>0.5</v>
      </c>
      <c r="DQ45" s="228">
        <v>0.72</v>
      </c>
      <c r="DR45" s="228">
        <v>0.78</v>
      </c>
      <c r="DS45" s="228">
        <v>-0.06</v>
      </c>
      <c r="DT45" s="229">
        <v>-7.6899999999999996E-2</v>
      </c>
      <c r="DU45" s="228">
        <v>400</v>
      </c>
      <c r="DV45" s="228">
        <v>450</v>
      </c>
      <c r="DW45" s="228">
        <v>0.38</v>
      </c>
      <c r="DX45" s="228">
        <v>0.48</v>
      </c>
      <c r="DY45" s="228">
        <v>-0.1</v>
      </c>
      <c r="DZ45" s="229">
        <v>-0.20830000000000001</v>
      </c>
      <c r="EA45" s="229">
        <v>2.5000000000000001E-2</v>
      </c>
      <c r="EB45" s="230">
        <v>1557900</v>
      </c>
      <c r="EC45" s="229">
        <v>2.2000000000000001E-3</v>
      </c>
      <c r="ED45" s="229">
        <v>2.5000000000000001E-2</v>
      </c>
      <c r="EE45" s="228">
        <v>0.48</v>
      </c>
      <c r="EF45" s="229">
        <v>1.2999999999999999E-3</v>
      </c>
      <c r="EG45" s="230">
        <v>5021462</v>
      </c>
      <c r="EH45" s="230">
        <v>4406639</v>
      </c>
      <c r="EI45" s="229">
        <v>0.13950000000000001</v>
      </c>
      <c r="EJ45" s="229">
        <v>0.66180000000000005</v>
      </c>
      <c r="EK45" s="228">
        <v>781.92</v>
      </c>
      <c r="EL45" s="228">
        <v>289.11</v>
      </c>
      <c r="EM45" s="228">
        <v>290.02</v>
      </c>
      <c r="EN45" s="228">
        <v>142.13999999999999</v>
      </c>
      <c r="EO45" s="231">
        <v>1361.05</v>
      </c>
      <c r="EP45" s="231">
        <v>2390.69</v>
      </c>
      <c r="EQ45" s="231">
        <v>-1029.6400000000001</v>
      </c>
      <c r="ER45" s="229">
        <v>-0.43070000000000003</v>
      </c>
      <c r="ES45" s="228">
        <v>985.45</v>
      </c>
      <c r="ET45" s="228">
        <v>687.53</v>
      </c>
      <c r="EU45" s="231">
        <v>2708.37</v>
      </c>
      <c r="EV45" s="231">
        <v>227199238</v>
      </c>
      <c r="EW45" s="231">
        <v>4381.3599999999997</v>
      </c>
      <c r="EX45" s="231">
        <v>4205.08</v>
      </c>
      <c r="EY45" s="228">
        <v>176.28</v>
      </c>
      <c r="EZ45" s="229">
        <v>4.19E-2</v>
      </c>
      <c r="FA45" s="229">
        <v>0.49480000000000002</v>
      </c>
      <c r="FB45" s="227" t="s">
        <v>567</v>
      </c>
      <c r="FC45">
        <f t="shared" si="0"/>
        <v>68</v>
      </c>
    </row>
    <row r="46" spans="1:159" ht="17.25" thickBot="1" x14ac:dyDescent="0.3">
      <c r="A46" s="226">
        <v>45936</v>
      </c>
      <c r="B46" s="227" t="s">
        <v>221</v>
      </c>
      <c r="C46" s="227" t="s">
        <v>470</v>
      </c>
      <c r="D46" s="228">
        <v>375</v>
      </c>
      <c r="E46" s="228">
        <v>22</v>
      </c>
      <c r="F46" s="231">
        <v>1668.5</v>
      </c>
      <c r="G46" s="231">
        <v>1619</v>
      </c>
      <c r="H46" s="228">
        <v>49.5</v>
      </c>
      <c r="I46" s="229">
        <v>3.0599999999999999E-2</v>
      </c>
      <c r="J46" s="231">
        <v>1662.4</v>
      </c>
      <c r="K46" s="231">
        <v>1613.1</v>
      </c>
      <c r="L46" s="228">
        <v>49.3</v>
      </c>
      <c r="M46" s="229">
        <v>3.0599999999999999E-2</v>
      </c>
      <c r="N46" s="231">
        <v>1668.5</v>
      </c>
      <c r="O46" s="231">
        <v>1619</v>
      </c>
      <c r="P46" s="228">
        <v>49.5</v>
      </c>
      <c r="Q46" s="229">
        <v>3.0599999999999999E-2</v>
      </c>
      <c r="R46" s="231">
        <v>1669.4</v>
      </c>
      <c r="S46" s="231">
        <v>1620.7</v>
      </c>
      <c r="T46" s="228">
        <v>48.7</v>
      </c>
      <c r="U46" s="229">
        <v>0.03</v>
      </c>
      <c r="V46" s="231">
        <v>1674</v>
      </c>
      <c r="W46" s="231">
        <v>1626.2</v>
      </c>
      <c r="X46" s="228">
        <v>47.8</v>
      </c>
      <c r="Y46" s="229">
        <v>2.9399999999999999E-2</v>
      </c>
      <c r="Z46" s="228">
        <v>6.1</v>
      </c>
      <c r="AA46" s="228">
        <v>5.9</v>
      </c>
      <c r="AB46" s="228">
        <v>0.2</v>
      </c>
      <c r="AC46" s="229">
        <v>3.7000000000000002E-3</v>
      </c>
      <c r="AD46" s="228">
        <v>6.1</v>
      </c>
      <c r="AE46" s="228">
        <v>5.9</v>
      </c>
      <c r="AF46" s="228">
        <v>0.2</v>
      </c>
      <c r="AG46" s="229">
        <v>3.7000000000000002E-3</v>
      </c>
      <c r="AH46" s="228">
        <v>7</v>
      </c>
      <c r="AI46" s="228">
        <v>7.6</v>
      </c>
      <c r="AJ46" s="228">
        <v>-0.6</v>
      </c>
      <c r="AK46" s="229">
        <v>4.1999999999999997E-3</v>
      </c>
      <c r="AL46" s="228">
        <v>11.6</v>
      </c>
      <c r="AM46" s="228">
        <v>13.1</v>
      </c>
      <c r="AN46" s="228">
        <v>-1.5</v>
      </c>
      <c r="AO46" s="229">
        <v>7.0000000000000001E-3</v>
      </c>
      <c r="AP46" s="231">
        <v>1647.61</v>
      </c>
      <c r="AQ46" s="231">
        <v>1647.77</v>
      </c>
      <c r="AR46" s="228">
        <v>0</v>
      </c>
      <c r="AS46" s="228">
        <v>491</v>
      </c>
      <c r="AT46" s="228">
        <v>298</v>
      </c>
      <c r="AU46" s="228">
        <v>192</v>
      </c>
      <c r="AV46" s="229">
        <v>0.64359999999999995</v>
      </c>
      <c r="AW46" s="228">
        <v>474</v>
      </c>
      <c r="AX46" s="228">
        <v>290</v>
      </c>
      <c r="AY46" s="228">
        <v>183</v>
      </c>
      <c r="AZ46" s="229">
        <v>0.63229999999999997</v>
      </c>
      <c r="BA46" s="228">
        <v>15</v>
      </c>
      <c r="BB46" s="228">
        <v>8</v>
      </c>
      <c r="BC46" s="228">
        <v>8</v>
      </c>
      <c r="BD46" s="229">
        <v>1</v>
      </c>
      <c r="BE46" s="228">
        <v>2</v>
      </c>
      <c r="BF46" s="228">
        <v>1</v>
      </c>
      <c r="BG46" s="228">
        <v>1</v>
      </c>
      <c r="BH46" s="229">
        <v>1.3846000000000001</v>
      </c>
      <c r="BI46" s="230">
        <v>1457</v>
      </c>
      <c r="BJ46" s="228">
        <v>621</v>
      </c>
      <c r="BK46" s="228">
        <v>836</v>
      </c>
      <c r="BL46" s="229">
        <v>1.3453999999999999</v>
      </c>
      <c r="BM46" s="228">
        <v>590</v>
      </c>
      <c r="BN46" s="228">
        <v>277</v>
      </c>
      <c r="BO46" s="228">
        <v>313</v>
      </c>
      <c r="BP46" s="229">
        <v>1.1296999999999999</v>
      </c>
      <c r="BQ46" s="230">
        <v>2537</v>
      </c>
      <c r="BR46" s="230">
        <v>1197</v>
      </c>
      <c r="BS46" s="230">
        <v>1341</v>
      </c>
      <c r="BT46" s="229">
        <v>1.1204000000000001</v>
      </c>
      <c r="BU46" s="230">
        <v>1484232</v>
      </c>
      <c r="BV46" s="230">
        <v>1467561</v>
      </c>
      <c r="BW46" s="230">
        <v>16671</v>
      </c>
      <c r="BX46" s="229">
        <v>1.14E-2</v>
      </c>
      <c r="BY46" s="230">
        <v>2194</v>
      </c>
      <c r="BZ46" s="230">
        <v>2235</v>
      </c>
      <c r="CA46" s="228">
        <v>-41</v>
      </c>
      <c r="CB46" s="229">
        <v>-1.8499999999999999E-2</v>
      </c>
      <c r="CC46" s="230">
        <v>2151</v>
      </c>
      <c r="CD46" s="230">
        <v>2191</v>
      </c>
      <c r="CE46" s="228">
        <v>-40</v>
      </c>
      <c r="CF46" s="229">
        <v>-1.84E-2</v>
      </c>
      <c r="CG46" s="228">
        <v>42</v>
      </c>
      <c r="CH46" s="228">
        <v>42</v>
      </c>
      <c r="CI46" s="228">
        <v>-1</v>
      </c>
      <c r="CJ46" s="229">
        <v>-1.3299999999999999E-2</v>
      </c>
      <c r="CK46" s="228">
        <v>1</v>
      </c>
      <c r="CL46" s="228">
        <v>2</v>
      </c>
      <c r="CM46" s="228">
        <v>0</v>
      </c>
      <c r="CN46" s="229">
        <v>-0.2</v>
      </c>
      <c r="CO46" s="228">
        <v>684</v>
      </c>
      <c r="CP46" s="228">
        <v>658</v>
      </c>
      <c r="CQ46" s="228">
        <v>26</v>
      </c>
      <c r="CR46" s="229">
        <v>3.9899999999999998E-2</v>
      </c>
      <c r="CS46" s="228">
        <v>405</v>
      </c>
      <c r="CT46" s="228">
        <v>394</v>
      </c>
      <c r="CU46" s="228">
        <v>11</v>
      </c>
      <c r="CV46" s="229">
        <v>2.81E-2</v>
      </c>
      <c r="CW46" s="230">
        <v>3283</v>
      </c>
      <c r="CX46" s="230">
        <v>3287</v>
      </c>
      <c r="CY46" s="228">
        <v>-4</v>
      </c>
      <c r="CZ46" s="229">
        <v>-1.1999999999999999E-3</v>
      </c>
      <c r="DA46" s="228">
        <v>38.049999999999997</v>
      </c>
      <c r="DB46" s="228">
        <v>36.58</v>
      </c>
      <c r="DC46" s="228">
        <v>1.47</v>
      </c>
      <c r="DD46" s="228">
        <v>1.47</v>
      </c>
      <c r="DE46" s="228">
        <v>43.5</v>
      </c>
      <c r="DF46" s="228">
        <v>43.42</v>
      </c>
      <c r="DG46" s="228">
        <v>-5.45</v>
      </c>
      <c r="DH46" s="228">
        <v>0.08</v>
      </c>
      <c r="DI46" s="228">
        <v>37.83</v>
      </c>
      <c r="DJ46" s="228">
        <v>36.450000000000003</v>
      </c>
      <c r="DK46" s="228">
        <v>1.38</v>
      </c>
      <c r="DL46" s="228">
        <v>1.38</v>
      </c>
      <c r="DM46" s="228">
        <v>38.61</v>
      </c>
      <c r="DN46" s="228">
        <v>36.85</v>
      </c>
      <c r="DO46" s="228">
        <v>1.76</v>
      </c>
      <c r="DP46" s="228">
        <v>1.76</v>
      </c>
      <c r="DQ46" s="228">
        <v>0.59</v>
      </c>
      <c r="DR46" s="228">
        <v>0.6</v>
      </c>
      <c r="DS46" s="228">
        <v>-0.01</v>
      </c>
      <c r="DT46" s="229">
        <v>-1.67E-2</v>
      </c>
      <c r="DU46" s="231">
        <v>1700</v>
      </c>
      <c r="DV46" s="231">
        <v>1600</v>
      </c>
      <c r="DW46" s="228">
        <v>0.4</v>
      </c>
      <c r="DX46" s="228">
        <v>0.45</v>
      </c>
      <c r="DY46" s="228">
        <v>-0.05</v>
      </c>
      <c r="DZ46" s="229">
        <v>-0.1111</v>
      </c>
      <c r="EA46" s="229">
        <v>1.9599999999999999E-2</v>
      </c>
      <c r="EB46" s="230">
        <v>262500</v>
      </c>
      <c r="EC46" s="229">
        <v>5.0000000000000001E-4</v>
      </c>
      <c r="ED46" s="229">
        <v>1.9599999999999999E-2</v>
      </c>
      <c r="EE46" s="228">
        <v>0.16</v>
      </c>
      <c r="EF46" s="229">
        <v>1E-4</v>
      </c>
      <c r="EG46" s="230">
        <v>687046</v>
      </c>
      <c r="EH46" s="230">
        <v>890679</v>
      </c>
      <c r="EI46" s="229">
        <v>-0.2286</v>
      </c>
      <c r="EJ46" s="229">
        <v>0.46289999999999998</v>
      </c>
      <c r="EK46" s="231">
        <v>1521.33</v>
      </c>
      <c r="EL46" s="228">
        <v>566.83000000000004</v>
      </c>
      <c r="EM46" s="228">
        <v>484.41</v>
      </c>
      <c r="EN46" s="228">
        <v>146.4</v>
      </c>
      <c r="EO46" s="231">
        <v>2572.56</v>
      </c>
      <c r="EP46" s="231">
        <v>1193.8399999999999</v>
      </c>
      <c r="EQ46" s="231">
        <v>1378.72</v>
      </c>
      <c r="ER46" s="229">
        <v>1.1549</v>
      </c>
      <c r="ES46" s="228">
        <v>714.14</v>
      </c>
      <c r="ET46" s="228">
        <v>378.43</v>
      </c>
      <c r="EU46" s="231">
        <v>2193.94</v>
      </c>
      <c r="EV46" s="231">
        <v>50163899</v>
      </c>
      <c r="EW46" s="231">
        <v>3286.5</v>
      </c>
      <c r="EX46" s="231">
        <v>3219.08</v>
      </c>
      <c r="EY46" s="228">
        <v>67.42</v>
      </c>
      <c r="EZ46" s="229">
        <v>2.0899999999999998E-2</v>
      </c>
      <c r="FA46" s="229">
        <v>0.39219999999999999</v>
      </c>
      <c r="FB46" s="227" t="s">
        <v>556</v>
      </c>
      <c r="FC46">
        <f t="shared" si="0"/>
        <v>43</v>
      </c>
    </row>
    <row r="47" spans="1:159" ht="17.25" thickBot="1" x14ac:dyDescent="0.3">
      <c r="A47" s="226">
        <v>45936</v>
      </c>
      <c r="B47" s="227" t="s">
        <v>168</v>
      </c>
      <c r="C47" s="227" t="s">
        <v>201</v>
      </c>
      <c r="D47" s="228">
        <v>225</v>
      </c>
      <c r="E47" s="228">
        <v>22</v>
      </c>
      <c r="F47" s="231">
        <v>2243.6</v>
      </c>
      <c r="G47" s="231">
        <v>2226.4</v>
      </c>
      <c r="H47" s="228">
        <v>17.2</v>
      </c>
      <c r="I47" s="229">
        <v>7.7000000000000002E-3</v>
      </c>
      <c r="J47" s="231">
        <v>2228.8000000000002</v>
      </c>
      <c r="K47" s="231">
        <v>2213.9</v>
      </c>
      <c r="L47" s="228">
        <v>14.9</v>
      </c>
      <c r="M47" s="229">
        <v>6.7000000000000002E-3</v>
      </c>
      <c r="N47" s="231">
        <v>2243.6</v>
      </c>
      <c r="O47" s="231">
        <v>2226.4</v>
      </c>
      <c r="P47" s="228">
        <v>17.2</v>
      </c>
      <c r="Q47" s="229">
        <v>7.7000000000000002E-3</v>
      </c>
      <c r="R47" s="231">
        <v>2233.3000000000002</v>
      </c>
      <c r="S47" s="231">
        <v>2216.5</v>
      </c>
      <c r="T47" s="228">
        <v>16.8</v>
      </c>
      <c r="U47" s="229">
        <v>7.6E-3</v>
      </c>
      <c r="V47" s="231">
        <v>2244.6999999999998</v>
      </c>
      <c r="W47" s="231">
        <v>2224.6</v>
      </c>
      <c r="X47" s="228">
        <v>20.100000000000001</v>
      </c>
      <c r="Y47" s="229">
        <v>8.9999999999999993E-3</v>
      </c>
      <c r="Z47" s="228">
        <v>14.8</v>
      </c>
      <c r="AA47" s="228">
        <v>12.5</v>
      </c>
      <c r="AB47" s="228">
        <v>2.2999999999999998</v>
      </c>
      <c r="AC47" s="229">
        <v>6.6E-3</v>
      </c>
      <c r="AD47" s="228">
        <v>14.8</v>
      </c>
      <c r="AE47" s="228">
        <v>12.5</v>
      </c>
      <c r="AF47" s="228">
        <v>2.2999999999999998</v>
      </c>
      <c r="AG47" s="229">
        <v>6.6E-3</v>
      </c>
      <c r="AH47" s="228">
        <v>4.5</v>
      </c>
      <c r="AI47" s="228">
        <v>2.6</v>
      </c>
      <c r="AJ47" s="228">
        <v>1.9</v>
      </c>
      <c r="AK47" s="229">
        <v>2E-3</v>
      </c>
      <c r="AL47" s="228">
        <v>15.9</v>
      </c>
      <c r="AM47" s="228">
        <v>10.7</v>
      </c>
      <c r="AN47" s="228">
        <v>5.2</v>
      </c>
      <c r="AO47" s="229">
        <v>7.1000000000000004E-3</v>
      </c>
      <c r="AP47" s="231">
        <v>2237.17</v>
      </c>
      <c r="AQ47" s="231">
        <v>2224.9699999999998</v>
      </c>
      <c r="AR47" s="228">
        <v>0</v>
      </c>
      <c r="AS47" s="228">
        <v>162</v>
      </c>
      <c r="AT47" s="228">
        <v>203</v>
      </c>
      <c r="AU47" s="228">
        <v>-41</v>
      </c>
      <c r="AV47" s="229">
        <v>-0.20119999999999999</v>
      </c>
      <c r="AW47" s="228">
        <v>147</v>
      </c>
      <c r="AX47" s="228">
        <v>164</v>
      </c>
      <c r="AY47" s="228">
        <v>-17</v>
      </c>
      <c r="AZ47" s="229">
        <v>-0.1016</v>
      </c>
      <c r="BA47" s="228">
        <v>13</v>
      </c>
      <c r="BB47" s="228">
        <v>34</v>
      </c>
      <c r="BC47" s="228">
        <v>-21</v>
      </c>
      <c r="BD47" s="229">
        <v>-0.60950000000000004</v>
      </c>
      <c r="BE47" s="228">
        <v>1</v>
      </c>
      <c r="BF47" s="228">
        <v>5</v>
      </c>
      <c r="BG47" s="228">
        <v>-3</v>
      </c>
      <c r="BH47" s="229">
        <v>-0.71879999999999999</v>
      </c>
      <c r="BI47" s="228">
        <v>320</v>
      </c>
      <c r="BJ47" s="228">
        <v>313</v>
      </c>
      <c r="BK47" s="228">
        <v>7</v>
      </c>
      <c r="BL47" s="229">
        <v>2.3099999999999999E-2</v>
      </c>
      <c r="BM47" s="228">
        <v>64</v>
      </c>
      <c r="BN47" s="228">
        <v>111</v>
      </c>
      <c r="BO47" s="228">
        <v>-47</v>
      </c>
      <c r="BP47" s="229">
        <v>-0.42399999999999999</v>
      </c>
      <c r="BQ47" s="228">
        <v>546</v>
      </c>
      <c r="BR47" s="228">
        <v>627</v>
      </c>
      <c r="BS47" s="228">
        <v>-81</v>
      </c>
      <c r="BT47" s="229">
        <v>-0.12889999999999999</v>
      </c>
      <c r="BU47" s="230">
        <v>452051</v>
      </c>
      <c r="BV47" s="230">
        <v>957020</v>
      </c>
      <c r="BW47" s="230">
        <v>-504969</v>
      </c>
      <c r="BX47" s="229">
        <v>-0.52759999999999996</v>
      </c>
      <c r="BY47" s="230">
        <v>1180</v>
      </c>
      <c r="BZ47" s="230">
        <v>1188</v>
      </c>
      <c r="CA47" s="228">
        <v>-8</v>
      </c>
      <c r="CB47" s="229">
        <v>-6.4999999999999997E-3</v>
      </c>
      <c r="CC47" s="230">
        <v>1083</v>
      </c>
      <c r="CD47" s="230">
        <v>1093</v>
      </c>
      <c r="CE47" s="228">
        <v>-10</v>
      </c>
      <c r="CF47" s="229">
        <v>-8.8000000000000005E-3</v>
      </c>
      <c r="CG47" s="228">
        <v>94</v>
      </c>
      <c r="CH47" s="228">
        <v>92</v>
      </c>
      <c r="CI47" s="228">
        <v>2</v>
      </c>
      <c r="CJ47" s="229">
        <v>1.7600000000000001E-2</v>
      </c>
      <c r="CK47" s="228">
        <v>3</v>
      </c>
      <c r="CL47" s="228">
        <v>3</v>
      </c>
      <c r="CM47" s="228">
        <v>0</v>
      </c>
      <c r="CN47" s="229">
        <v>0.1207</v>
      </c>
      <c r="CO47" s="228">
        <v>329</v>
      </c>
      <c r="CP47" s="228">
        <v>325</v>
      </c>
      <c r="CQ47" s="228">
        <v>4</v>
      </c>
      <c r="CR47" s="229">
        <v>1.38E-2</v>
      </c>
      <c r="CS47" s="228">
        <v>261</v>
      </c>
      <c r="CT47" s="228">
        <v>255</v>
      </c>
      <c r="CU47" s="228">
        <v>6</v>
      </c>
      <c r="CV47" s="229">
        <v>2.4199999999999999E-2</v>
      </c>
      <c r="CW47" s="230">
        <v>1770</v>
      </c>
      <c r="CX47" s="230">
        <v>1767</v>
      </c>
      <c r="CY47" s="228">
        <v>3</v>
      </c>
      <c r="CZ47" s="229">
        <v>1.6999999999999999E-3</v>
      </c>
      <c r="DA47" s="228">
        <v>23.66</v>
      </c>
      <c r="DB47" s="228">
        <v>23.08</v>
      </c>
      <c r="DC47" s="228">
        <v>0.57999999999999996</v>
      </c>
      <c r="DD47" s="228">
        <v>0.57999999999999996</v>
      </c>
      <c r="DE47" s="228">
        <v>28.55</v>
      </c>
      <c r="DF47" s="228">
        <v>28.61</v>
      </c>
      <c r="DG47" s="228">
        <v>-4.8899999999999997</v>
      </c>
      <c r="DH47" s="228">
        <v>-0.06</v>
      </c>
      <c r="DI47" s="228">
        <v>23.64</v>
      </c>
      <c r="DJ47" s="228">
        <v>23.24</v>
      </c>
      <c r="DK47" s="228">
        <v>0.4</v>
      </c>
      <c r="DL47" s="228">
        <v>0.4</v>
      </c>
      <c r="DM47" s="228">
        <v>23.76</v>
      </c>
      <c r="DN47" s="228">
        <v>22.62</v>
      </c>
      <c r="DO47" s="228">
        <v>1.1399999999999999</v>
      </c>
      <c r="DP47" s="228">
        <v>1.1399999999999999</v>
      </c>
      <c r="DQ47" s="228">
        <v>0.79</v>
      </c>
      <c r="DR47" s="228">
        <v>0.78</v>
      </c>
      <c r="DS47" s="228">
        <v>0.01</v>
      </c>
      <c r="DT47" s="229">
        <v>1.2800000000000001E-2</v>
      </c>
      <c r="DU47" s="231">
        <v>2340</v>
      </c>
      <c r="DV47" s="231">
        <v>2300</v>
      </c>
      <c r="DW47" s="228">
        <v>0.2</v>
      </c>
      <c r="DX47" s="228">
        <v>0.36</v>
      </c>
      <c r="DY47" s="228">
        <v>-0.16</v>
      </c>
      <c r="DZ47" s="229">
        <v>-0.44440000000000002</v>
      </c>
      <c r="EA47" s="229">
        <v>8.2100000000000006E-2</v>
      </c>
      <c r="EB47" s="230">
        <v>423000</v>
      </c>
      <c r="EC47" s="229">
        <v>-4.5999999999999999E-3</v>
      </c>
      <c r="ED47" s="229">
        <v>8.2100000000000006E-2</v>
      </c>
      <c r="EE47" s="228">
        <v>-12.2</v>
      </c>
      <c r="EF47" s="229">
        <v>-5.4999999999999997E-3</v>
      </c>
      <c r="EG47" s="230">
        <v>258713</v>
      </c>
      <c r="EH47" s="230">
        <v>675681</v>
      </c>
      <c r="EI47" s="229">
        <v>-0.61709999999999998</v>
      </c>
      <c r="EJ47" s="229">
        <v>0.57230000000000003</v>
      </c>
      <c r="EK47" s="228">
        <v>332.66</v>
      </c>
      <c r="EL47" s="228">
        <v>63.77</v>
      </c>
      <c r="EM47" s="228">
        <v>161.36000000000001</v>
      </c>
      <c r="EN47" s="228">
        <v>78.400000000000006</v>
      </c>
      <c r="EO47" s="228">
        <v>557.78</v>
      </c>
      <c r="EP47" s="228">
        <v>634.88</v>
      </c>
      <c r="EQ47" s="228">
        <v>-77.09</v>
      </c>
      <c r="ER47" s="229">
        <v>-0.12139999999999999</v>
      </c>
      <c r="ES47" s="228">
        <v>344.05</v>
      </c>
      <c r="ET47" s="228">
        <v>260.39</v>
      </c>
      <c r="EU47" s="231">
        <v>1179.46</v>
      </c>
      <c r="EV47" s="231">
        <v>19990944</v>
      </c>
      <c r="EW47" s="231">
        <v>1783.9</v>
      </c>
      <c r="EX47" s="231">
        <v>1772.87</v>
      </c>
      <c r="EY47" s="228">
        <v>11.03</v>
      </c>
      <c r="EZ47" s="229">
        <v>6.1999999999999998E-3</v>
      </c>
      <c r="FA47" s="229">
        <v>0.3947</v>
      </c>
      <c r="FB47" s="227" t="s">
        <v>556</v>
      </c>
      <c r="FC47">
        <f t="shared" si="0"/>
        <v>97</v>
      </c>
    </row>
    <row r="48" spans="1:159" ht="17.25" thickBot="1" x14ac:dyDescent="0.3">
      <c r="A48" s="226">
        <v>45936</v>
      </c>
      <c r="B48" s="227" t="s">
        <v>215</v>
      </c>
      <c r="C48" s="227" t="s">
        <v>202</v>
      </c>
      <c r="D48" s="228">
        <v>1250</v>
      </c>
      <c r="E48" s="228">
        <v>22</v>
      </c>
      <c r="F48" s="228">
        <v>534</v>
      </c>
      <c r="G48" s="228">
        <v>535.6</v>
      </c>
      <c r="H48" s="228">
        <v>-1.6</v>
      </c>
      <c r="I48" s="229">
        <v>-3.0000000000000001E-3</v>
      </c>
      <c r="J48" s="228">
        <v>532.15</v>
      </c>
      <c r="K48" s="228">
        <v>533.5</v>
      </c>
      <c r="L48" s="228">
        <v>-1.35</v>
      </c>
      <c r="M48" s="229">
        <v>-2.5000000000000001E-3</v>
      </c>
      <c r="N48" s="228">
        <v>534</v>
      </c>
      <c r="O48" s="228">
        <v>535.6</v>
      </c>
      <c r="P48" s="228">
        <v>-1.6</v>
      </c>
      <c r="Q48" s="229">
        <v>-3.0000000000000001E-3</v>
      </c>
      <c r="R48" s="228">
        <v>534.95000000000005</v>
      </c>
      <c r="S48" s="228">
        <v>536.79999999999995</v>
      </c>
      <c r="T48" s="228">
        <v>-1.85</v>
      </c>
      <c r="U48" s="229">
        <v>-3.3999999999999998E-3</v>
      </c>
      <c r="V48" s="228">
        <v>538.25</v>
      </c>
      <c r="W48" s="228">
        <v>539.75</v>
      </c>
      <c r="X48" s="228">
        <v>-1.5</v>
      </c>
      <c r="Y48" s="229">
        <v>-2.8E-3</v>
      </c>
      <c r="Z48" s="228">
        <v>1.85</v>
      </c>
      <c r="AA48" s="228">
        <v>2.1</v>
      </c>
      <c r="AB48" s="228">
        <v>-0.25</v>
      </c>
      <c r="AC48" s="229">
        <v>3.5000000000000001E-3</v>
      </c>
      <c r="AD48" s="228">
        <v>1.85</v>
      </c>
      <c r="AE48" s="228">
        <v>2.1</v>
      </c>
      <c r="AF48" s="228">
        <v>-0.25</v>
      </c>
      <c r="AG48" s="229">
        <v>3.5000000000000001E-3</v>
      </c>
      <c r="AH48" s="228">
        <v>2.8</v>
      </c>
      <c r="AI48" s="228">
        <v>3.3</v>
      </c>
      <c r="AJ48" s="228">
        <v>-0.5</v>
      </c>
      <c r="AK48" s="229">
        <v>5.3E-3</v>
      </c>
      <c r="AL48" s="228">
        <v>6.1</v>
      </c>
      <c r="AM48" s="228">
        <v>6.25</v>
      </c>
      <c r="AN48" s="228">
        <v>-0.15</v>
      </c>
      <c r="AO48" s="229">
        <v>1.15E-2</v>
      </c>
      <c r="AP48" s="228">
        <v>532.89</v>
      </c>
      <c r="AQ48" s="228">
        <v>533.66</v>
      </c>
      <c r="AR48" s="228">
        <v>0</v>
      </c>
      <c r="AS48" s="228">
        <v>136</v>
      </c>
      <c r="AT48" s="228">
        <v>173</v>
      </c>
      <c r="AU48" s="228">
        <v>-37</v>
      </c>
      <c r="AV48" s="229">
        <v>-0.2147</v>
      </c>
      <c r="AW48" s="228">
        <v>121</v>
      </c>
      <c r="AX48" s="228">
        <v>157</v>
      </c>
      <c r="AY48" s="228">
        <v>-36</v>
      </c>
      <c r="AZ48" s="229">
        <v>-0.22770000000000001</v>
      </c>
      <c r="BA48" s="228">
        <v>14</v>
      </c>
      <c r="BB48" s="228">
        <v>15</v>
      </c>
      <c r="BC48" s="228">
        <v>-1</v>
      </c>
      <c r="BD48" s="229">
        <v>-7.9600000000000004E-2</v>
      </c>
      <c r="BE48" s="228">
        <v>1</v>
      </c>
      <c r="BF48" s="228">
        <v>1</v>
      </c>
      <c r="BG48" s="228">
        <v>0</v>
      </c>
      <c r="BH48" s="229">
        <v>-0.22220000000000001</v>
      </c>
      <c r="BI48" s="228">
        <v>254</v>
      </c>
      <c r="BJ48" s="228">
        <v>389</v>
      </c>
      <c r="BK48" s="228">
        <v>-136</v>
      </c>
      <c r="BL48" s="229">
        <v>-0.3488</v>
      </c>
      <c r="BM48" s="228">
        <v>93</v>
      </c>
      <c r="BN48" s="228">
        <v>140</v>
      </c>
      <c r="BO48" s="228">
        <v>-47</v>
      </c>
      <c r="BP48" s="229">
        <v>-0.33510000000000001</v>
      </c>
      <c r="BQ48" s="228">
        <v>483</v>
      </c>
      <c r="BR48" s="228">
        <v>702</v>
      </c>
      <c r="BS48" s="228">
        <v>-220</v>
      </c>
      <c r="BT48" s="229">
        <v>-0.313</v>
      </c>
      <c r="BU48" s="230">
        <v>642275</v>
      </c>
      <c r="BV48" s="230">
        <v>855782</v>
      </c>
      <c r="BW48" s="230">
        <v>-213507</v>
      </c>
      <c r="BX48" s="229">
        <v>-0.2495</v>
      </c>
      <c r="BY48" s="230">
        <v>1363</v>
      </c>
      <c r="BZ48" s="230">
        <v>1326</v>
      </c>
      <c r="CA48" s="228">
        <v>36</v>
      </c>
      <c r="CB48" s="229">
        <v>2.7300000000000001E-2</v>
      </c>
      <c r="CC48" s="230">
        <v>1270</v>
      </c>
      <c r="CD48" s="230">
        <v>1241</v>
      </c>
      <c r="CE48" s="228">
        <v>30</v>
      </c>
      <c r="CF48" s="229">
        <v>2.4E-2</v>
      </c>
      <c r="CG48" s="228">
        <v>90</v>
      </c>
      <c r="CH48" s="228">
        <v>84</v>
      </c>
      <c r="CI48" s="228">
        <v>6</v>
      </c>
      <c r="CJ48" s="229">
        <v>6.7599999999999993E-2</v>
      </c>
      <c r="CK48" s="228">
        <v>3</v>
      </c>
      <c r="CL48" s="228">
        <v>2</v>
      </c>
      <c r="CM48" s="228">
        <v>1</v>
      </c>
      <c r="CN48" s="229">
        <v>0.40739999999999998</v>
      </c>
      <c r="CO48" s="228">
        <v>412</v>
      </c>
      <c r="CP48" s="228">
        <v>379</v>
      </c>
      <c r="CQ48" s="228">
        <v>33</v>
      </c>
      <c r="CR48" s="229">
        <v>8.77E-2</v>
      </c>
      <c r="CS48" s="228">
        <v>328</v>
      </c>
      <c r="CT48" s="228">
        <v>314</v>
      </c>
      <c r="CU48" s="228">
        <v>15</v>
      </c>
      <c r="CV48" s="229">
        <v>4.7100000000000003E-2</v>
      </c>
      <c r="CW48" s="230">
        <v>2103</v>
      </c>
      <c r="CX48" s="230">
        <v>2019</v>
      </c>
      <c r="CY48" s="228">
        <v>84</v>
      </c>
      <c r="CZ48" s="229">
        <v>4.1700000000000001E-2</v>
      </c>
      <c r="DA48" s="228">
        <v>26.29</v>
      </c>
      <c r="DB48" s="228">
        <v>25.22</v>
      </c>
      <c r="DC48" s="228">
        <v>1.07</v>
      </c>
      <c r="DD48" s="228">
        <v>1.07</v>
      </c>
      <c r="DE48" s="228">
        <v>36.81</v>
      </c>
      <c r="DF48" s="228">
        <v>36.9</v>
      </c>
      <c r="DG48" s="228">
        <v>-10.52</v>
      </c>
      <c r="DH48" s="228">
        <v>-0.09</v>
      </c>
      <c r="DI48" s="228">
        <v>26.25</v>
      </c>
      <c r="DJ48" s="228">
        <v>25.08</v>
      </c>
      <c r="DK48" s="228">
        <v>1.17</v>
      </c>
      <c r="DL48" s="228">
        <v>1.17</v>
      </c>
      <c r="DM48" s="228">
        <v>26.37</v>
      </c>
      <c r="DN48" s="228">
        <v>25.59</v>
      </c>
      <c r="DO48" s="228">
        <v>0.78</v>
      </c>
      <c r="DP48" s="228">
        <v>0.78</v>
      </c>
      <c r="DQ48" s="228">
        <v>0.8</v>
      </c>
      <c r="DR48" s="228">
        <v>0.83</v>
      </c>
      <c r="DS48" s="228">
        <v>-0.03</v>
      </c>
      <c r="DT48" s="229">
        <v>-3.61E-2</v>
      </c>
      <c r="DU48" s="228">
        <v>550</v>
      </c>
      <c r="DV48" s="228">
        <v>530</v>
      </c>
      <c r="DW48" s="228">
        <v>0.37</v>
      </c>
      <c r="DX48" s="228">
        <v>0.36</v>
      </c>
      <c r="DY48" s="228">
        <v>0.01</v>
      </c>
      <c r="DZ48" s="229">
        <v>2.7799999999999998E-2</v>
      </c>
      <c r="EA48" s="229">
        <v>6.7699999999999996E-2</v>
      </c>
      <c r="EB48" s="230">
        <v>1606250</v>
      </c>
      <c r="EC48" s="229">
        <v>1.8E-3</v>
      </c>
      <c r="ED48" s="229">
        <v>6.7699999999999996E-2</v>
      </c>
      <c r="EE48" s="228">
        <v>0.77</v>
      </c>
      <c r="EF48" s="229">
        <v>1.4E-3</v>
      </c>
      <c r="EG48" s="230">
        <v>273275</v>
      </c>
      <c r="EH48" s="230">
        <v>400025</v>
      </c>
      <c r="EI48" s="229">
        <v>-0.31690000000000002</v>
      </c>
      <c r="EJ48" s="229">
        <v>0.42549999999999999</v>
      </c>
      <c r="EK48" s="228">
        <v>264.3</v>
      </c>
      <c r="EL48" s="228">
        <v>91.88</v>
      </c>
      <c r="EM48" s="228">
        <v>135.71</v>
      </c>
      <c r="EN48" s="228">
        <v>66.569999999999993</v>
      </c>
      <c r="EO48" s="228">
        <v>491.89</v>
      </c>
      <c r="EP48" s="228">
        <v>716.18</v>
      </c>
      <c r="EQ48" s="228">
        <v>-224.29</v>
      </c>
      <c r="ER48" s="229">
        <v>-0.31319999999999998</v>
      </c>
      <c r="ES48" s="228">
        <v>433.98</v>
      </c>
      <c r="ET48" s="228">
        <v>330.94</v>
      </c>
      <c r="EU48" s="231">
        <v>1362.75</v>
      </c>
      <c r="EV48" s="231">
        <v>48077012</v>
      </c>
      <c r="EW48" s="231">
        <v>2127.67</v>
      </c>
      <c r="EX48" s="231">
        <v>2047.17</v>
      </c>
      <c r="EY48" s="228">
        <v>80.5</v>
      </c>
      <c r="EZ48" s="229">
        <v>3.9300000000000002E-2</v>
      </c>
      <c r="FA48" s="229">
        <v>0.81920000000000004</v>
      </c>
      <c r="FB48" s="227" t="s">
        <v>567</v>
      </c>
      <c r="FC48">
        <f t="shared" si="0"/>
        <v>93</v>
      </c>
    </row>
    <row r="49" spans="1:159" ht="17.25" thickBot="1" x14ac:dyDescent="0.3">
      <c r="A49" s="226">
        <v>45936</v>
      </c>
      <c r="B49" s="227" t="s">
        <v>184</v>
      </c>
      <c r="C49" s="227" t="s">
        <v>523</v>
      </c>
      <c r="D49" s="228">
        <v>1800</v>
      </c>
      <c r="E49" s="228">
        <v>22</v>
      </c>
      <c r="F49" s="228">
        <v>290.8</v>
      </c>
      <c r="G49" s="228">
        <v>296.39999999999998</v>
      </c>
      <c r="H49" s="228">
        <v>-5.6</v>
      </c>
      <c r="I49" s="229">
        <v>-1.89E-2</v>
      </c>
      <c r="J49" s="228">
        <v>289.05</v>
      </c>
      <c r="K49" s="228">
        <v>295.2</v>
      </c>
      <c r="L49" s="228">
        <v>-6.15</v>
      </c>
      <c r="M49" s="229">
        <v>-2.0799999999999999E-2</v>
      </c>
      <c r="N49" s="228">
        <v>290.8</v>
      </c>
      <c r="O49" s="228">
        <v>296.39999999999998</v>
      </c>
      <c r="P49" s="228">
        <v>-5.6</v>
      </c>
      <c r="Q49" s="229">
        <v>-1.89E-2</v>
      </c>
      <c r="R49" s="228">
        <v>292.5</v>
      </c>
      <c r="S49" s="228">
        <v>297.89999999999998</v>
      </c>
      <c r="T49" s="228">
        <v>-5.4</v>
      </c>
      <c r="U49" s="229">
        <v>-1.8100000000000002E-2</v>
      </c>
      <c r="V49" s="228">
        <v>294.25</v>
      </c>
      <c r="W49" s="228">
        <v>299.95</v>
      </c>
      <c r="X49" s="228">
        <v>-5.7</v>
      </c>
      <c r="Y49" s="229">
        <v>-1.9E-2</v>
      </c>
      <c r="Z49" s="228">
        <v>1.75</v>
      </c>
      <c r="AA49" s="228">
        <v>1.2</v>
      </c>
      <c r="AB49" s="228">
        <v>0.55000000000000004</v>
      </c>
      <c r="AC49" s="229">
        <v>6.1000000000000004E-3</v>
      </c>
      <c r="AD49" s="228">
        <v>1.75</v>
      </c>
      <c r="AE49" s="228">
        <v>1.2</v>
      </c>
      <c r="AF49" s="228">
        <v>0.55000000000000004</v>
      </c>
      <c r="AG49" s="229">
        <v>6.1000000000000004E-3</v>
      </c>
      <c r="AH49" s="228">
        <v>3.45</v>
      </c>
      <c r="AI49" s="228">
        <v>2.7</v>
      </c>
      <c r="AJ49" s="228">
        <v>0.75</v>
      </c>
      <c r="AK49" s="229">
        <v>1.1900000000000001E-2</v>
      </c>
      <c r="AL49" s="228">
        <v>5.2</v>
      </c>
      <c r="AM49" s="228">
        <v>4.75</v>
      </c>
      <c r="AN49" s="228">
        <v>0.45</v>
      </c>
      <c r="AO49" s="229">
        <v>1.7999999999999999E-2</v>
      </c>
      <c r="AP49" s="228">
        <v>291.58999999999997</v>
      </c>
      <c r="AQ49" s="228">
        <v>293.64</v>
      </c>
      <c r="AR49" s="228">
        <v>0</v>
      </c>
      <c r="AS49" s="228">
        <v>185</v>
      </c>
      <c r="AT49" s="228">
        <v>93</v>
      </c>
      <c r="AU49" s="228">
        <v>92</v>
      </c>
      <c r="AV49" s="229">
        <v>0.98099999999999998</v>
      </c>
      <c r="AW49" s="228">
        <v>158</v>
      </c>
      <c r="AX49" s="228">
        <v>88</v>
      </c>
      <c r="AY49" s="228">
        <v>70</v>
      </c>
      <c r="AZ49" s="229">
        <v>0.80289999999999995</v>
      </c>
      <c r="BA49" s="228">
        <v>19</v>
      </c>
      <c r="BB49" s="228">
        <v>5</v>
      </c>
      <c r="BC49" s="228">
        <v>14</v>
      </c>
      <c r="BD49" s="229">
        <v>2.69</v>
      </c>
      <c r="BE49" s="228">
        <v>8</v>
      </c>
      <c r="BF49" s="228">
        <v>1</v>
      </c>
      <c r="BG49" s="228">
        <v>7</v>
      </c>
      <c r="BH49" s="229">
        <v>11.583299999999999</v>
      </c>
      <c r="BI49" s="228">
        <v>327</v>
      </c>
      <c r="BJ49" s="228">
        <v>135</v>
      </c>
      <c r="BK49" s="228">
        <v>193</v>
      </c>
      <c r="BL49" s="229">
        <v>1.4316</v>
      </c>
      <c r="BM49" s="228">
        <v>116</v>
      </c>
      <c r="BN49" s="228">
        <v>52</v>
      </c>
      <c r="BO49" s="228">
        <v>64</v>
      </c>
      <c r="BP49" s="229">
        <v>1.2345999999999999</v>
      </c>
      <c r="BQ49" s="228">
        <v>628</v>
      </c>
      <c r="BR49" s="228">
        <v>280</v>
      </c>
      <c r="BS49" s="228">
        <v>348</v>
      </c>
      <c r="BT49" s="229">
        <v>1.2445999999999999</v>
      </c>
      <c r="BU49" s="230">
        <v>2773142</v>
      </c>
      <c r="BV49" s="230">
        <v>2669548</v>
      </c>
      <c r="BW49" s="230">
        <v>103594</v>
      </c>
      <c r="BX49" s="229">
        <v>3.8800000000000001E-2</v>
      </c>
      <c r="BY49" s="230">
        <v>1451</v>
      </c>
      <c r="BZ49" s="230">
        <v>1409</v>
      </c>
      <c r="CA49" s="228">
        <v>42</v>
      </c>
      <c r="CB49" s="229">
        <v>2.9600000000000001E-2</v>
      </c>
      <c r="CC49" s="230">
        <v>1390</v>
      </c>
      <c r="CD49" s="230">
        <v>1364</v>
      </c>
      <c r="CE49" s="228">
        <v>26</v>
      </c>
      <c r="CF49" s="229">
        <v>1.9300000000000001E-2</v>
      </c>
      <c r="CG49" s="228">
        <v>53</v>
      </c>
      <c r="CH49" s="228">
        <v>45</v>
      </c>
      <c r="CI49" s="228">
        <v>8</v>
      </c>
      <c r="CJ49" s="229">
        <v>0.1855</v>
      </c>
      <c r="CK49" s="228">
        <v>8</v>
      </c>
      <c r="CL49" s="228">
        <v>1</v>
      </c>
      <c r="CM49" s="228">
        <v>7</v>
      </c>
      <c r="CN49" s="229">
        <v>7.0526</v>
      </c>
      <c r="CO49" s="228">
        <v>344</v>
      </c>
      <c r="CP49" s="228">
        <v>274</v>
      </c>
      <c r="CQ49" s="228">
        <v>70</v>
      </c>
      <c r="CR49" s="229">
        <v>0.25419999999999998</v>
      </c>
      <c r="CS49" s="228">
        <v>232</v>
      </c>
      <c r="CT49" s="228">
        <v>209</v>
      </c>
      <c r="CU49" s="228">
        <v>24</v>
      </c>
      <c r="CV49" s="229">
        <v>0.1125</v>
      </c>
      <c r="CW49" s="230">
        <v>2027</v>
      </c>
      <c r="CX49" s="230">
        <v>1892</v>
      </c>
      <c r="CY49" s="228">
        <v>135</v>
      </c>
      <c r="CZ49" s="229">
        <v>7.1199999999999999E-2</v>
      </c>
      <c r="DA49" s="228">
        <v>29.88</v>
      </c>
      <c r="DB49" s="228">
        <v>27.48</v>
      </c>
      <c r="DC49" s="228">
        <v>2.4</v>
      </c>
      <c r="DD49" s="228">
        <v>2.4</v>
      </c>
      <c r="DE49" s="228">
        <v>33.020000000000003</v>
      </c>
      <c r="DF49" s="228">
        <v>33</v>
      </c>
      <c r="DG49" s="228">
        <v>-3.14</v>
      </c>
      <c r="DH49" s="228">
        <v>0.02</v>
      </c>
      <c r="DI49" s="228">
        <v>30.11</v>
      </c>
      <c r="DJ49" s="228">
        <v>27.46</v>
      </c>
      <c r="DK49" s="228">
        <v>2.65</v>
      </c>
      <c r="DL49" s="228">
        <v>2.65</v>
      </c>
      <c r="DM49" s="228">
        <v>29.24</v>
      </c>
      <c r="DN49" s="228">
        <v>27.54</v>
      </c>
      <c r="DO49" s="228">
        <v>1.7</v>
      </c>
      <c r="DP49" s="228">
        <v>1.7</v>
      </c>
      <c r="DQ49" s="228">
        <v>0.68</v>
      </c>
      <c r="DR49" s="228">
        <v>0.76</v>
      </c>
      <c r="DS49" s="228">
        <v>-0.08</v>
      </c>
      <c r="DT49" s="229">
        <v>-0.1053</v>
      </c>
      <c r="DU49" s="228">
        <v>300</v>
      </c>
      <c r="DV49" s="228">
        <v>300</v>
      </c>
      <c r="DW49" s="228">
        <v>0.35</v>
      </c>
      <c r="DX49" s="228">
        <v>0.38</v>
      </c>
      <c r="DY49" s="228">
        <v>-0.03</v>
      </c>
      <c r="DZ49" s="229">
        <v>-7.8899999999999998E-2</v>
      </c>
      <c r="EA49" s="229">
        <v>4.2200000000000001E-2</v>
      </c>
      <c r="EB49" s="230">
        <v>1576800</v>
      </c>
      <c r="EC49" s="229">
        <v>5.7999999999999996E-3</v>
      </c>
      <c r="ED49" s="229">
        <v>4.2200000000000001E-2</v>
      </c>
      <c r="EE49" s="228">
        <v>2.0499999999999998</v>
      </c>
      <c r="EF49" s="229">
        <v>7.0000000000000001E-3</v>
      </c>
      <c r="EG49" s="230">
        <v>905529</v>
      </c>
      <c r="EH49" s="230">
        <v>1793416</v>
      </c>
      <c r="EI49" s="229">
        <v>-0.49509999999999998</v>
      </c>
      <c r="EJ49" s="229">
        <v>0.32650000000000001</v>
      </c>
      <c r="EK49" s="228">
        <v>349.64</v>
      </c>
      <c r="EL49" s="228">
        <v>116.96</v>
      </c>
      <c r="EM49" s="228">
        <v>186.01</v>
      </c>
      <c r="EN49" s="228">
        <v>69.88</v>
      </c>
      <c r="EO49" s="228">
        <v>652.6</v>
      </c>
      <c r="EP49" s="228">
        <v>292.63</v>
      </c>
      <c r="EQ49" s="228">
        <v>359.97</v>
      </c>
      <c r="ER49" s="229">
        <v>1.2301</v>
      </c>
      <c r="ES49" s="228">
        <v>368.17</v>
      </c>
      <c r="ET49" s="228">
        <v>236.08</v>
      </c>
      <c r="EU49" s="231">
        <v>1451.54</v>
      </c>
      <c r="EV49" s="231">
        <v>81400589</v>
      </c>
      <c r="EW49" s="231">
        <v>2055.79</v>
      </c>
      <c r="EX49" s="231">
        <v>1945.12</v>
      </c>
      <c r="EY49" s="228">
        <v>110.67</v>
      </c>
      <c r="EZ49" s="229">
        <v>5.6899999999999999E-2</v>
      </c>
      <c r="FA49" s="229">
        <v>0.85640000000000005</v>
      </c>
      <c r="FB49" s="227" t="s">
        <v>567</v>
      </c>
      <c r="FC49">
        <f t="shared" si="0"/>
        <v>61</v>
      </c>
    </row>
    <row r="50" spans="1:159" ht="17.25" thickBot="1" x14ac:dyDescent="0.3">
      <c r="A50" s="226">
        <v>45936</v>
      </c>
      <c r="B50" s="227" t="s">
        <v>184</v>
      </c>
      <c r="C50" s="227" t="s">
        <v>203</v>
      </c>
      <c r="D50" s="228">
        <v>200</v>
      </c>
      <c r="E50" s="228">
        <v>22</v>
      </c>
      <c r="F50" s="231">
        <v>3966.2</v>
      </c>
      <c r="G50" s="231">
        <v>3936</v>
      </c>
      <c r="H50" s="228">
        <v>30.2</v>
      </c>
      <c r="I50" s="229">
        <v>7.7000000000000002E-3</v>
      </c>
      <c r="J50" s="231">
        <v>3943</v>
      </c>
      <c r="K50" s="231">
        <v>3932.7</v>
      </c>
      <c r="L50" s="228">
        <v>10.3</v>
      </c>
      <c r="M50" s="229">
        <v>2.5999999999999999E-3</v>
      </c>
      <c r="N50" s="231">
        <v>3966.2</v>
      </c>
      <c r="O50" s="231">
        <v>3936</v>
      </c>
      <c r="P50" s="228">
        <v>30.2</v>
      </c>
      <c r="Q50" s="229">
        <v>7.7000000000000002E-3</v>
      </c>
      <c r="R50" s="231">
        <v>3974.9</v>
      </c>
      <c r="S50" s="231">
        <v>3944.9</v>
      </c>
      <c r="T50" s="228">
        <v>30</v>
      </c>
      <c r="U50" s="229">
        <v>7.6E-3</v>
      </c>
      <c r="V50" s="231">
        <v>3970</v>
      </c>
      <c r="W50" s="231">
        <v>3970</v>
      </c>
      <c r="X50" s="228">
        <v>0</v>
      </c>
      <c r="Y50" s="229">
        <v>0</v>
      </c>
      <c r="Z50" s="228">
        <v>23.2</v>
      </c>
      <c r="AA50" s="228">
        <v>3.3</v>
      </c>
      <c r="AB50" s="228">
        <v>19.899999999999999</v>
      </c>
      <c r="AC50" s="229">
        <v>5.8999999999999999E-3</v>
      </c>
      <c r="AD50" s="228">
        <v>23.2</v>
      </c>
      <c r="AE50" s="228">
        <v>3.3</v>
      </c>
      <c r="AF50" s="228">
        <v>19.899999999999999</v>
      </c>
      <c r="AG50" s="229">
        <v>5.8999999999999999E-3</v>
      </c>
      <c r="AH50" s="228">
        <v>31.9</v>
      </c>
      <c r="AI50" s="228">
        <v>12.2</v>
      </c>
      <c r="AJ50" s="228">
        <v>19.7</v>
      </c>
      <c r="AK50" s="229">
        <v>8.0999999999999996E-3</v>
      </c>
      <c r="AL50" s="228">
        <v>27</v>
      </c>
      <c r="AM50" s="228">
        <v>37.299999999999997</v>
      </c>
      <c r="AN50" s="228">
        <v>-10.3</v>
      </c>
      <c r="AO50" s="229">
        <v>6.7999999999999996E-3</v>
      </c>
      <c r="AP50" s="231">
        <v>3965.38</v>
      </c>
      <c r="AQ50" s="231">
        <v>3975.11</v>
      </c>
      <c r="AR50" s="228">
        <v>0</v>
      </c>
      <c r="AS50" s="228">
        <v>191</v>
      </c>
      <c r="AT50" s="228">
        <v>195</v>
      </c>
      <c r="AU50" s="228">
        <v>-4</v>
      </c>
      <c r="AV50" s="229">
        <v>-1.9900000000000001E-2</v>
      </c>
      <c r="AW50" s="228">
        <v>188</v>
      </c>
      <c r="AX50" s="228">
        <v>188</v>
      </c>
      <c r="AY50" s="228">
        <v>-1</v>
      </c>
      <c r="AZ50" s="229">
        <v>-2.8999999999999998E-3</v>
      </c>
      <c r="BA50" s="228">
        <v>3</v>
      </c>
      <c r="BB50" s="228">
        <v>7</v>
      </c>
      <c r="BC50" s="228">
        <v>-3</v>
      </c>
      <c r="BD50" s="229">
        <v>-0.4824</v>
      </c>
      <c r="BE50" s="228">
        <v>0</v>
      </c>
      <c r="BF50" s="228">
        <v>0</v>
      </c>
      <c r="BG50" s="228">
        <v>0</v>
      </c>
      <c r="BH50" s="229">
        <v>-0.5</v>
      </c>
      <c r="BI50" s="228">
        <v>305</v>
      </c>
      <c r="BJ50" s="228">
        <v>432</v>
      </c>
      <c r="BK50" s="228">
        <v>-128</v>
      </c>
      <c r="BL50" s="229">
        <v>-0.29499999999999998</v>
      </c>
      <c r="BM50" s="228">
        <v>102</v>
      </c>
      <c r="BN50" s="228">
        <v>143</v>
      </c>
      <c r="BO50" s="228">
        <v>-41</v>
      </c>
      <c r="BP50" s="229">
        <v>-0.28670000000000001</v>
      </c>
      <c r="BQ50" s="228">
        <v>598</v>
      </c>
      <c r="BR50" s="228">
        <v>771</v>
      </c>
      <c r="BS50" s="228">
        <v>-173</v>
      </c>
      <c r="BT50" s="229">
        <v>-0.2238</v>
      </c>
      <c r="BU50" s="230">
        <v>292627</v>
      </c>
      <c r="BV50" s="230">
        <v>436315</v>
      </c>
      <c r="BW50" s="230">
        <v>-143688</v>
      </c>
      <c r="BX50" s="229">
        <v>-0.32929999999999998</v>
      </c>
      <c r="BY50" s="230">
        <v>1196</v>
      </c>
      <c r="BZ50" s="230">
        <v>1197</v>
      </c>
      <c r="CA50" s="228">
        <v>-1</v>
      </c>
      <c r="CB50" s="229">
        <v>-8.9999999999999998E-4</v>
      </c>
      <c r="CC50" s="230">
        <v>1184</v>
      </c>
      <c r="CD50" s="230">
        <v>1186</v>
      </c>
      <c r="CE50" s="228">
        <v>-1</v>
      </c>
      <c r="CF50" s="229">
        <v>-1.1999999999999999E-3</v>
      </c>
      <c r="CG50" s="228">
        <v>12</v>
      </c>
      <c r="CH50" s="228">
        <v>11</v>
      </c>
      <c r="CI50" s="228">
        <v>0</v>
      </c>
      <c r="CJ50" s="229">
        <v>4.2900000000000001E-2</v>
      </c>
      <c r="CK50" s="228">
        <v>0</v>
      </c>
      <c r="CL50" s="228">
        <v>0</v>
      </c>
      <c r="CM50" s="228">
        <v>0</v>
      </c>
      <c r="CN50" s="229">
        <v>-0.5</v>
      </c>
      <c r="CO50" s="228">
        <v>230</v>
      </c>
      <c r="CP50" s="228">
        <v>205</v>
      </c>
      <c r="CQ50" s="228">
        <v>25</v>
      </c>
      <c r="CR50" s="229">
        <v>0.1202</v>
      </c>
      <c r="CS50" s="228">
        <v>179</v>
      </c>
      <c r="CT50" s="228">
        <v>175</v>
      </c>
      <c r="CU50" s="228">
        <v>5</v>
      </c>
      <c r="CV50" s="229">
        <v>2.7699999999999999E-2</v>
      </c>
      <c r="CW50" s="230">
        <v>1605</v>
      </c>
      <c r="CX50" s="230">
        <v>1577</v>
      </c>
      <c r="CY50" s="228">
        <v>28</v>
      </c>
      <c r="CZ50" s="229">
        <v>1.8100000000000002E-2</v>
      </c>
      <c r="DA50" s="228">
        <v>23.32</v>
      </c>
      <c r="DB50" s="228">
        <v>23.2</v>
      </c>
      <c r="DC50" s="228">
        <v>0.12</v>
      </c>
      <c r="DD50" s="228">
        <v>0.12</v>
      </c>
      <c r="DE50" s="228">
        <v>35.68</v>
      </c>
      <c r="DF50" s="228">
        <v>35.76</v>
      </c>
      <c r="DG50" s="228">
        <v>-12.36</v>
      </c>
      <c r="DH50" s="228">
        <v>-0.08</v>
      </c>
      <c r="DI50" s="228">
        <v>23.27</v>
      </c>
      <c r="DJ50" s="228">
        <v>23.12</v>
      </c>
      <c r="DK50" s="228">
        <v>0.15</v>
      </c>
      <c r="DL50" s="228">
        <v>0.15</v>
      </c>
      <c r="DM50" s="228">
        <v>23.48</v>
      </c>
      <c r="DN50" s="228">
        <v>23.44</v>
      </c>
      <c r="DO50" s="228">
        <v>0.04</v>
      </c>
      <c r="DP50" s="228">
        <v>0.04</v>
      </c>
      <c r="DQ50" s="228">
        <v>0.78</v>
      </c>
      <c r="DR50" s="228">
        <v>0.85</v>
      </c>
      <c r="DS50" s="228">
        <v>-7.0000000000000007E-2</v>
      </c>
      <c r="DT50" s="229">
        <v>-8.2400000000000001E-2</v>
      </c>
      <c r="DU50" s="231">
        <v>4000</v>
      </c>
      <c r="DV50" s="231">
        <v>3900</v>
      </c>
      <c r="DW50" s="228">
        <v>0.34</v>
      </c>
      <c r="DX50" s="228">
        <v>0.33</v>
      </c>
      <c r="DY50" s="228">
        <v>0.01</v>
      </c>
      <c r="DZ50" s="229">
        <v>3.0300000000000001E-2</v>
      </c>
      <c r="EA50" s="229">
        <v>9.7999999999999997E-3</v>
      </c>
      <c r="EB50" s="230">
        <v>28400</v>
      </c>
      <c r="EC50" s="229">
        <v>2.2000000000000001E-3</v>
      </c>
      <c r="ED50" s="229">
        <v>9.7999999999999997E-3</v>
      </c>
      <c r="EE50" s="228">
        <v>9.73</v>
      </c>
      <c r="EF50" s="229">
        <v>2.5000000000000001E-3</v>
      </c>
      <c r="EG50" s="230">
        <v>183218</v>
      </c>
      <c r="EH50" s="230">
        <v>260144</v>
      </c>
      <c r="EI50" s="229">
        <v>-0.29570000000000002</v>
      </c>
      <c r="EJ50" s="229">
        <v>0.62609999999999999</v>
      </c>
      <c r="EK50" s="228">
        <v>315.62</v>
      </c>
      <c r="EL50" s="228">
        <v>100.15</v>
      </c>
      <c r="EM50" s="228">
        <v>191.38</v>
      </c>
      <c r="EN50" s="228">
        <v>73.010000000000005</v>
      </c>
      <c r="EO50" s="228">
        <v>607.14</v>
      </c>
      <c r="EP50" s="228">
        <v>778.61</v>
      </c>
      <c r="EQ50" s="228">
        <v>-171.47</v>
      </c>
      <c r="ER50" s="229">
        <v>-0.22020000000000001</v>
      </c>
      <c r="ES50" s="228">
        <v>236.71</v>
      </c>
      <c r="ET50" s="228">
        <v>174.12</v>
      </c>
      <c r="EU50" s="231">
        <v>1195.83</v>
      </c>
      <c r="EV50" s="231">
        <v>20374200</v>
      </c>
      <c r="EW50" s="231">
        <v>1606.66</v>
      </c>
      <c r="EX50" s="231">
        <v>1567.41</v>
      </c>
      <c r="EY50" s="228">
        <v>39.25</v>
      </c>
      <c r="EZ50" s="229">
        <v>2.5000000000000001E-2</v>
      </c>
      <c r="FA50" s="229">
        <v>0.1986</v>
      </c>
      <c r="FB50" s="227" t="s">
        <v>556</v>
      </c>
      <c r="FC50">
        <f t="shared" si="0"/>
        <v>12</v>
      </c>
    </row>
    <row r="51" spans="1:159" ht="17.25" thickBot="1" x14ac:dyDescent="0.3">
      <c r="A51" s="226">
        <v>45936</v>
      </c>
      <c r="B51" s="227" t="s">
        <v>221</v>
      </c>
      <c r="C51" s="227" t="s">
        <v>573</v>
      </c>
      <c r="D51" s="228">
        <v>425</v>
      </c>
      <c r="E51" s="228">
        <v>22</v>
      </c>
      <c r="F51" s="231">
        <v>1185.2</v>
      </c>
      <c r="G51" s="231">
        <v>1170.3</v>
      </c>
      <c r="H51" s="228">
        <v>14.9</v>
      </c>
      <c r="I51" s="229">
        <v>1.2699999999999999E-2</v>
      </c>
      <c r="J51" s="231">
        <v>1180.5999999999999</v>
      </c>
      <c r="K51" s="231">
        <v>1170.3</v>
      </c>
      <c r="L51" s="228">
        <v>10.3</v>
      </c>
      <c r="M51" s="229">
        <v>8.8000000000000005E-3</v>
      </c>
      <c r="N51" s="231">
        <v>1185.2</v>
      </c>
      <c r="O51" s="231">
        <v>1170.3</v>
      </c>
      <c r="P51" s="228">
        <v>14.9</v>
      </c>
      <c r="Q51" s="229">
        <v>1.2699999999999999E-2</v>
      </c>
      <c r="R51" s="231">
        <v>1182.5</v>
      </c>
      <c r="S51" s="231">
        <v>1167.8</v>
      </c>
      <c r="T51" s="228">
        <v>14.7</v>
      </c>
      <c r="U51" s="229">
        <v>1.26E-2</v>
      </c>
      <c r="V51" s="231">
        <v>1183.9000000000001</v>
      </c>
      <c r="W51" s="231">
        <v>1158.9000000000001</v>
      </c>
      <c r="X51" s="228">
        <v>25</v>
      </c>
      <c r="Y51" s="229">
        <v>2.1600000000000001E-2</v>
      </c>
      <c r="Z51" s="228">
        <v>4.5999999999999996</v>
      </c>
      <c r="AA51" s="228">
        <v>0</v>
      </c>
      <c r="AB51" s="228">
        <v>4.5999999999999996</v>
      </c>
      <c r="AC51" s="229">
        <v>3.8999999999999998E-3</v>
      </c>
      <c r="AD51" s="228">
        <v>4.5999999999999996</v>
      </c>
      <c r="AE51" s="228">
        <v>0</v>
      </c>
      <c r="AF51" s="228">
        <v>4.5999999999999996</v>
      </c>
      <c r="AG51" s="229">
        <v>3.8999999999999998E-3</v>
      </c>
      <c r="AH51" s="228">
        <v>1.9</v>
      </c>
      <c r="AI51" s="228">
        <v>-2.5</v>
      </c>
      <c r="AJ51" s="228">
        <v>4.4000000000000004</v>
      </c>
      <c r="AK51" s="229">
        <v>1.6000000000000001E-3</v>
      </c>
      <c r="AL51" s="228">
        <v>3.3</v>
      </c>
      <c r="AM51" s="228">
        <v>-11.4</v>
      </c>
      <c r="AN51" s="228">
        <v>14.7</v>
      </c>
      <c r="AO51" s="229">
        <v>2.8E-3</v>
      </c>
      <c r="AP51" s="231">
        <v>1180.3900000000001</v>
      </c>
      <c r="AQ51" s="231">
        <v>1176.3699999999999</v>
      </c>
      <c r="AR51" s="228">
        <v>0</v>
      </c>
      <c r="AS51" s="228">
        <v>139</v>
      </c>
      <c r="AT51" s="228">
        <v>60</v>
      </c>
      <c r="AU51" s="228">
        <v>79</v>
      </c>
      <c r="AV51" s="229">
        <v>1.3151999999999999</v>
      </c>
      <c r="AW51" s="228">
        <v>132</v>
      </c>
      <c r="AX51" s="228">
        <v>58</v>
      </c>
      <c r="AY51" s="228">
        <v>75</v>
      </c>
      <c r="AZ51" s="229">
        <v>1.2971999999999999</v>
      </c>
      <c r="BA51" s="228">
        <v>6</v>
      </c>
      <c r="BB51" s="228">
        <v>2</v>
      </c>
      <c r="BC51" s="228">
        <v>4</v>
      </c>
      <c r="BD51" s="229">
        <v>1.617</v>
      </c>
      <c r="BE51" s="228">
        <v>1</v>
      </c>
      <c r="BF51" s="228">
        <v>0</v>
      </c>
      <c r="BG51" s="228">
        <v>0</v>
      </c>
      <c r="BH51" s="229">
        <v>4.5</v>
      </c>
      <c r="BI51" s="228">
        <v>272</v>
      </c>
      <c r="BJ51" s="228">
        <v>146</v>
      </c>
      <c r="BK51" s="228">
        <v>127</v>
      </c>
      <c r="BL51" s="229">
        <v>0.87119999999999997</v>
      </c>
      <c r="BM51" s="228">
        <v>58</v>
      </c>
      <c r="BN51" s="228">
        <v>33</v>
      </c>
      <c r="BO51" s="228">
        <v>24</v>
      </c>
      <c r="BP51" s="229">
        <v>0.73370000000000002</v>
      </c>
      <c r="BQ51" s="228">
        <v>469</v>
      </c>
      <c r="BR51" s="228">
        <v>239</v>
      </c>
      <c r="BS51" s="228">
        <v>230</v>
      </c>
      <c r="BT51" s="229">
        <v>0.9637</v>
      </c>
      <c r="BU51" s="230">
        <v>954051</v>
      </c>
      <c r="BV51" s="230">
        <v>346031</v>
      </c>
      <c r="BW51" s="230">
        <v>608020</v>
      </c>
      <c r="BX51" s="229">
        <v>1.7571000000000001</v>
      </c>
      <c r="BY51" s="228">
        <v>421</v>
      </c>
      <c r="BZ51" s="228">
        <v>389</v>
      </c>
      <c r="CA51" s="228">
        <v>32</v>
      </c>
      <c r="CB51" s="229">
        <v>8.2299999999999998E-2</v>
      </c>
      <c r="CC51" s="228">
        <v>390</v>
      </c>
      <c r="CD51" s="228">
        <v>360</v>
      </c>
      <c r="CE51" s="228">
        <v>30</v>
      </c>
      <c r="CF51" s="229">
        <v>8.4500000000000006E-2</v>
      </c>
      <c r="CG51" s="228">
        <v>30</v>
      </c>
      <c r="CH51" s="228">
        <v>29</v>
      </c>
      <c r="CI51" s="228">
        <v>1</v>
      </c>
      <c r="CJ51" s="229">
        <v>4.4200000000000003E-2</v>
      </c>
      <c r="CK51" s="228">
        <v>1</v>
      </c>
      <c r="CL51" s="228">
        <v>0</v>
      </c>
      <c r="CM51" s="228">
        <v>0</v>
      </c>
      <c r="CN51" s="229">
        <v>1</v>
      </c>
      <c r="CO51" s="228">
        <v>165</v>
      </c>
      <c r="CP51" s="228">
        <v>148</v>
      </c>
      <c r="CQ51" s="228">
        <v>17</v>
      </c>
      <c r="CR51" s="229">
        <v>0.1133</v>
      </c>
      <c r="CS51" s="228">
        <v>101</v>
      </c>
      <c r="CT51" s="228">
        <v>90</v>
      </c>
      <c r="CU51" s="228">
        <v>11</v>
      </c>
      <c r="CV51" s="229">
        <v>0.12230000000000001</v>
      </c>
      <c r="CW51" s="228">
        <v>686</v>
      </c>
      <c r="CX51" s="228">
        <v>627</v>
      </c>
      <c r="CY51" s="228">
        <v>60</v>
      </c>
      <c r="CZ51" s="229">
        <v>9.5399999999999999E-2</v>
      </c>
      <c r="DA51" s="228">
        <v>36.57</v>
      </c>
      <c r="DB51" s="228">
        <v>34.909999999999997</v>
      </c>
      <c r="DC51" s="228">
        <v>1.66</v>
      </c>
      <c r="DD51" s="228">
        <v>1.66</v>
      </c>
      <c r="DE51" s="228">
        <v>44.82</v>
      </c>
      <c r="DF51" s="228">
        <v>44.9</v>
      </c>
      <c r="DG51" s="228">
        <v>-8.25</v>
      </c>
      <c r="DH51" s="228">
        <v>-0.08</v>
      </c>
      <c r="DI51" s="228">
        <v>36.68</v>
      </c>
      <c r="DJ51" s="228">
        <v>35.159999999999997</v>
      </c>
      <c r="DK51" s="228">
        <v>1.52</v>
      </c>
      <c r="DL51" s="228">
        <v>1.52</v>
      </c>
      <c r="DM51" s="228">
        <v>36.04</v>
      </c>
      <c r="DN51" s="228">
        <v>33.799999999999997</v>
      </c>
      <c r="DO51" s="228">
        <v>2.2400000000000002</v>
      </c>
      <c r="DP51" s="228">
        <v>2.2400000000000002</v>
      </c>
      <c r="DQ51" s="228">
        <v>0.61</v>
      </c>
      <c r="DR51" s="228">
        <v>0.61</v>
      </c>
      <c r="DS51" s="228">
        <v>0</v>
      </c>
      <c r="DT51" s="229">
        <v>0</v>
      </c>
      <c r="DU51" s="231">
        <v>1300</v>
      </c>
      <c r="DV51" s="231">
        <v>1100</v>
      </c>
      <c r="DW51" s="228">
        <v>0.21</v>
      </c>
      <c r="DX51" s="228">
        <v>0.23</v>
      </c>
      <c r="DY51" s="228">
        <v>-0.02</v>
      </c>
      <c r="DZ51" s="229">
        <v>-8.6999999999999994E-2</v>
      </c>
      <c r="EA51" s="229">
        <v>7.22E-2</v>
      </c>
      <c r="EB51" s="230">
        <v>243100</v>
      </c>
      <c r="EC51" s="229">
        <v>-2.3E-3</v>
      </c>
      <c r="ED51" s="229">
        <v>7.22E-2</v>
      </c>
      <c r="EE51" s="228">
        <v>-4.0199999999999996</v>
      </c>
      <c r="EF51" s="229">
        <v>-3.3999999999999998E-3</v>
      </c>
      <c r="EG51" s="230">
        <v>671046</v>
      </c>
      <c r="EH51" s="230">
        <v>166071</v>
      </c>
      <c r="EI51" s="229">
        <v>3.0407000000000002</v>
      </c>
      <c r="EJ51" s="229">
        <v>0.70340000000000003</v>
      </c>
      <c r="EK51" s="228">
        <v>288.70999999999998</v>
      </c>
      <c r="EL51" s="228">
        <v>56.36</v>
      </c>
      <c r="EM51" s="228">
        <v>138.54</v>
      </c>
      <c r="EN51" s="228">
        <v>33.130000000000003</v>
      </c>
      <c r="EO51" s="228">
        <v>483.61</v>
      </c>
      <c r="EP51" s="228">
        <v>246.66</v>
      </c>
      <c r="EQ51" s="228">
        <v>236.95</v>
      </c>
      <c r="ER51" s="229">
        <v>0.96060000000000001</v>
      </c>
      <c r="ES51" s="228">
        <v>173.63</v>
      </c>
      <c r="ET51" s="228">
        <v>96.29</v>
      </c>
      <c r="EU51" s="228">
        <v>420.58</v>
      </c>
      <c r="EV51" s="231">
        <v>12039544</v>
      </c>
      <c r="EW51" s="228">
        <v>690.5</v>
      </c>
      <c r="EX51" s="228">
        <v>626.94000000000005</v>
      </c>
      <c r="EY51" s="228">
        <v>63.56</v>
      </c>
      <c r="EZ51" s="229">
        <v>0.1014</v>
      </c>
      <c r="FA51" s="229">
        <v>0.48089999999999999</v>
      </c>
      <c r="FB51" s="227" t="s">
        <v>555</v>
      </c>
      <c r="FC51">
        <f t="shared" si="0"/>
        <v>31</v>
      </c>
    </row>
    <row r="52" spans="1:159" ht="17.25" thickBot="1" x14ac:dyDescent="0.3">
      <c r="A52" s="226">
        <v>45936</v>
      </c>
      <c r="B52" s="227" t="s">
        <v>168</v>
      </c>
      <c r="C52" s="227" t="s">
        <v>204</v>
      </c>
      <c r="D52" s="228">
        <v>1250</v>
      </c>
      <c r="E52" s="228">
        <v>22</v>
      </c>
      <c r="F52" s="228">
        <v>496.35</v>
      </c>
      <c r="G52" s="228">
        <v>499.5</v>
      </c>
      <c r="H52" s="228">
        <v>-3.15</v>
      </c>
      <c r="I52" s="229">
        <v>-6.3E-3</v>
      </c>
      <c r="J52" s="228">
        <v>493.35</v>
      </c>
      <c r="K52" s="228">
        <v>496.15</v>
      </c>
      <c r="L52" s="228">
        <v>-2.8</v>
      </c>
      <c r="M52" s="229">
        <v>-5.5999999999999999E-3</v>
      </c>
      <c r="N52" s="228">
        <v>496.35</v>
      </c>
      <c r="O52" s="228">
        <v>499.5</v>
      </c>
      <c r="P52" s="228">
        <v>-3.15</v>
      </c>
      <c r="Q52" s="229">
        <v>-6.3E-3</v>
      </c>
      <c r="R52" s="228">
        <v>496.1</v>
      </c>
      <c r="S52" s="228">
        <v>499.5</v>
      </c>
      <c r="T52" s="228">
        <v>-3.4</v>
      </c>
      <c r="U52" s="229">
        <v>-6.7999999999999996E-3</v>
      </c>
      <c r="V52" s="228">
        <v>498.6</v>
      </c>
      <c r="W52" s="228">
        <v>501.5</v>
      </c>
      <c r="X52" s="228">
        <v>-2.9</v>
      </c>
      <c r="Y52" s="229">
        <v>-5.7999999999999996E-3</v>
      </c>
      <c r="Z52" s="228">
        <v>3</v>
      </c>
      <c r="AA52" s="228">
        <v>3.35</v>
      </c>
      <c r="AB52" s="228">
        <v>-0.35</v>
      </c>
      <c r="AC52" s="229">
        <v>6.1000000000000004E-3</v>
      </c>
      <c r="AD52" s="228">
        <v>3</v>
      </c>
      <c r="AE52" s="228">
        <v>3.35</v>
      </c>
      <c r="AF52" s="228">
        <v>-0.35</v>
      </c>
      <c r="AG52" s="229">
        <v>6.1000000000000004E-3</v>
      </c>
      <c r="AH52" s="228">
        <v>2.75</v>
      </c>
      <c r="AI52" s="228">
        <v>3.35</v>
      </c>
      <c r="AJ52" s="228">
        <v>-0.6</v>
      </c>
      <c r="AK52" s="229">
        <v>5.5999999999999999E-3</v>
      </c>
      <c r="AL52" s="228">
        <v>5.25</v>
      </c>
      <c r="AM52" s="228">
        <v>5.35</v>
      </c>
      <c r="AN52" s="228">
        <v>-0.1</v>
      </c>
      <c r="AO52" s="229">
        <v>1.06E-2</v>
      </c>
      <c r="AP52" s="228">
        <v>496.74</v>
      </c>
      <c r="AQ52" s="228">
        <v>496.26</v>
      </c>
      <c r="AR52" s="228">
        <v>0</v>
      </c>
      <c r="AS52" s="228">
        <v>184</v>
      </c>
      <c r="AT52" s="228">
        <v>166</v>
      </c>
      <c r="AU52" s="228">
        <v>18</v>
      </c>
      <c r="AV52" s="229">
        <v>0.10829999999999999</v>
      </c>
      <c r="AW52" s="228">
        <v>174</v>
      </c>
      <c r="AX52" s="228">
        <v>160</v>
      </c>
      <c r="AY52" s="228">
        <v>15</v>
      </c>
      <c r="AZ52" s="229">
        <v>9.0999999999999998E-2</v>
      </c>
      <c r="BA52" s="228">
        <v>9</v>
      </c>
      <c r="BB52" s="228">
        <v>6</v>
      </c>
      <c r="BC52" s="228">
        <v>3</v>
      </c>
      <c r="BD52" s="229">
        <v>0.52</v>
      </c>
      <c r="BE52" s="228">
        <v>1</v>
      </c>
      <c r="BF52" s="228">
        <v>0</v>
      </c>
      <c r="BG52" s="228">
        <v>0</v>
      </c>
      <c r="BH52" s="229">
        <v>0.66669999999999996</v>
      </c>
      <c r="BI52" s="228">
        <v>338</v>
      </c>
      <c r="BJ52" s="228">
        <v>461</v>
      </c>
      <c r="BK52" s="228">
        <v>-123</v>
      </c>
      <c r="BL52" s="229">
        <v>-0.2671</v>
      </c>
      <c r="BM52" s="228">
        <v>132</v>
      </c>
      <c r="BN52" s="228">
        <v>148</v>
      </c>
      <c r="BO52" s="228">
        <v>-15</v>
      </c>
      <c r="BP52" s="229">
        <v>-0.1037</v>
      </c>
      <c r="BQ52" s="228">
        <v>655</v>
      </c>
      <c r="BR52" s="228">
        <v>775</v>
      </c>
      <c r="BS52" s="228">
        <v>-121</v>
      </c>
      <c r="BT52" s="229">
        <v>-0.1555</v>
      </c>
      <c r="BU52" s="230">
        <v>3031522</v>
      </c>
      <c r="BV52" s="230">
        <v>3116080</v>
      </c>
      <c r="BW52" s="230">
        <v>-84558</v>
      </c>
      <c r="BX52" s="229">
        <v>-2.7099999999999999E-2</v>
      </c>
      <c r="BY52" s="230">
        <v>1335</v>
      </c>
      <c r="BZ52" s="230">
        <v>1308</v>
      </c>
      <c r="CA52" s="228">
        <v>28</v>
      </c>
      <c r="CB52" s="229">
        <v>2.12E-2</v>
      </c>
      <c r="CC52" s="230">
        <v>1276</v>
      </c>
      <c r="CD52" s="230">
        <v>1253</v>
      </c>
      <c r="CE52" s="228">
        <v>23</v>
      </c>
      <c r="CF52" s="229">
        <v>1.8599999999999998E-2</v>
      </c>
      <c r="CG52" s="228">
        <v>58</v>
      </c>
      <c r="CH52" s="228">
        <v>54</v>
      </c>
      <c r="CI52" s="228">
        <v>4</v>
      </c>
      <c r="CJ52" s="229">
        <v>7.1300000000000002E-2</v>
      </c>
      <c r="CK52" s="228">
        <v>1</v>
      </c>
      <c r="CL52" s="228">
        <v>1</v>
      </c>
      <c r="CM52" s="228">
        <v>1</v>
      </c>
      <c r="CN52" s="229">
        <v>0.9</v>
      </c>
      <c r="CO52" s="228">
        <v>593</v>
      </c>
      <c r="CP52" s="228">
        <v>538</v>
      </c>
      <c r="CQ52" s="228">
        <v>55</v>
      </c>
      <c r="CR52" s="229">
        <v>0.1032</v>
      </c>
      <c r="CS52" s="228">
        <v>305</v>
      </c>
      <c r="CT52" s="228">
        <v>294</v>
      </c>
      <c r="CU52" s="228">
        <v>11</v>
      </c>
      <c r="CV52" s="229">
        <v>3.8399999999999997E-2</v>
      </c>
      <c r="CW52" s="230">
        <v>2233</v>
      </c>
      <c r="CX52" s="230">
        <v>2139</v>
      </c>
      <c r="CY52" s="228">
        <v>94</v>
      </c>
      <c r="CZ52" s="229">
        <v>4.41E-2</v>
      </c>
      <c r="DA52" s="228">
        <v>22.6</v>
      </c>
      <c r="DB52" s="228">
        <v>22.15</v>
      </c>
      <c r="DC52" s="228">
        <v>0.45</v>
      </c>
      <c r="DD52" s="228">
        <v>0.45</v>
      </c>
      <c r="DE52" s="228">
        <v>25.59</v>
      </c>
      <c r="DF52" s="228">
        <v>25.64</v>
      </c>
      <c r="DG52" s="228">
        <v>-2.99</v>
      </c>
      <c r="DH52" s="228">
        <v>-0.05</v>
      </c>
      <c r="DI52" s="228">
        <v>22.93</v>
      </c>
      <c r="DJ52" s="228">
        <v>22.27</v>
      </c>
      <c r="DK52" s="228">
        <v>0.66</v>
      </c>
      <c r="DL52" s="228">
        <v>0.66</v>
      </c>
      <c r="DM52" s="228">
        <v>21.78</v>
      </c>
      <c r="DN52" s="228">
        <v>21.76</v>
      </c>
      <c r="DO52" s="228">
        <v>0.02</v>
      </c>
      <c r="DP52" s="228">
        <v>0.02</v>
      </c>
      <c r="DQ52" s="228">
        <v>0.51</v>
      </c>
      <c r="DR52" s="228">
        <v>0.55000000000000004</v>
      </c>
      <c r="DS52" s="228">
        <v>-0.04</v>
      </c>
      <c r="DT52" s="229">
        <v>-7.2700000000000001E-2</v>
      </c>
      <c r="DU52" s="228">
        <v>500</v>
      </c>
      <c r="DV52" s="228">
        <v>500</v>
      </c>
      <c r="DW52" s="228">
        <v>0.39</v>
      </c>
      <c r="DX52" s="228">
        <v>0.32</v>
      </c>
      <c r="DY52" s="228">
        <v>7.0000000000000007E-2</v>
      </c>
      <c r="DZ52" s="229">
        <v>0.21879999999999999</v>
      </c>
      <c r="EA52" s="229">
        <v>4.41E-2</v>
      </c>
      <c r="EB52" s="230">
        <v>1098750</v>
      </c>
      <c r="EC52" s="229">
        <v>-5.0000000000000001E-4</v>
      </c>
      <c r="ED52" s="229">
        <v>4.41E-2</v>
      </c>
      <c r="EE52" s="228">
        <v>-0.48</v>
      </c>
      <c r="EF52" s="229">
        <v>-1E-3</v>
      </c>
      <c r="EG52" s="230">
        <v>2443107</v>
      </c>
      <c r="EH52" s="230">
        <v>2008685</v>
      </c>
      <c r="EI52" s="229">
        <v>0.21629999999999999</v>
      </c>
      <c r="EJ52" s="229">
        <v>0.80589999999999995</v>
      </c>
      <c r="EK52" s="228">
        <v>355.95</v>
      </c>
      <c r="EL52" s="228">
        <v>130.99</v>
      </c>
      <c r="EM52" s="228">
        <v>184.22</v>
      </c>
      <c r="EN52" s="228">
        <v>89.47</v>
      </c>
      <c r="EO52" s="228">
        <v>671.16</v>
      </c>
      <c r="EP52" s="228">
        <v>800.07</v>
      </c>
      <c r="EQ52" s="228">
        <v>-128.91</v>
      </c>
      <c r="ER52" s="229">
        <v>-0.16109999999999999</v>
      </c>
      <c r="ES52" s="228">
        <v>633.73</v>
      </c>
      <c r="ET52" s="228">
        <v>302.83</v>
      </c>
      <c r="EU52" s="231">
        <v>1335.22</v>
      </c>
      <c r="EV52" s="231">
        <v>89873278</v>
      </c>
      <c r="EW52" s="231">
        <v>2271.7800000000002</v>
      </c>
      <c r="EX52" s="231">
        <v>2183.4299999999998</v>
      </c>
      <c r="EY52" s="228">
        <v>88.35</v>
      </c>
      <c r="EZ52" s="229">
        <v>4.0500000000000001E-2</v>
      </c>
      <c r="FA52" s="229">
        <v>0.50060000000000004</v>
      </c>
      <c r="FB52" s="227" t="s">
        <v>567</v>
      </c>
      <c r="FC52">
        <f t="shared" si="0"/>
        <v>59</v>
      </c>
    </row>
    <row r="53" spans="1:159" ht="17.25" thickBot="1" x14ac:dyDescent="0.3">
      <c r="A53" s="226">
        <v>45936</v>
      </c>
      <c r="B53" s="227" t="s">
        <v>157</v>
      </c>
      <c r="C53" s="227" t="s">
        <v>524</v>
      </c>
      <c r="D53" s="228">
        <v>325</v>
      </c>
      <c r="E53" s="228">
        <v>22</v>
      </c>
      <c r="F53" s="231">
        <v>2264</v>
      </c>
      <c r="G53" s="231">
        <v>2269.1</v>
      </c>
      <c r="H53" s="228">
        <v>-5.0999999999999996</v>
      </c>
      <c r="I53" s="229">
        <v>-2.2000000000000001E-3</v>
      </c>
      <c r="J53" s="231">
        <v>2251.1999999999998</v>
      </c>
      <c r="K53" s="231">
        <v>2253.6999999999998</v>
      </c>
      <c r="L53" s="228">
        <v>-2.5</v>
      </c>
      <c r="M53" s="229">
        <v>-1.1000000000000001E-3</v>
      </c>
      <c r="N53" s="231">
        <v>2264</v>
      </c>
      <c r="O53" s="231">
        <v>2269.1</v>
      </c>
      <c r="P53" s="228">
        <v>-5.0999999999999996</v>
      </c>
      <c r="Q53" s="229">
        <v>-2.2000000000000001E-3</v>
      </c>
      <c r="R53" s="231">
        <v>2269.5</v>
      </c>
      <c r="S53" s="231">
        <v>2276.6999999999998</v>
      </c>
      <c r="T53" s="228">
        <v>-7.2</v>
      </c>
      <c r="U53" s="229">
        <v>-3.2000000000000002E-3</v>
      </c>
      <c r="V53" s="231">
        <v>2275</v>
      </c>
      <c r="W53" s="231">
        <v>2244.5</v>
      </c>
      <c r="X53" s="228">
        <v>30.5</v>
      </c>
      <c r="Y53" s="229">
        <v>1.3599999999999999E-2</v>
      </c>
      <c r="Z53" s="228">
        <v>12.8</v>
      </c>
      <c r="AA53" s="228">
        <v>15.4</v>
      </c>
      <c r="AB53" s="228">
        <v>-2.6</v>
      </c>
      <c r="AC53" s="229">
        <v>5.7000000000000002E-3</v>
      </c>
      <c r="AD53" s="228">
        <v>12.8</v>
      </c>
      <c r="AE53" s="228">
        <v>15.4</v>
      </c>
      <c r="AF53" s="228">
        <v>-2.6</v>
      </c>
      <c r="AG53" s="229">
        <v>5.7000000000000002E-3</v>
      </c>
      <c r="AH53" s="228">
        <v>18.3</v>
      </c>
      <c r="AI53" s="228">
        <v>23</v>
      </c>
      <c r="AJ53" s="228">
        <v>-4.7</v>
      </c>
      <c r="AK53" s="229">
        <v>8.0999999999999996E-3</v>
      </c>
      <c r="AL53" s="228">
        <v>23.8</v>
      </c>
      <c r="AM53" s="228">
        <v>-9.1999999999999993</v>
      </c>
      <c r="AN53" s="228">
        <v>33</v>
      </c>
      <c r="AO53" s="229">
        <v>1.06E-2</v>
      </c>
      <c r="AP53" s="231">
        <v>2261.4</v>
      </c>
      <c r="AQ53" s="231">
        <v>2267.87</v>
      </c>
      <c r="AR53" s="228">
        <v>0</v>
      </c>
      <c r="AS53" s="228">
        <v>75</v>
      </c>
      <c r="AT53" s="228">
        <v>122</v>
      </c>
      <c r="AU53" s="228">
        <v>-46</v>
      </c>
      <c r="AV53" s="229">
        <v>-0.37890000000000001</v>
      </c>
      <c r="AW53" s="228">
        <v>74</v>
      </c>
      <c r="AX53" s="228">
        <v>120</v>
      </c>
      <c r="AY53" s="228">
        <v>-46</v>
      </c>
      <c r="AZ53" s="229">
        <v>-0.38250000000000001</v>
      </c>
      <c r="BA53" s="228">
        <v>1</v>
      </c>
      <c r="BB53" s="228">
        <v>2</v>
      </c>
      <c r="BC53" s="228">
        <v>-1</v>
      </c>
      <c r="BD53" s="229">
        <v>-0.34620000000000001</v>
      </c>
      <c r="BE53" s="228">
        <v>0</v>
      </c>
      <c r="BF53" s="228">
        <v>0</v>
      </c>
      <c r="BG53" s="228">
        <v>0</v>
      </c>
      <c r="BH53" s="229">
        <v>0</v>
      </c>
      <c r="BI53" s="228">
        <v>58</v>
      </c>
      <c r="BJ53" s="228">
        <v>89</v>
      </c>
      <c r="BK53" s="228">
        <v>-31</v>
      </c>
      <c r="BL53" s="229">
        <v>-0.35199999999999998</v>
      </c>
      <c r="BM53" s="228">
        <v>17</v>
      </c>
      <c r="BN53" s="228">
        <v>109</v>
      </c>
      <c r="BO53" s="228">
        <v>-91</v>
      </c>
      <c r="BP53" s="229">
        <v>-0.84099999999999997</v>
      </c>
      <c r="BQ53" s="228">
        <v>151</v>
      </c>
      <c r="BR53" s="228">
        <v>320</v>
      </c>
      <c r="BS53" s="228">
        <v>-169</v>
      </c>
      <c r="BT53" s="229">
        <v>-0.52869999999999995</v>
      </c>
      <c r="BU53" s="230">
        <v>401696</v>
      </c>
      <c r="BV53" s="230">
        <v>641285</v>
      </c>
      <c r="BW53" s="230">
        <v>-239589</v>
      </c>
      <c r="BX53" s="229">
        <v>-0.37359999999999999</v>
      </c>
      <c r="BY53" s="228">
        <v>544</v>
      </c>
      <c r="BZ53" s="228">
        <v>538</v>
      </c>
      <c r="CA53" s="228">
        <v>7</v>
      </c>
      <c r="CB53" s="229">
        <v>1.2500000000000001E-2</v>
      </c>
      <c r="CC53" s="228">
        <v>539</v>
      </c>
      <c r="CD53" s="228">
        <v>533</v>
      </c>
      <c r="CE53" s="228">
        <v>6</v>
      </c>
      <c r="CF53" s="229">
        <v>1.15E-2</v>
      </c>
      <c r="CG53" s="228">
        <v>5</v>
      </c>
      <c r="CH53" s="228">
        <v>5</v>
      </c>
      <c r="CI53" s="228">
        <v>0</v>
      </c>
      <c r="CJ53" s="229">
        <v>6.3500000000000001E-2</v>
      </c>
      <c r="CK53" s="228">
        <v>0</v>
      </c>
      <c r="CL53" s="228">
        <v>0</v>
      </c>
      <c r="CM53" s="228">
        <v>0</v>
      </c>
      <c r="CN53" s="229">
        <v>2</v>
      </c>
      <c r="CO53" s="228">
        <v>66</v>
      </c>
      <c r="CP53" s="228">
        <v>62</v>
      </c>
      <c r="CQ53" s="228">
        <v>5</v>
      </c>
      <c r="CR53" s="229">
        <v>7.4099999999999999E-2</v>
      </c>
      <c r="CS53" s="228">
        <v>33</v>
      </c>
      <c r="CT53" s="228">
        <v>32</v>
      </c>
      <c r="CU53" s="228">
        <v>2</v>
      </c>
      <c r="CV53" s="229">
        <v>4.8500000000000001E-2</v>
      </c>
      <c r="CW53" s="228">
        <v>644</v>
      </c>
      <c r="CX53" s="228">
        <v>631</v>
      </c>
      <c r="CY53" s="228">
        <v>13</v>
      </c>
      <c r="CZ53" s="229">
        <v>2.0299999999999999E-2</v>
      </c>
      <c r="DA53" s="228">
        <v>25.37</v>
      </c>
      <c r="DB53" s="228">
        <v>24.3</v>
      </c>
      <c r="DC53" s="228">
        <v>1.07</v>
      </c>
      <c r="DD53" s="228">
        <v>1.07</v>
      </c>
      <c r="DE53" s="228">
        <v>30.65</v>
      </c>
      <c r="DF53" s="228">
        <v>30.73</v>
      </c>
      <c r="DG53" s="228">
        <v>-5.28</v>
      </c>
      <c r="DH53" s="228">
        <v>-0.08</v>
      </c>
      <c r="DI53" s="228">
        <v>25.35</v>
      </c>
      <c r="DJ53" s="228">
        <v>24.77</v>
      </c>
      <c r="DK53" s="228">
        <v>0.57999999999999996</v>
      </c>
      <c r="DL53" s="228">
        <v>0.57999999999999996</v>
      </c>
      <c r="DM53" s="228">
        <v>25.47</v>
      </c>
      <c r="DN53" s="228">
        <v>23.92</v>
      </c>
      <c r="DO53" s="228">
        <v>1.55</v>
      </c>
      <c r="DP53" s="228">
        <v>1.55</v>
      </c>
      <c r="DQ53" s="228">
        <v>0.51</v>
      </c>
      <c r="DR53" s="228">
        <v>0.52</v>
      </c>
      <c r="DS53" s="228">
        <v>-0.01</v>
      </c>
      <c r="DT53" s="229">
        <v>-1.9199999999999998E-2</v>
      </c>
      <c r="DU53" s="231">
        <v>2400</v>
      </c>
      <c r="DV53" s="231">
        <v>2200</v>
      </c>
      <c r="DW53" s="228">
        <v>0.3</v>
      </c>
      <c r="DX53" s="228">
        <v>1.22</v>
      </c>
      <c r="DY53" s="228">
        <v>-0.92</v>
      </c>
      <c r="DZ53" s="229">
        <v>-0.75409999999999999</v>
      </c>
      <c r="EA53" s="229">
        <v>9.9000000000000008E-3</v>
      </c>
      <c r="EB53" s="230">
        <v>21125</v>
      </c>
      <c r="EC53" s="229">
        <v>2.3999999999999998E-3</v>
      </c>
      <c r="ED53" s="229">
        <v>9.9000000000000008E-3</v>
      </c>
      <c r="EE53" s="228">
        <v>6.47</v>
      </c>
      <c r="EF53" s="229">
        <v>2.8999999999999998E-3</v>
      </c>
      <c r="EG53" s="230">
        <v>286259</v>
      </c>
      <c r="EH53" s="230">
        <v>428444</v>
      </c>
      <c r="EI53" s="229">
        <v>-0.33189999999999997</v>
      </c>
      <c r="EJ53" s="229">
        <v>0.71260000000000001</v>
      </c>
      <c r="EK53" s="228">
        <v>59.88</v>
      </c>
      <c r="EL53" s="228">
        <v>17.3</v>
      </c>
      <c r="EM53" s="228">
        <v>75.41</v>
      </c>
      <c r="EN53" s="228">
        <v>27.97</v>
      </c>
      <c r="EO53" s="228">
        <v>152.59</v>
      </c>
      <c r="EP53" s="228">
        <v>327.38</v>
      </c>
      <c r="EQ53" s="228">
        <v>-174.79</v>
      </c>
      <c r="ER53" s="229">
        <v>-0.53390000000000004</v>
      </c>
      <c r="ES53" s="228">
        <v>69.23</v>
      </c>
      <c r="ET53" s="228">
        <v>32.99</v>
      </c>
      <c r="EU53" s="228">
        <v>544.29</v>
      </c>
      <c r="EV53" s="231">
        <v>12425041</v>
      </c>
      <c r="EW53" s="228">
        <v>646.51</v>
      </c>
      <c r="EX53" s="228">
        <v>634.92999999999995</v>
      </c>
      <c r="EY53" s="228">
        <v>11.58</v>
      </c>
      <c r="EZ53" s="229">
        <v>1.8200000000000001E-2</v>
      </c>
      <c r="FA53" s="229">
        <v>0.22889999999999999</v>
      </c>
      <c r="FB53" s="227" t="s">
        <v>567</v>
      </c>
      <c r="FC53">
        <f t="shared" si="0"/>
        <v>5</v>
      </c>
    </row>
    <row r="54" spans="1:159" ht="17.25" thickBot="1" x14ac:dyDescent="0.3">
      <c r="A54" s="226">
        <v>45936</v>
      </c>
      <c r="B54" s="227" t="s">
        <v>616</v>
      </c>
      <c r="C54" s="227" t="s">
        <v>601</v>
      </c>
      <c r="D54" s="228">
        <v>2075</v>
      </c>
      <c r="E54" s="228">
        <v>22</v>
      </c>
      <c r="F54" s="228">
        <v>465.1</v>
      </c>
      <c r="G54" s="228">
        <v>440.3</v>
      </c>
      <c r="H54" s="228">
        <v>24.8</v>
      </c>
      <c r="I54" s="229">
        <v>5.6300000000000003E-2</v>
      </c>
      <c r="J54" s="228">
        <v>462.6</v>
      </c>
      <c r="K54" s="228">
        <v>437.3</v>
      </c>
      <c r="L54" s="228">
        <v>25.3</v>
      </c>
      <c r="M54" s="229">
        <v>5.79E-2</v>
      </c>
      <c r="N54" s="228">
        <v>465.1</v>
      </c>
      <c r="O54" s="228">
        <v>440.3</v>
      </c>
      <c r="P54" s="228">
        <v>24.8</v>
      </c>
      <c r="Q54" s="229">
        <v>5.6300000000000003E-2</v>
      </c>
      <c r="R54" s="228">
        <v>467.45</v>
      </c>
      <c r="S54" s="228">
        <v>442.5</v>
      </c>
      <c r="T54" s="228">
        <v>24.95</v>
      </c>
      <c r="U54" s="229">
        <v>5.6399999999999999E-2</v>
      </c>
      <c r="V54" s="228">
        <v>468.95</v>
      </c>
      <c r="W54" s="228">
        <v>443.35</v>
      </c>
      <c r="X54" s="228">
        <v>25.6</v>
      </c>
      <c r="Y54" s="229">
        <v>5.7700000000000001E-2</v>
      </c>
      <c r="Z54" s="228">
        <v>2.5</v>
      </c>
      <c r="AA54" s="228">
        <v>3</v>
      </c>
      <c r="AB54" s="228">
        <v>-0.5</v>
      </c>
      <c r="AC54" s="229">
        <v>5.4000000000000003E-3</v>
      </c>
      <c r="AD54" s="228">
        <v>2.5</v>
      </c>
      <c r="AE54" s="228">
        <v>3</v>
      </c>
      <c r="AF54" s="228">
        <v>-0.5</v>
      </c>
      <c r="AG54" s="229">
        <v>5.4000000000000003E-3</v>
      </c>
      <c r="AH54" s="228">
        <v>4.8499999999999996</v>
      </c>
      <c r="AI54" s="228">
        <v>5.2</v>
      </c>
      <c r="AJ54" s="228">
        <v>-0.35</v>
      </c>
      <c r="AK54" s="229">
        <v>1.0500000000000001E-2</v>
      </c>
      <c r="AL54" s="228">
        <v>6.35</v>
      </c>
      <c r="AM54" s="228">
        <v>6.05</v>
      </c>
      <c r="AN54" s="228">
        <v>0.3</v>
      </c>
      <c r="AO54" s="229">
        <v>1.37E-2</v>
      </c>
      <c r="AP54" s="228">
        <v>458.05</v>
      </c>
      <c r="AQ54" s="228">
        <v>459.8</v>
      </c>
      <c r="AR54" s="228">
        <v>0</v>
      </c>
      <c r="AS54" s="228">
        <v>573</v>
      </c>
      <c r="AT54" s="228">
        <v>413</v>
      </c>
      <c r="AU54" s="228">
        <v>160</v>
      </c>
      <c r="AV54" s="229">
        <v>0.38840000000000002</v>
      </c>
      <c r="AW54" s="228">
        <v>549</v>
      </c>
      <c r="AX54" s="228">
        <v>397</v>
      </c>
      <c r="AY54" s="228">
        <v>152</v>
      </c>
      <c r="AZ54" s="229">
        <v>0.38379999999999997</v>
      </c>
      <c r="BA54" s="228">
        <v>23</v>
      </c>
      <c r="BB54" s="228">
        <v>14</v>
      </c>
      <c r="BC54" s="228">
        <v>8</v>
      </c>
      <c r="BD54" s="229">
        <v>0.56000000000000005</v>
      </c>
      <c r="BE54" s="228">
        <v>1</v>
      </c>
      <c r="BF54" s="228">
        <v>1</v>
      </c>
      <c r="BG54" s="228">
        <v>0</v>
      </c>
      <c r="BH54" s="229">
        <v>-6.6699999999999995E-2</v>
      </c>
      <c r="BI54" s="230">
        <v>1789</v>
      </c>
      <c r="BJ54" s="228">
        <v>794</v>
      </c>
      <c r="BK54" s="228">
        <v>995</v>
      </c>
      <c r="BL54" s="229">
        <v>1.2534000000000001</v>
      </c>
      <c r="BM54" s="228">
        <v>840</v>
      </c>
      <c r="BN54" s="228">
        <v>378</v>
      </c>
      <c r="BO54" s="228">
        <v>462</v>
      </c>
      <c r="BP54" s="229">
        <v>1.2198</v>
      </c>
      <c r="BQ54" s="230">
        <v>3203</v>
      </c>
      <c r="BR54" s="230">
        <v>1585</v>
      </c>
      <c r="BS54" s="230">
        <v>1617</v>
      </c>
      <c r="BT54" s="229">
        <v>1.0201</v>
      </c>
      <c r="BU54" s="230">
        <v>12684471</v>
      </c>
      <c r="BV54" s="230">
        <v>8355515</v>
      </c>
      <c r="BW54" s="230">
        <v>4328956</v>
      </c>
      <c r="BX54" s="229">
        <v>0.5181</v>
      </c>
      <c r="BY54" s="228">
        <v>836</v>
      </c>
      <c r="BZ54" s="228">
        <v>755</v>
      </c>
      <c r="CA54" s="228">
        <v>81</v>
      </c>
      <c r="CB54" s="229">
        <v>0.10730000000000001</v>
      </c>
      <c r="CC54" s="228">
        <v>815</v>
      </c>
      <c r="CD54" s="228">
        <v>733</v>
      </c>
      <c r="CE54" s="228">
        <v>81</v>
      </c>
      <c r="CF54" s="229">
        <v>0.11070000000000001</v>
      </c>
      <c r="CG54" s="228">
        <v>21</v>
      </c>
      <c r="CH54" s="228">
        <v>21</v>
      </c>
      <c r="CI54" s="228">
        <v>0</v>
      </c>
      <c r="CJ54" s="229">
        <v>-4.5999999999999999E-3</v>
      </c>
      <c r="CK54" s="228">
        <v>1</v>
      </c>
      <c r="CL54" s="228">
        <v>1</v>
      </c>
      <c r="CM54" s="228">
        <v>0</v>
      </c>
      <c r="CN54" s="229">
        <v>0</v>
      </c>
      <c r="CO54" s="228">
        <v>300</v>
      </c>
      <c r="CP54" s="228">
        <v>274</v>
      </c>
      <c r="CQ54" s="228">
        <v>25</v>
      </c>
      <c r="CR54" s="229">
        <v>9.2499999999999999E-2</v>
      </c>
      <c r="CS54" s="228">
        <v>227</v>
      </c>
      <c r="CT54" s="228">
        <v>155</v>
      </c>
      <c r="CU54" s="228">
        <v>72</v>
      </c>
      <c r="CV54" s="229">
        <v>0.46779999999999999</v>
      </c>
      <c r="CW54" s="230">
        <v>1363</v>
      </c>
      <c r="CX54" s="230">
        <v>1184</v>
      </c>
      <c r="CY54" s="228">
        <v>179</v>
      </c>
      <c r="CZ54" s="229">
        <v>0.15090000000000001</v>
      </c>
      <c r="DA54" s="228">
        <v>31.65</v>
      </c>
      <c r="DB54" s="228">
        <v>31.54</v>
      </c>
      <c r="DC54" s="228">
        <v>0.11</v>
      </c>
      <c r="DD54" s="228">
        <v>0.11</v>
      </c>
      <c r="DE54" s="228">
        <v>41.11</v>
      </c>
      <c r="DF54" s="228">
        <v>40.54</v>
      </c>
      <c r="DG54" s="228">
        <v>-9.4600000000000009</v>
      </c>
      <c r="DH54" s="228">
        <v>0.56999999999999995</v>
      </c>
      <c r="DI54" s="228">
        <v>31.18</v>
      </c>
      <c r="DJ54" s="228">
        <v>31.53</v>
      </c>
      <c r="DK54" s="228">
        <v>-0.35</v>
      </c>
      <c r="DL54" s="228">
        <v>-0.35</v>
      </c>
      <c r="DM54" s="228">
        <v>32.64</v>
      </c>
      <c r="DN54" s="228">
        <v>31.56</v>
      </c>
      <c r="DO54" s="228">
        <v>1.08</v>
      </c>
      <c r="DP54" s="228">
        <v>1.08</v>
      </c>
      <c r="DQ54" s="228">
        <v>0.76</v>
      </c>
      <c r="DR54" s="228">
        <v>0.56000000000000005</v>
      </c>
      <c r="DS54" s="228">
        <v>0.2</v>
      </c>
      <c r="DT54" s="229">
        <v>0.35709999999999997</v>
      </c>
      <c r="DU54" s="228">
        <v>500</v>
      </c>
      <c r="DV54" s="228">
        <v>440</v>
      </c>
      <c r="DW54" s="228">
        <v>0.47</v>
      </c>
      <c r="DX54" s="228">
        <v>0.48</v>
      </c>
      <c r="DY54" s="228">
        <v>-0.01</v>
      </c>
      <c r="DZ54" s="229">
        <v>-2.0799999999999999E-2</v>
      </c>
      <c r="EA54" s="229">
        <v>2.5999999999999999E-2</v>
      </c>
      <c r="EB54" s="230">
        <v>468950</v>
      </c>
      <c r="EC54" s="229">
        <v>5.1000000000000004E-3</v>
      </c>
      <c r="ED54" s="229">
        <v>2.5999999999999999E-2</v>
      </c>
      <c r="EE54" s="228">
        <v>1.75</v>
      </c>
      <c r="EF54" s="229">
        <v>3.8E-3</v>
      </c>
      <c r="EG54" s="230">
        <v>5209275</v>
      </c>
      <c r="EH54" s="230">
        <v>5492817</v>
      </c>
      <c r="EI54" s="229">
        <v>-5.16E-2</v>
      </c>
      <c r="EJ54" s="229">
        <v>0.41070000000000001</v>
      </c>
      <c r="EK54" s="231">
        <v>1846.84</v>
      </c>
      <c r="EL54" s="228">
        <v>806.12</v>
      </c>
      <c r="EM54" s="228">
        <v>564.76</v>
      </c>
      <c r="EN54" s="228">
        <v>44.37</v>
      </c>
      <c r="EO54" s="231">
        <v>3217.72</v>
      </c>
      <c r="EP54" s="231">
        <v>1534.37</v>
      </c>
      <c r="EQ54" s="231">
        <v>1683.35</v>
      </c>
      <c r="ER54" s="229">
        <v>1.0971</v>
      </c>
      <c r="ES54" s="228">
        <v>306.95999999999998</v>
      </c>
      <c r="ET54" s="228">
        <v>212.4</v>
      </c>
      <c r="EU54" s="228">
        <v>836.45</v>
      </c>
      <c r="EV54" s="231">
        <v>94196226</v>
      </c>
      <c r="EW54" s="231">
        <v>1355.81</v>
      </c>
      <c r="EX54" s="231">
        <v>1135.2</v>
      </c>
      <c r="EY54" s="228">
        <v>220.61</v>
      </c>
      <c r="EZ54" s="229">
        <v>0.1943</v>
      </c>
      <c r="FA54" s="229">
        <v>0.31109999999999999</v>
      </c>
      <c r="FB54" s="227" t="s">
        <v>555</v>
      </c>
      <c r="FC54">
        <f t="shared" si="0"/>
        <v>21</v>
      </c>
    </row>
    <row r="55" spans="1:159" ht="17.25" thickBot="1" x14ac:dyDescent="0.3">
      <c r="A55" s="226">
        <v>45936</v>
      </c>
      <c r="B55" s="227" t="s">
        <v>170</v>
      </c>
      <c r="C55" s="227" t="s">
        <v>205</v>
      </c>
      <c r="D55" s="228">
        <v>100</v>
      </c>
      <c r="E55" s="228">
        <v>22</v>
      </c>
      <c r="F55" s="231">
        <v>5853</v>
      </c>
      <c r="G55" s="231">
        <v>5887</v>
      </c>
      <c r="H55" s="228">
        <v>-34</v>
      </c>
      <c r="I55" s="229">
        <v>-5.7999999999999996E-3</v>
      </c>
      <c r="J55" s="231">
        <v>5826.5</v>
      </c>
      <c r="K55" s="231">
        <v>5866</v>
      </c>
      <c r="L55" s="228">
        <v>-39.5</v>
      </c>
      <c r="M55" s="229">
        <v>-6.7000000000000002E-3</v>
      </c>
      <c r="N55" s="231">
        <v>5853</v>
      </c>
      <c r="O55" s="231">
        <v>5887</v>
      </c>
      <c r="P55" s="228">
        <v>-34</v>
      </c>
      <c r="Q55" s="229">
        <v>-5.7999999999999996E-3</v>
      </c>
      <c r="R55" s="231">
        <v>5887</v>
      </c>
      <c r="S55" s="231">
        <v>5917</v>
      </c>
      <c r="T55" s="228">
        <v>-30</v>
      </c>
      <c r="U55" s="229">
        <v>-5.1000000000000004E-3</v>
      </c>
      <c r="V55" s="231">
        <v>5915</v>
      </c>
      <c r="W55" s="231">
        <v>5915</v>
      </c>
      <c r="X55" s="228">
        <v>0</v>
      </c>
      <c r="Y55" s="229">
        <v>0</v>
      </c>
      <c r="Z55" s="228">
        <v>26.5</v>
      </c>
      <c r="AA55" s="228">
        <v>21</v>
      </c>
      <c r="AB55" s="228">
        <v>5.5</v>
      </c>
      <c r="AC55" s="229">
        <v>4.4999999999999997E-3</v>
      </c>
      <c r="AD55" s="228">
        <v>26.5</v>
      </c>
      <c r="AE55" s="228">
        <v>21</v>
      </c>
      <c r="AF55" s="228">
        <v>5.5</v>
      </c>
      <c r="AG55" s="229">
        <v>4.4999999999999997E-3</v>
      </c>
      <c r="AH55" s="228">
        <v>60.5</v>
      </c>
      <c r="AI55" s="228">
        <v>51</v>
      </c>
      <c r="AJ55" s="228">
        <v>9.5</v>
      </c>
      <c r="AK55" s="229">
        <v>1.04E-2</v>
      </c>
      <c r="AL55" s="228">
        <v>88.5</v>
      </c>
      <c r="AM55" s="228">
        <v>49</v>
      </c>
      <c r="AN55" s="228">
        <v>39.5</v>
      </c>
      <c r="AO55" s="229">
        <v>1.52E-2</v>
      </c>
      <c r="AP55" s="231">
        <v>5866.73</v>
      </c>
      <c r="AQ55" s="231">
        <v>5895.24</v>
      </c>
      <c r="AR55" s="228">
        <v>0</v>
      </c>
      <c r="AS55" s="228">
        <v>133</v>
      </c>
      <c r="AT55" s="228">
        <v>287</v>
      </c>
      <c r="AU55" s="228">
        <v>-154</v>
      </c>
      <c r="AV55" s="229">
        <v>-0.53700000000000003</v>
      </c>
      <c r="AW55" s="228">
        <v>122</v>
      </c>
      <c r="AX55" s="228">
        <v>277</v>
      </c>
      <c r="AY55" s="228">
        <v>-155</v>
      </c>
      <c r="AZ55" s="229">
        <v>-0.55889999999999995</v>
      </c>
      <c r="BA55" s="228">
        <v>10</v>
      </c>
      <c r="BB55" s="228">
        <v>10</v>
      </c>
      <c r="BC55" s="228">
        <v>0</v>
      </c>
      <c r="BD55" s="229">
        <v>-2.35E-2</v>
      </c>
      <c r="BE55" s="228">
        <v>1</v>
      </c>
      <c r="BF55" s="228">
        <v>0</v>
      </c>
      <c r="BG55" s="228">
        <v>1</v>
      </c>
      <c r="BH55" s="229">
        <v>3.5</v>
      </c>
      <c r="BI55" s="228">
        <v>411</v>
      </c>
      <c r="BJ55" s="228">
        <v>988</v>
      </c>
      <c r="BK55" s="228">
        <v>-577</v>
      </c>
      <c r="BL55" s="229">
        <v>-0.58420000000000005</v>
      </c>
      <c r="BM55" s="228">
        <v>204</v>
      </c>
      <c r="BN55" s="228">
        <v>308</v>
      </c>
      <c r="BO55" s="228">
        <v>-104</v>
      </c>
      <c r="BP55" s="229">
        <v>-0.33710000000000001</v>
      </c>
      <c r="BQ55" s="228">
        <v>748</v>
      </c>
      <c r="BR55" s="230">
        <v>1583</v>
      </c>
      <c r="BS55" s="228">
        <v>-835</v>
      </c>
      <c r="BT55" s="229">
        <v>-0.52749999999999997</v>
      </c>
      <c r="BU55" s="230">
        <v>201367</v>
      </c>
      <c r="BV55" s="230">
        <v>665091</v>
      </c>
      <c r="BW55" s="230">
        <v>-463724</v>
      </c>
      <c r="BX55" s="229">
        <v>-0.69720000000000004</v>
      </c>
      <c r="BY55" s="230">
        <v>1591</v>
      </c>
      <c r="BZ55" s="230">
        <v>1590</v>
      </c>
      <c r="CA55" s="228">
        <v>1</v>
      </c>
      <c r="CB55" s="229">
        <v>5.9999999999999995E-4</v>
      </c>
      <c r="CC55" s="230">
        <v>1561</v>
      </c>
      <c r="CD55" s="230">
        <v>1565</v>
      </c>
      <c r="CE55" s="228">
        <v>-4</v>
      </c>
      <c r="CF55" s="229">
        <v>-2.7000000000000001E-3</v>
      </c>
      <c r="CG55" s="228">
        <v>29</v>
      </c>
      <c r="CH55" s="228">
        <v>25</v>
      </c>
      <c r="CI55" s="228">
        <v>4</v>
      </c>
      <c r="CJ55" s="229">
        <v>0.17180000000000001</v>
      </c>
      <c r="CK55" s="228">
        <v>1</v>
      </c>
      <c r="CL55" s="228">
        <v>0</v>
      </c>
      <c r="CM55" s="228">
        <v>1</v>
      </c>
      <c r="CN55" s="229">
        <v>3.5</v>
      </c>
      <c r="CO55" s="228">
        <v>442</v>
      </c>
      <c r="CP55" s="228">
        <v>413</v>
      </c>
      <c r="CQ55" s="228">
        <v>29</v>
      </c>
      <c r="CR55" s="229">
        <v>7.1499999999999994E-2</v>
      </c>
      <c r="CS55" s="228">
        <v>267</v>
      </c>
      <c r="CT55" s="228">
        <v>267</v>
      </c>
      <c r="CU55" s="228">
        <v>0</v>
      </c>
      <c r="CV55" s="229">
        <v>8.9999999999999998E-4</v>
      </c>
      <c r="CW55" s="230">
        <v>2300</v>
      </c>
      <c r="CX55" s="230">
        <v>2269</v>
      </c>
      <c r="CY55" s="228">
        <v>31</v>
      </c>
      <c r="CZ55" s="229">
        <v>1.35E-2</v>
      </c>
      <c r="DA55" s="228">
        <v>23.29</v>
      </c>
      <c r="DB55" s="228">
        <v>22.41</v>
      </c>
      <c r="DC55" s="228">
        <v>0.88</v>
      </c>
      <c r="DD55" s="228">
        <v>0.88</v>
      </c>
      <c r="DE55" s="228">
        <v>31.29</v>
      </c>
      <c r="DF55" s="228">
        <v>31.35</v>
      </c>
      <c r="DG55" s="228">
        <v>-8</v>
      </c>
      <c r="DH55" s="228">
        <v>-0.06</v>
      </c>
      <c r="DI55" s="228">
        <v>23.17</v>
      </c>
      <c r="DJ55" s="228">
        <v>22.17</v>
      </c>
      <c r="DK55" s="228">
        <v>1</v>
      </c>
      <c r="DL55" s="228">
        <v>1</v>
      </c>
      <c r="DM55" s="228">
        <v>23.52</v>
      </c>
      <c r="DN55" s="228">
        <v>23.16</v>
      </c>
      <c r="DO55" s="228">
        <v>0.36</v>
      </c>
      <c r="DP55" s="228">
        <v>0.36</v>
      </c>
      <c r="DQ55" s="228">
        <v>0.6</v>
      </c>
      <c r="DR55" s="228">
        <v>0.65</v>
      </c>
      <c r="DS55" s="228">
        <v>-0.05</v>
      </c>
      <c r="DT55" s="229">
        <v>-7.6899999999999996E-2</v>
      </c>
      <c r="DU55" s="231">
        <v>6000</v>
      </c>
      <c r="DV55" s="231">
        <v>5800</v>
      </c>
      <c r="DW55" s="228">
        <v>0.5</v>
      </c>
      <c r="DX55" s="228">
        <v>0.31</v>
      </c>
      <c r="DY55" s="228">
        <v>0.19</v>
      </c>
      <c r="DZ55" s="229">
        <v>0.6129</v>
      </c>
      <c r="EA55" s="229">
        <v>1.9E-2</v>
      </c>
      <c r="EB55" s="230">
        <v>42900</v>
      </c>
      <c r="EC55" s="229">
        <v>5.7999999999999996E-3</v>
      </c>
      <c r="ED55" s="229">
        <v>1.9E-2</v>
      </c>
      <c r="EE55" s="228">
        <v>28.51</v>
      </c>
      <c r="EF55" s="229">
        <v>4.8999999999999998E-3</v>
      </c>
      <c r="EG55" s="230">
        <v>100774</v>
      </c>
      <c r="EH55" s="230">
        <v>410682</v>
      </c>
      <c r="EI55" s="229">
        <v>-0.75460000000000005</v>
      </c>
      <c r="EJ55" s="229">
        <v>0.50039999999999996</v>
      </c>
      <c r="EK55" s="228">
        <v>431.31</v>
      </c>
      <c r="EL55" s="228">
        <v>200.57</v>
      </c>
      <c r="EM55" s="228">
        <v>133.16999999999999</v>
      </c>
      <c r="EN55" s="228">
        <v>85.43</v>
      </c>
      <c r="EO55" s="228">
        <v>765.05</v>
      </c>
      <c r="EP55" s="231">
        <v>1617.63</v>
      </c>
      <c r="EQ55" s="228">
        <v>-852.59</v>
      </c>
      <c r="ER55" s="229">
        <v>-0.52710000000000001</v>
      </c>
      <c r="ES55" s="228">
        <v>467.15</v>
      </c>
      <c r="ET55" s="228">
        <v>260.52</v>
      </c>
      <c r="EU55" s="231">
        <v>1591.03</v>
      </c>
      <c r="EV55" s="231">
        <v>16353614</v>
      </c>
      <c r="EW55" s="231">
        <v>2318.69</v>
      </c>
      <c r="EX55" s="231">
        <v>2295.6799999999998</v>
      </c>
      <c r="EY55" s="228">
        <v>23.01</v>
      </c>
      <c r="EZ55" s="229">
        <v>0.01</v>
      </c>
      <c r="FA55" s="229">
        <v>0.24030000000000001</v>
      </c>
      <c r="FB55" s="227" t="s">
        <v>567</v>
      </c>
      <c r="FC55">
        <f t="shared" si="0"/>
        <v>30</v>
      </c>
    </row>
    <row r="56" spans="1:159" ht="17.25" thickBot="1" x14ac:dyDescent="0.3">
      <c r="A56" s="226">
        <v>45936</v>
      </c>
      <c r="B56" s="227" t="s">
        <v>184</v>
      </c>
      <c r="C56" s="227" t="s">
        <v>512</v>
      </c>
      <c r="D56" s="228">
        <v>50</v>
      </c>
      <c r="E56" s="228">
        <v>22</v>
      </c>
      <c r="F56" s="231">
        <v>17118</v>
      </c>
      <c r="G56" s="231">
        <v>16670</v>
      </c>
      <c r="H56" s="228">
        <v>448</v>
      </c>
      <c r="I56" s="229">
        <v>2.69E-2</v>
      </c>
      <c r="J56" s="231">
        <v>17041</v>
      </c>
      <c r="K56" s="231">
        <v>16591</v>
      </c>
      <c r="L56" s="228">
        <v>450</v>
      </c>
      <c r="M56" s="229">
        <v>2.7099999999999999E-2</v>
      </c>
      <c r="N56" s="231">
        <v>17118</v>
      </c>
      <c r="O56" s="231">
        <v>16670</v>
      </c>
      <c r="P56" s="228">
        <v>448</v>
      </c>
      <c r="Q56" s="229">
        <v>2.69E-2</v>
      </c>
      <c r="R56" s="231">
        <v>17213</v>
      </c>
      <c r="S56" s="231">
        <v>16772</v>
      </c>
      <c r="T56" s="228">
        <v>441</v>
      </c>
      <c r="U56" s="229">
        <v>2.63E-2</v>
      </c>
      <c r="V56" s="231">
        <v>17313</v>
      </c>
      <c r="W56" s="231">
        <v>16856</v>
      </c>
      <c r="X56" s="228">
        <v>457</v>
      </c>
      <c r="Y56" s="229">
        <v>2.7099999999999999E-2</v>
      </c>
      <c r="Z56" s="228">
        <v>77</v>
      </c>
      <c r="AA56" s="228">
        <v>79</v>
      </c>
      <c r="AB56" s="228">
        <v>-2</v>
      </c>
      <c r="AC56" s="229">
        <v>4.4999999999999997E-3</v>
      </c>
      <c r="AD56" s="228">
        <v>77</v>
      </c>
      <c r="AE56" s="228">
        <v>79</v>
      </c>
      <c r="AF56" s="228">
        <v>-2</v>
      </c>
      <c r="AG56" s="229">
        <v>4.4999999999999997E-3</v>
      </c>
      <c r="AH56" s="228">
        <v>172</v>
      </c>
      <c r="AI56" s="228">
        <v>181</v>
      </c>
      <c r="AJ56" s="228">
        <v>-9</v>
      </c>
      <c r="AK56" s="229">
        <v>1.01E-2</v>
      </c>
      <c r="AL56" s="228">
        <v>272</v>
      </c>
      <c r="AM56" s="228">
        <v>265</v>
      </c>
      <c r="AN56" s="228">
        <v>7</v>
      </c>
      <c r="AO56" s="229">
        <v>1.6E-2</v>
      </c>
      <c r="AP56" s="231">
        <v>16942.560000000001</v>
      </c>
      <c r="AQ56" s="231">
        <v>17108.16</v>
      </c>
      <c r="AR56" s="228">
        <v>0</v>
      </c>
      <c r="AS56" s="228">
        <v>813</v>
      </c>
      <c r="AT56" s="228">
        <v>375</v>
      </c>
      <c r="AU56" s="228">
        <v>437</v>
      </c>
      <c r="AV56" s="229">
        <v>1.165</v>
      </c>
      <c r="AW56" s="228">
        <v>745</v>
      </c>
      <c r="AX56" s="228">
        <v>351</v>
      </c>
      <c r="AY56" s="228">
        <v>394</v>
      </c>
      <c r="AZ56" s="229">
        <v>1.1211</v>
      </c>
      <c r="BA56" s="228">
        <v>62</v>
      </c>
      <c r="BB56" s="228">
        <v>22</v>
      </c>
      <c r="BC56" s="228">
        <v>40</v>
      </c>
      <c r="BD56" s="229">
        <v>1.8131999999999999</v>
      </c>
      <c r="BE56" s="228">
        <v>6</v>
      </c>
      <c r="BF56" s="228">
        <v>2</v>
      </c>
      <c r="BG56" s="228">
        <v>4</v>
      </c>
      <c r="BH56" s="229">
        <v>1.6922999999999999</v>
      </c>
      <c r="BI56" s="230">
        <v>4975</v>
      </c>
      <c r="BJ56" s="230">
        <v>2134</v>
      </c>
      <c r="BK56" s="230">
        <v>2842</v>
      </c>
      <c r="BL56" s="229">
        <v>1.3318000000000001</v>
      </c>
      <c r="BM56" s="230">
        <v>2077</v>
      </c>
      <c r="BN56" s="230">
        <v>1070</v>
      </c>
      <c r="BO56" s="230">
        <v>1007</v>
      </c>
      <c r="BP56" s="229">
        <v>0.94179999999999997</v>
      </c>
      <c r="BQ56" s="230">
        <v>7865</v>
      </c>
      <c r="BR56" s="230">
        <v>3579</v>
      </c>
      <c r="BS56" s="230">
        <v>4286</v>
      </c>
      <c r="BT56" s="229">
        <v>1.1978</v>
      </c>
      <c r="BU56" s="230">
        <v>227855</v>
      </c>
      <c r="BV56" s="230">
        <v>167426</v>
      </c>
      <c r="BW56" s="230">
        <v>60429</v>
      </c>
      <c r="BX56" s="229">
        <v>0.3609</v>
      </c>
      <c r="BY56" s="230">
        <v>2796</v>
      </c>
      <c r="BZ56" s="230">
        <v>2789</v>
      </c>
      <c r="CA56" s="228">
        <v>7</v>
      </c>
      <c r="CB56" s="229">
        <v>2.5999999999999999E-3</v>
      </c>
      <c r="CC56" s="230">
        <v>2695</v>
      </c>
      <c r="CD56" s="230">
        <v>2711</v>
      </c>
      <c r="CE56" s="228">
        <v>-16</v>
      </c>
      <c r="CF56" s="229">
        <v>-5.7000000000000002E-3</v>
      </c>
      <c r="CG56" s="228">
        <v>96</v>
      </c>
      <c r="CH56" s="228">
        <v>74</v>
      </c>
      <c r="CI56" s="228">
        <v>22</v>
      </c>
      <c r="CJ56" s="229">
        <v>0.29299999999999998</v>
      </c>
      <c r="CK56" s="228">
        <v>5</v>
      </c>
      <c r="CL56" s="228">
        <v>4</v>
      </c>
      <c r="CM56" s="228">
        <v>1</v>
      </c>
      <c r="CN56" s="229">
        <v>0.26529999999999998</v>
      </c>
      <c r="CO56" s="230">
        <v>1507</v>
      </c>
      <c r="CP56" s="230">
        <v>1744</v>
      </c>
      <c r="CQ56" s="228">
        <v>-236</v>
      </c>
      <c r="CR56" s="229">
        <v>-0.13550000000000001</v>
      </c>
      <c r="CS56" s="230">
        <v>1145</v>
      </c>
      <c r="CT56" s="230">
        <v>1077</v>
      </c>
      <c r="CU56" s="228">
        <v>68</v>
      </c>
      <c r="CV56" s="229">
        <v>6.3399999999999998E-2</v>
      </c>
      <c r="CW56" s="230">
        <v>5449</v>
      </c>
      <c r="CX56" s="230">
        <v>5610</v>
      </c>
      <c r="CY56" s="228">
        <v>-161</v>
      </c>
      <c r="CZ56" s="229">
        <v>-2.87E-2</v>
      </c>
      <c r="DA56" s="228">
        <v>33.049999999999997</v>
      </c>
      <c r="DB56" s="228">
        <v>33.75</v>
      </c>
      <c r="DC56" s="228">
        <v>-0.7</v>
      </c>
      <c r="DD56" s="228">
        <v>-0.7</v>
      </c>
      <c r="DE56" s="228">
        <v>45.49</v>
      </c>
      <c r="DF56" s="228">
        <v>45.46</v>
      </c>
      <c r="DG56" s="228">
        <v>-12.44</v>
      </c>
      <c r="DH56" s="228">
        <v>0.03</v>
      </c>
      <c r="DI56" s="228">
        <v>32.49</v>
      </c>
      <c r="DJ56" s="228">
        <v>33.68</v>
      </c>
      <c r="DK56" s="228">
        <v>-1.19</v>
      </c>
      <c r="DL56" s="228">
        <v>-1.19</v>
      </c>
      <c r="DM56" s="228">
        <v>34.39</v>
      </c>
      <c r="DN56" s="228">
        <v>33.9</v>
      </c>
      <c r="DO56" s="228">
        <v>0.49</v>
      </c>
      <c r="DP56" s="228">
        <v>0.49</v>
      </c>
      <c r="DQ56" s="228">
        <v>0.76</v>
      </c>
      <c r="DR56" s="228">
        <v>0.62</v>
      </c>
      <c r="DS56" s="228">
        <v>0.14000000000000001</v>
      </c>
      <c r="DT56" s="229">
        <v>0.2258</v>
      </c>
      <c r="DU56" s="231">
        <v>17000</v>
      </c>
      <c r="DV56" s="231">
        <v>17000</v>
      </c>
      <c r="DW56" s="228">
        <v>0.42</v>
      </c>
      <c r="DX56" s="228">
        <v>0.5</v>
      </c>
      <c r="DY56" s="228">
        <v>-0.08</v>
      </c>
      <c r="DZ56" s="229">
        <v>-0.16</v>
      </c>
      <c r="EA56" s="229">
        <v>3.6200000000000003E-2</v>
      </c>
      <c r="EB56" s="230">
        <v>45800</v>
      </c>
      <c r="EC56" s="229">
        <v>5.4999999999999997E-3</v>
      </c>
      <c r="ED56" s="229">
        <v>3.6200000000000003E-2</v>
      </c>
      <c r="EE56" s="228">
        <v>165.6</v>
      </c>
      <c r="EF56" s="229">
        <v>9.7999999999999997E-3</v>
      </c>
      <c r="EG56" s="230">
        <v>84375</v>
      </c>
      <c r="EH56" s="230">
        <v>78137</v>
      </c>
      <c r="EI56" s="229">
        <v>7.9799999999999996E-2</v>
      </c>
      <c r="EJ56" s="229">
        <v>0.37030000000000002</v>
      </c>
      <c r="EK56" s="231">
        <v>5261.18</v>
      </c>
      <c r="EL56" s="231">
        <v>1937.84</v>
      </c>
      <c r="EM56" s="228">
        <v>805.27</v>
      </c>
      <c r="EN56" s="228">
        <v>171.9</v>
      </c>
      <c r="EO56" s="231">
        <v>8004.29</v>
      </c>
      <c r="EP56" s="231">
        <v>3586.06</v>
      </c>
      <c r="EQ56" s="231">
        <v>4418.24</v>
      </c>
      <c r="ER56" s="229">
        <v>1.2321</v>
      </c>
      <c r="ES56" s="231">
        <v>1594.5</v>
      </c>
      <c r="ET56" s="231">
        <v>1070.7</v>
      </c>
      <c r="EU56" s="231">
        <v>2797.07</v>
      </c>
      <c r="EV56" s="231">
        <v>6445442</v>
      </c>
      <c r="EW56" s="231">
        <v>5462.27</v>
      </c>
      <c r="EX56" s="231">
        <v>5551.48</v>
      </c>
      <c r="EY56" s="228">
        <v>-89.21</v>
      </c>
      <c r="EZ56" s="229">
        <v>-1.61E-2</v>
      </c>
      <c r="FA56" s="229">
        <v>0.49390000000000001</v>
      </c>
      <c r="FB56" s="227" t="s">
        <v>555</v>
      </c>
      <c r="FC56">
        <f t="shared" si="0"/>
        <v>101</v>
      </c>
    </row>
    <row r="57" spans="1:159" ht="17.25" thickBot="1" x14ac:dyDescent="0.3">
      <c r="A57" s="226">
        <v>45936</v>
      </c>
      <c r="B57" s="227" t="s">
        <v>206</v>
      </c>
      <c r="C57" s="227" t="s">
        <v>207</v>
      </c>
      <c r="D57" s="228">
        <v>825</v>
      </c>
      <c r="E57" s="228">
        <v>22</v>
      </c>
      <c r="F57" s="228">
        <v>737.65</v>
      </c>
      <c r="G57" s="228">
        <v>731.85</v>
      </c>
      <c r="H57" s="228">
        <v>5.8</v>
      </c>
      <c r="I57" s="229">
        <v>7.9000000000000008E-3</v>
      </c>
      <c r="J57" s="228">
        <v>735.25</v>
      </c>
      <c r="K57" s="228">
        <v>729.2</v>
      </c>
      <c r="L57" s="228">
        <v>6.05</v>
      </c>
      <c r="M57" s="229">
        <v>8.3000000000000001E-3</v>
      </c>
      <c r="N57" s="228">
        <v>737.65</v>
      </c>
      <c r="O57" s="228">
        <v>731.85</v>
      </c>
      <c r="P57" s="228">
        <v>5.8</v>
      </c>
      <c r="Q57" s="229">
        <v>7.9000000000000008E-3</v>
      </c>
      <c r="R57" s="228">
        <v>741.9</v>
      </c>
      <c r="S57" s="228">
        <v>735.8</v>
      </c>
      <c r="T57" s="228">
        <v>6.1</v>
      </c>
      <c r="U57" s="229">
        <v>8.3000000000000001E-3</v>
      </c>
      <c r="V57" s="228">
        <v>746.35</v>
      </c>
      <c r="W57" s="228">
        <v>739.4</v>
      </c>
      <c r="X57" s="228">
        <v>6.95</v>
      </c>
      <c r="Y57" s="229">
        <v>9.4000000000000004E-3</v>
      </c>
      <c r="Z57" s="228">
        <v>2.4</v>
      </c>
      <c r="AA57" s="228">
        <v>2.65</v>
      </c>
      <c r="AB57" s="228">
        <v>-0.25</v>
      </c>
      <c r="AC57" s="229">
        <v>3.3E-3</v>
      </c>
      <c r="AD57" s="228">
        <v>2.4</v>
      </c>
      <c r="AE57" s="228">
        <v>2.65</v>
      </c>
      <c r="AF57" s="228">
        <v>-0.25</v>
      </c>
      <c r="AG57" s="229">
        <v>3.3E-3</v>
      </c>
      <c r="AH57" s="228">
        <v>6.65</v>
      </c>
      <c r="AI57" s="228">
        <v>6.6</v>
      </c>
      <c r="AJ57" s="228">
        <v>0.05</v>
      </c>
      <c r="AK57" s="229">
        <v>8.9999999999999993E-3</v>
      </c>
      <c r="AL57" s="228">
        <v>11.1</v>
      </c>
      <c r="AM57" s="228">
        <v>10.199999999999999</v>
      </c>
      <c r="AN57" s="228">
        <v>0.9</v>
      </c>
      <c r="AO57" s="229">
        <v>1.5100000000000001E-2</v>
      </c>
      <c r="AP57" s="228">
        <v>733.13</v>
      </c>
      <c r="AQ57" s="228">
        <v>736.45</v>
      </c>
      <c r="AR57" s="228">
        <v>0</v>
      </c>
      <c r="AS57" s="228">
        <v>305</v>
      </c>
      <c r="AT57" s="228">
        <v>433</v>
      </c>
      <c r="AU57" s="228">
        <v>-128</v>
      </c>
      <c r="AV57" s="229">
        <v>-0.29599999999999999</v>
      </c>
      <c r="AW57" s="228">
        <v>288</v>
      </c>
      <c r="AX57" s="228">
        <v>413</v>
      </c>
      <c r="AY57" s="228">
        <v>-125</v>
      </c>
      <c r="AZ57" s="229">
        <v>-0.30280000000000001</v>
      </c>
      <c r="BA57" s="228">
        <v>14</v>
      </c>
      <c r="BB57" s="228">
        <v>19</v>
      </c>
      <c r="BC57" s="228">
        <v>-4</v>
      </c>
      <c r="BD57" s="229">
        <v>-0.23130000000000001</v>
      </c>
      <c r="BE57" s="228">
        <v>3</v>
      </c>
      <c r="BF57" s="228">
        <v>2</v>
      </c>
      <c r="BG57" s="228">
        <v>1</v>
      </c>
      <c r="BH57" s="229">
        <v>0.64290000000000003</v>
      </c>
      <c r="BI57" s="230">
        <v>1048</v>
      </c>
      <c r="BJ57" s="230">
        <v>1049</v>
      </c>
      <c r="BK57" s="228">
        <v>-1</v>
      </c>
      <c r="BL57" s="229">
        <v>-1E-3</v>
      </c>
      <c r="BM57" s="228">
        <v>312</v>
      </c>
      <c r="BN57" s="228">
        <v>324</v>
      </c>
      <c r="BO57" s="228">
        <v>-12</v>
      </c>
      <c r="BP57" s="229">
        <v>-3.5900000000000001E-2</v>
      </c>
      <c r="BQ57" s="230">
        <v>1664</v>
      </c>
      <c r="BR57" s="230">
        <v>1805</v>
      </c>
      <c r="BS57" s="228">
        <v>-141</v>
      </c>
      <c r="BT57" s="229">
        <v>-7.8E-2</v>
      </c>
      <c r="BU57" s="230">
        <v>1937889</v>
      </c>
      <c r="BV57" s="230">
        <v>3401092</v>
      </c>
      <c r="BW57" s="230">
        <v>-1463203</v>
      </c>
      <c r="BX57" s="229">
        <v>-0.43020000000000003</v>
      </c>
      <c r="BY57" s="230">
        <v>3230</v>
      </c>
      <c r="BZ57" s="230">
        <v>3244</v>
      </c>
      <c r="CA57" s="228">
        <v>-14</v>
      </c>
      <c r="CB57" s="229">
        <v>-4.4000000000000003E-3</v>
      </c>
      <c r="CC57" s="230">
        <v>3133</v>
      </c>
      <c r="CD57" s="230">
        <v>3150</v>
      </c>
      <c r="CE57" s="228">
        <v>-17</v>
      </c>
      <c r="CF57" s="229">
        <v>-5.4999999999999997E-3</v>
      </c>
      <c r="CG57" s="228">
        <v>93</v>
      </c>
      <c r="CH57" s="228">
        <v>91</v>
      </c>
      <c r="CI57" s="228">
        <v>2</v>
      </c>
      <c r="CJ57" s="229">
        <v>2.1299999999999999E-2</v>
      </c>
      <c r="CK57" s="228">
        <v>3</v>
      </c>
      <c r="CL57" s="228">
        <v>2</v>
      </c>
      <c r="CM57" s="228">
        <v>1</v>
      </c>
      <c r="CN57" s="229">
        <v>0.5</v>
      </c>
      <c r="CO57" s="230">
        <v>1111</v>
      </c>
      <c r="CP57" s="230">
        <v>1060</v>
      </c>
      <c r="CQ57" s="228">
        <v>52</v>
      </c>
      <c r="CR57" s="229">
        <v>4.8599999999999997E-2</v>
      </c>
      <c r="CS57" s="228">
        <v>737</v>
      </c>
      <c r="CT57" s="228">
        <v>721</v>
      </c>
      <c r="CU57" s="228">
        <v>16</v>
      </c>
      <c r="CV57" s="229">
        <v>2.1999999999999999E-2</v>
      </c>
      <c r="CW57" s="230">
        <v>5078</v>
      </c>
      <c r="CX57" s="230">
        <v>5025</v>
      </c>
      <c r="CY57" s="228">
        <v>53</v>
      </c>
      <c r="CZ57" s="229">
        <v>1.06E-2</v>
      </c>
      <c r="DA57" s="228">
        <v>27.19</v>
      </c>
      <c r="DB57" s="228">
        <v>26.73</v>
      </c>
      <c r="DC57" s="228">
        <v>0.46</v>
      </c>
      <c r="DD57" s="228">
        <v>0.46</v>
      </c>
      <c r="DE57" s="228">
        <v>37.42</v>
      </c>
      <c r="DF57" s="228">
        <v>37.49</v>
      </c>
      <c r="DG57" s="228">
        <v>-10.23</v>
      </c>
      <c r="DH57" s="228">
        <v>-7.0000000000000007E-2</v>
      </c>
      <c r="DI57" s="228">
        <v>27.02</v>
      </c>
      <c r="DJ57" s="228">
        <v>26.69</v>
      </c>
      <c r="DK57" s="228">
        <v>0.33</v>
      </c>
      <c r="DL57" s="228">
        <v>0.33</v>
      </c>
      <c r="DM57" s="228">
        <v>27.77</v>
      </c>
      <c r="DN57" s="228">
        <v>26.87</v>
      </c>
      <c r="DO57" s="228">
        <v>0.9</v>
      </c>
      <c r="DP57" s="228">
        <v>0.9</v>
      </c>
      <c r="DQ57" s="228">
        <v>0.66</v>
      </c>
      <c r="DR57" s="228">
        <v>0.68</v>
      </c>
      <c r="DS57" s="228">
        <v>-0.02</v>
      </c>
      <c r="DT57" s="229">
        <v>-2.9399999999999999E-2</v>
      </c>
      <c r="DU57" s="228">
        <v>800</v>
      </c>
      <c r="DV57" s="228">
        <v>720</v>
      </c>
      <c r="DW57" s="228">
        <v>0.3</v>
      </c>
      <c r="DX57" s="228">
        <v>0.31</v>
      </c>
      <c r="DY57" s="228">
        <v>-0.01</v>
      </c>
      <c r="DZ57" s="229">
        <v>-3.2300000000000002E-2</v>
      </c>
      <c r="EA57" s="229">
        <v>0.03</v>
      </c>
      <c r="EB57" s="230">
        <v>1269675</v>
      </c>
      <c r="EC57" s="229">
        <v>5.7999999999999996E-3</v>
      </c>
      <c r="ED57" s="229">
        <v>0.03</v>
      </c>
      <c r="EE57" s="228">
        <v>3.32</v>
      </c>
      <c r="EF57" s="229">
        <v>4.4999999999999997E-3</v>
      </c>
      <c r="EG57" s="230">
        <v>1025172</v>
      </c>
      <c r="EH57" s="230">
        <v>1883090</v>
      </c>
      <c r="EI57" s="229">
        <v>-0.4556</v>
      </c>
      <c r="EJ57" s="229">
        <v>0.52900000000000003</v>
      </c>
      <c r="EK57" s="231">
        <v>1090.02</v>
      </c>
      <c r="EL57" s="228">
        <v>305.32</v>
      </c>
      <c r="EM57" s="228">
        <v>303</v>
      </c>
      <c r="EN57" s="228">
        <v>167.55</v>
      </c>
      <c r="EO57" s="231">
        <v>1698.34</v>
      </c>
      <c r="EP57" s="231">
        <v>1833.65</v>
      </c>
      <c r="EQ57" s="228">
        <v>-135.31</v>
      </c>
      <c r="ER57" s="229">
        <v>-7.3800000000000004E-2</v>
      </c>
      <c r="ES57" s="231">
        <v>1153.4000000000001</v>
      </c>
      <c r="ET57" s="228">
        <v>724.05</v>
      </c>
      <c r="EU57" s="231">
        <v>3230.21</v>
      </c>
      <c r="EV57" s="231">
        <v>83667734</v>
      </c>
      <c r="EW57" s="231">
        <v>5107.67</v>
      </c>
      <c r="EX57" s="231">
        <v>5026.37</v>
      </c>
      <c r="EY57" s="228">
        <v>81.3</v>
      </c>
      <c r="EZ57" s="229">
        <v>1.6199999999999999E-2</v>
      </c>
      <c r="FA57" s="229">
        <v>0.82279999999999998</v>
      </c>
      <c r="FB57" s="227" t="s">
        <v>556</v>
      </c>
      <c r="FC57">
        <f t="shared" si="0"/>
        <v>97</v>
      </c>
    </row>
    <row r="58" spans="1:159" ht="17.25" thickBot="1" x14ac:dyDescent="0.3">
      <c r="A58" s="226">
        <v>45936</v>
      </c>
      <c r="B58" s="227" t="s">
        <v>616</v>
      </c>
      <c r="C58" s="227" t="s">
        <v>584</v>
      </c>
      <c r="D58" s="228">
        <v>150</v>
      </c>
      <c r="E58" s="228">
        <v>22</v>
      </c>
      <c r="F58" s="231">
        <v>4312.7</v>
      </c>
      <c r="G58" s="231">
        <v>4410.8999999999996</v>
      </c>
      <c r="H58" s="228">
        <v>-98.2</v>
      </c>
      <c r="I58" s="229">
        <v>-2.23E-2</v>
      </c>
      <c r="J58" s="231">
        <v>4301.6000000000004</v>
      </c>
      <c r="K58" s="231">
        <v>4418.3999999999996</v>
      </c>
      <c r="L58" s="228">
        <v>-116.8</v>
      </c>
      <c r="M58" s="229">
        <v>-2.64E-2</v>
      </c>
      <c r="N58" s="231">
        <v>4312.7</v>
      </c>
      <c r="O58" s="231">
        <v>4410.8999999999996</v>
      </c>
      <c r="P58" s="228">
        <v>-98.2</v>
      </c>
      <c r="Q58" s="229">
        <v>-2.23E-2</v>
      </c>
      <c r="R58" s="231">
        <v>4280.2</v>
      </c>
      <c r="S58" s="231">
        <v>4372.2</v>
      </c>
      <c r="T58" s="228">
        <v>-92</v>
      </c>
      <c r="U58" s="229">
        <v>-2.1000000000000001E-2</v>
      </c>
      <c r="V58" s="231">
        <v>4261.6000000000004</v>
      </c>
      <c r="W58" s="231">
        <v>4338</v>
      </c>
      <c r="X58" s="228">
        <v>-76.400000000000006</v>
      </c>
      <c r="Y58" s="229">
        <v>-1.7600000000000001E-2</v>
      </c>
      <c r="Z58" s="228">
        <v>11.1</v>
      </c>
      <c r="AA58" s="228">
        <v>-7.5</v>
      </c>
      <c r="AB58" s="228">
        <v>18.600000000000001</v>
      </c>
      <c r="AC58" s="229">
        <v>2.5999999999999999E-3</v>
      </c>
      <c r="AD58" s="228">
        <v>11.1</v>
      </c>
      <c r="AE58" s="228">
        <v>-7.5</v>
      </c>
      <c r="AF58" s="228">
        <v>18.600000000000001</v>
      </c>
      <c r="AG58" s="229">
        <v>2.5999999999999999E-3</v>
      </c>
      <c r="AH58" s="228">
        <v>-21.4</v>
      </c>
      <c r="AI58" s="228">
        <v>-46.2</v>
      </c>
      <c r="AJ58" s="228">
        <v>24.8</v>
      </c>
      <c r="AK58" s="229">
        <v>-5.0000000000000001E-3</v>
      </c>
      <c r="AL58" s="228">
        <v>-40</v>
      </c>
      <c r="AM58" s="228">
        <v>-80.400000000000006</v>
      </c>
      <c r="AN58" s="228">
        <v>40.4</v>
      </c>
      <c r="AO58" s="229">
        <v>-9.2999999999999992E-3</v>
      </c>
      <c r="AP58" s="231">
        <v>4320.57</v>
      </c>
      <c r="AQ58" s="231">
        <v>4282.3</v>
      </c>
      <c r="AR58" s="228">
        <v>0</v>
      </c>
      <c r="AS58" s="228">
        <v>625</v>
      </c>
      <c r="AT58" s="228">
        <v>343</v>
      </c>
      <c r="AU58" s="228">
        <v>282</v>
      </c>
      <c r="AV58" s="229">
        <v>0.82250000000000001</v>
      </c>
      <c r="AW58" s="228">
        <v>594</v>
      </c>
      <c r="AX58" s="228">
        <v>329</v>
      </c>
      <c r="AY58" s="228">
        <v>265</v>
      </c>
      <c r="AZ58" s="229">
        <v>0.80569999999999997</v>
      </c>
      <c r="BA58" s="228">
        <v>27</v>
      </c>
      <c r="BB58" s="228">
        <v>13</v>
      </c>
      <c r="BC58" s="228">
        <v>15</v>
      </c>
      <c r="BD58" s="229">
        <v>1.1581999999999999</v>
      </c>
      <c r="BE58" s="228">
        <v>4</v>
      </c>
      <c r="BF58" s="228">
        <v>1</v>
      </c>
      <c r="BG58" s="228">
        <v>2</v>
      </c>
      <c r="BH58" s="229">
        <v>1.7619</v>
      </c>
      <c r="BI58" s="230">
        <v>2266</v>
      </c>
      <c r="BJ58" s="228">
        <v>678</v>
      </c>
      <c r="BK58" s="230">
        <v>1587</v>
      </c>
      <c r="BL58" s="229">
        <v>2.3395999999999999</v>
      </c>
      <c r="BM58" s="230">
        <v>1414</v>
      </c>
      <c r="BN58" s="228">
        <v>415</v>
      </c>
      <c r="BO58" s="228">
        <v>999</v>
      </c>
      <c r="BP58" s="229">
        <v>2.4072</v>
      </c>
      <c r="BQ58" s="230">
        <v>4305</v>
      </c>
      <c r="BR58" s="230">
        <v>1437</v>
      </c>
      <c r="BS58" s="230">
        <v>2869</v>
      </c>
      <c r="BT58" s="229">
        <v>1.9968999999999999</v>
      </c>
      <c r="BU58" s="230">
        <v>1214417</v>
      </c>
      <c r="BV58" s="230">
        <v>485036</v>
      </c>
      <c r="BW58" s="230">
        <v>729381</v>
      </c>
      <c r="BX58" s="229">
        <v>1.5038</v>
      </c>
      <c r="BY58" s="230">
        <v>2562</v>
      </c>
      <c r="BZ58" s="230">
        <v>2559</v>
      </c>
      <c r="CA58" s="228">
        <v>3</v>
      </c>
      <c r="CB58" s="229">
        <v>1.1000000000000001E-3</v>
      </c>
      <c r="CC58" s="230">
        <v>2526</v>
      </c>
      <c r="CD58" s="230">
        <v>2536</v>
      </c>
      <c r="CE58" s="228">
        <v>-10</v>
      </c>
      <c r="CF58" s="229">
        <v>-3.8999999999999998E-3</v>
      </c>
      <c r="CG58" s="228">
        <v>32</v>
      </c>
      <c r="CH58" s="228">
        <v>22</v>
      </c>
      <c r="CI58" s="228">
        <v>10</v>
      </c>
      <c r="CJ58" s="229">
        <v>0.47349999999999998</v>
      </c>
      <c r="CK58" s="228">
        <v>4</v>
      </c>
      <c r="CL58" s="228">
        <v>1</v>
      </c>
      <c r="CM58" s="228">
        <v>2</v>
      </c>
      <c r="CN58" s="229">
        <v>1.6667000000000001</v>
      </c>
      <c r="CO58" s="228">
        <v>729</v>
      </c>
      <c r="CP58" s="228">
        <v>476</v>
      </c>
      <c r="CQ58" s="228">
        <v>253</v>
      </c>
      <c r="CR58" s="229">
        <v>0.53220000000000001</v>
      </c>
      <c r="CS58" s="228">
        <v>450</v>
      </c>
      <c r="CT58" s="228">
        <v>319</v>
      </c>
      <c r="CU58" s="228">
        <v>132</v>
      </c>
      <c r="CV58" s="229">
        <v>0.41249999999999998</v>
      </c>
      <c r="CW58" s="230">
        <v>3741</v>
      </c>
      <c r="CX58" s="230">
        <v>3354</v>
      </c>
      <c r="CY58" s="228">
        <v>387</v>
      </c>
      <c r="CZ58" s="229">
        <v>0.11550000000000001</v>
      </c>
      <c r="DA58" s="228">
        <v>32.43</v>
      </c>
      <c r="DB58" s="228">
        <v>31.87</v>
      </c>
      <c r="DC58" s="228">
        <v>0.56000000000000005</v>
      </c>
      <c r="DD58" s="228">
        <v>0.56000000000000005</v>
      </c>
      <c r="DE58" s="228">
        <v>33.19</v>
      </c>
      <c r="DF58" s="228">
        <v>33.07</v>
      </c>
      <c r="DG58" s="228">
        <v>-0.76</v>
      </c>
      <c r="DH58" s="228">
        <v>0.12</v>
      </c>
      <c r="DI58" s="228">
        <v>32.74</v>
      </c>
      <c r="DJ58" s="228">
        <v>31.98</v>
      </c>
      <c r="DK58" s="228">
        <v>0.76</v>
      </c>
      <c r="DL58" s="228">
        <v>0.76</v>
      </c>
      <c r="DM58" s="228">
        <v>31.92</v>
      </c>
      <c r="DN58" s="228">
        <v>31.68</v>
      </c>
      <c r="DO58" s="228">
        <v>0.24</v>
      </c>
      <c r="DP58" s="228">
        <v>0.24</v>
      </c>
      <c r="DQ58" s="228">
        <v>0.62</v>
      </c>
      <c r="DR58" s="228">
        <v>0.67</v>
      </c>
      <c r="DS58" s="228">
        <v>-0.05</v>
      </c>
      <c r="DT58" s="229">
        <v>-7.46E-2</v>
      </c>
      <c r="DU58" s="231">
        <v>4700</v>
      </c>
      <c r="DV58" s="231">
        <v>4000</v>
      </c>
      <c r="DW58" s="228">
        <v>0.62</v>
      </c>
      <c r="DX58" s="228">
        <v>0.61</v>
      </c>
      <c r="DY58" s="228">
        <v>0.01</v>
      </c>
      <c r="DZ58" s="229">
        <v>1.6400000000000001E-2</v>
      </c>
      <c r="EA58" s="229">
        <v>1.41E-2</v>
      </c>
      <c r="EB58" s="230">
        <v>54150</v>
      </c>
      <c r="EC58" s="229">
        <v>-7.4999999999999997E-3</v>
      </c>
      <c r="ED58" s="229">
        <v>1.41E-2</v>
      </c>
      <c r="EE58" s="228">
        <v>-38.270000000000003</v>
      </c>
      <c r="EF58" s="229">
        <v>-8.8999999999999999E-3</v>
      </c>
      <c r="EG58" s="230">
        <v>678249</v>
      </c>
      <c r="EH58" s="230">
        <v>285424</v>
      </c>
      <c r="EI58" s="229">
        <v>1.3763000000000001</v>
      </c>
      <c r="EJ58" s="229">
        <v>0.5585</v>
      </c>
      <c r="EK58" s="231">
        <v>2419.21</v>
      </c>
      <c r="EL58" s="231">
        <v>1405.9</v>
      </c>
      <c r="EM58" s="228">
        <v>625.95000000000005</v>
      </c>
      <c r="EN58" s="228">
        <v>118.4</v>
      </c>
      <c r="EO58" s="231">
        <v>4451.07</v>
      </c>
      <c r="EP58" s="231">
        <v>1508.01</v>
      </c>
      <c r="EQ58" s="231">
        <v>2943.06</v>
      </c>
      <c r="ER58" s="229">
        <v>1.9516</v>
      </c>
      <c r="ES58" s="228">
        <v>786</v>
      </c>
      <c r="ET58" s="228">
        <v>437.28</v>
      </c>
      <c r="EU58" s="231">
        <v>2561.39</v>
      </c>
      <c r="EV58" s="231">
        <v>22136392</v>
      </c>
      <c r="EW58" s="231">
        <v>3784.67</v>
      </c>
      <c r="EX58" s="231">
        <v>3451.99</v>
      </c>
      <c r="EY58" s="228">
        <v>332.68</v>
      </c>
      <c r="EZ58" s="229">
        <v>9.64E-2</v>
      </c>
      <c r="FA58" s="229">
        <v>0.39190000000000003</v>
      </c>
      <c r="FB58" s="227" t="s">
        <v>567</v>
      </c>
      <c r="FC58">
        <f t="shared" si="0"/>
        <v>36</v>
      </c>
    </row>
    <row r="59" spans="1:159" ht="17.25" thickBot="1" x14ac:dyDescent="0.3">
      <c r="A59" s="226">
        <v>45936</v>
      </c>
      <c r="B59" s="227" t="s">
        <v>170</v>
      </c>
      <c r="C59" s="227" t="s">
        <v>208</v>
      </c>
      <c r="D59" s="228">
        <v>625</v>
      </c>
      <c r="E59" s="228">
        <v>22</v>
      </c>
      <c r="F59" s="231">
        <v>1255</v>
      </c>
      <c r="G59" s="231">
        <v>1254.7</v>
      </c>
      <c r="H59" s="228">
        <v>0.3</v>
      </c>
      <c r="I59" s="229">
        <v>2.0000000000000001E-4</v>
      </c>
      <c r="J59" s="231">
        <v>1248.5999999999999</v>
      </c>
      <c r="K59" s="231">
        <v>1248.0999999999999</v>
      </c>
      <c r="L59" s="228">
        <v>0.5</v>
      </c>
      <c r="M59" s="229">
        <v>4.0000000000000002E-4</v>
      </c>
      <c r="N59" s="231">
        <v>1255</v>
      </c>
      <c r="O59" s="231">
        <v>1254.7</v>
      </c>
      <c r="P59" s="228">
        <v>0.3</v>
      </c>
      <c r="Q59" s="229">
        <v>2.0000000000000001E-4</v>
      </c>
      <c r="R59" s="231">
        <v>1257.5</v>
      </c>
      <c r="S59" s="231">
        <v>1253.8</v>
      </c>
      <c r="T59" s="228">
        <v>3.7</v>
      </c>
      <c r="U59" s="229">
        <v>3.0000000000000001E-3</v>
      </c>
      <c r="V59" s="231">
        <v>1254.4000000000001</v>
      </c>
      <c r="W59" s="231">
        <v>1255</v>
      </c>
      <c r="X59" s="228">
        <v>-0.6</v>
      </c>
      <c r="Y59" s="229">
        <v>-5.0000000000000001E-4</v>
      </c>
      <c r="Z59" s="228">
        <v>6.4</v>
      </c>
      <c r="AA59" s="228">
        <v>6.6</v>
      </c>
      <c r="AB59" s="228">
        <v>-0.2</v>
      </c>
      <c r="AC59" s="229">
        <v>5.1000000000000004E-3</v>
      </c>
      <c r="AD59" s="228">
        <v>6.4</v>
      </c>
      <c r="AE59" s="228">
        <v>6.6</v>
      </c>
      <c r="AF59" s="228">
        <v>-0.2</v>
      </c>
      <c r="AG59" s="229">
        <v>5.1000000000000004E-3</v>
      </c>
      <c r="AH59" s="228">
        <v>8.9</v>
      </c>
      <c r="AI59" s="228">
        <v>5.7</v>
      </c>
      <c r="AJ59" s="228">
        <v>3.2</v>
      </c>
      <c r="AK59" s="229">
        <v>7.1000000000000004E-3</v>
      </c>
      <c r="AL59" s="228">
        <v>5.8</v>
      </c>
      <c r="AM59" s="228">
        <v>6.9</v>
      </c>
      <c r="AN59" s="228">
        <v>-1.1000000000000001</v>
      </c>
      <c r="AO59" s="229">
        <v>4.5999999999999999E-3</v>
      </c>
      <c r="AP59" s="231">
        <v>1248.8900000000001</v>
      </c>
      <c r="AQ59" s="231">
        <v>1251.67</v>
      </c>
      <c r="AR59" s="228">
        <v>0</v>
      </c>
      <c r="AS59" s="228">
        <v>225</v>
      </c>
      <c r="AT59" s="228">
        <v>238</v>
      </c>
      <c r="AU59" s="228">
        <v>-13</v>
      </c>
      <c r="AV59" s="229">
        <v>-5.5300000000000002E-2</v>
      </c>
      <c r="AW59" s="228">
        <v>212</v>
      </c>
      <c r="AX59" s="228">
        <v>233</v>
      </c>
      <c r="AY59" s="228">
        <v>-21</v>
      </c>
      <c r="AZ59" s="229">
        <v>-9.2100000000000001E-2</v>
      </c>
      <c r="BA59" s="228">
        <v>13</v>
      </c>
      <c r="BB59" s="228">
        <v>4</v>
      </c>
      <c r="BC59" s="228">
        <v>8</v>
      </c>
      <c r="BD59" s="229">
        <v>1.8772</v>
      </c>
      <c r="BE59" s="228">
        <v>0</v>
      </c>
      <c r="BF59" s="228">
        <v>0</v>
      </c>
      <c r="BG59" s="228">
        <v>0</v>
      </c>
      <c r="BH59" s="229">
        <v>-0.25</v>
      </c>
      <c r="BI59" s="228">
        <v>429</v>
      </c>
      <c r="BJ59" s="228">
        <v>425</v>
      </c>
      <c r="BK59" s="228">
        <v>4</v>
      </c>
      <c r="BL59" s="229">
        <v>8.8999999999999999E-3</v>
      </c>
      <c r="BM59" s="228">
        <v>187</v>
      </c>
      <c r="BN59" s="228">
        <v>214</v>
      </c>
      <c r="BO59" s="228">
        <v>-27</v>
      </c>
      <c r="BP59" s="229">
        <v>-0.12620000000000001</v>
      </c>
      <c r="BQ59" s="228">
        <v>841</v>
      </c>
      <c r="BR59" s="228">
        <v>878</v>
      </c>
      <c r="BS59" s="228">
        <v>-36</v>
      </c>
      <c r="BT59" s="229">
        <v>-4.1599999999999998E-2</v>
      </c>
      <c r="BU59" s="230">
        <v>1930259</v>
      </c>
      <c r="BV59" s="230">
        <v>2893183</v>
      </c>
      <c r="BW59" s="230">
        <v>-962924</v>
      </c>
      <c r="BX59" s="229">
        <v>-0.33279999999999998</v>
      </c>
      <c r="BY59" s="230">
        <v>1528</v>
      </c>
      <c r="BZ59" s="230">
        <v>1515</v>
      </c>
      <c r="CA59" s="228">
        <v>14</v>
      </c>
      <c r="CB59" s="229">
        <v>9.1000000000000004E-3</v>
      </c>
      <c r="CC59" s="230">
        <v>1508</v>
      </c>
      <c r="CD59" s="230">
        <v>1498</v>
      </c>
      <c r="CE59" s="228">
        <v>11</v>
      </c>
      <c r="CF59" s="229">
        <v>7.0000000000000001E-3</v>
      </c>
      <c r="CG59" s="228">
        <v>20</v>
      </c>
      <c r="CH59" s="228">
        <v>17</v>
      </c>
      <c r="CI59" s="228">
        <v>3</v>
      </c>
      <c r="CJ59" s="229">
        <v>0.18479999999999999</v>
      </c>
      <c r="CK59" s="228">
        <v>1</v>
      </c>
      <c r="CL59" s="228">
        <v>0</v>
      </c>
      <c r="CM59" s="228">
        <v>0</v>
      </c>
      <c r="CN59" s="229">
        <v>0.6</v>
      </c>
      <c r="CO59" s="228">
        <v>491</v>
      </c>
      <c r="CP59" s="228">
        <v>400</v>
      </c>
      <c r="CQ59" s="228">
        <v>91</v>
      </c>
      <c r="CR59" s="229">
        <v>0.22789999999999999</v>
      </c>
      <c r="CS59" s="228">
        <v>318</v>
      </c>
      <c r="CT59" s="228">
        <v>307</v>
      </c>
      <c r="CU59" s="228">
        <v>11</v>
      </c>
      <c r="CV59" s="229">
        <v>3.4700000000000002E-2</v>
      </c>
      <c r="CW59" s="230">
        <v>2337</v>
      </c>
      <c r="CX59" s="230">
        <v>2221</v>
      </c>
      <c r="CY59" s="228">
        <v>116</v>
      </c>
      <c r="CZ59" s="229">
        <v>5.1999999999999998E-2</v>
      </c>
      <c r="DA59" s="228">
        <v>22.33</v>
      </c>
      <c r="DB59" s="228">
        <v>23.01</v>
      </c>
      <c r="DC59" s="228">
        <v>-0.68</v>
      </c>
      <c r="DD59" s="228">
        <v>-0.68</v>
      </c>
      <c r="DE59" s="228">
        <v>24.94</v>
      </c>
      <c r="DF59" s="228">
        <v>25</v>
      </c>
      <c r="DG59" s="228">
        <v>-2.61</v>
      </c>
      <c r="DH59" s="228">
        <v>-0.06</v>
      </c>
      <c r="DI59" s="228">
        <v>21.72</v>
      </c>
      <c r="DJ59" s="228">
        <v>22.4</v>
      </c>
      <c r="DK59" s="228">
        <v>-0.68</v>
      </c>
      <c r="DL59" s="228">
        <v>-0.68</v>
      </c>
      <c r="DM59" s="228">
        <v>23.73</v>
      </c>
      <c r="DN59" s="228">
        <v>24.23</v>
      </c>
      <c r="DO59" s="228">
        <v>-0.5</v>
      </c>
      <c r="DP59" s="228">
        <v>-0.5</v>
      </c>
      <c r="DQ59" s="228">
        <v>0.65</v>
      </c>
      <c r="DR59" s="228">
        <v>0.77</v>
      </c>
      <c r="DS59" s="228">
        <v>-0.12</v>
      </c>
      <c r="DT59" s="229">
        <v>-0.15579999999999999</v>
      </c>
      <c r="DU59" s="231">
        <v>1320</v>
      </c>
      <c r="DV59" s="231">
        <v>1200</v>
      </c>
      <c r="DW59" s="228">
        <v>0.44</v>
      </c>
      <c r="DX59" s="228">
        <v>0.5</v>
      </c>
      <c r="DY59" s="228">
        <v>-0.06</v>
      </c>
      <c r="DZ59" s="229">
        <v>-0.12</v>
      </c>
      <c r="EA59" s="229">
        <v>1.32E-2</v>
      </c>
      <c r="EB59" s="230">
        <v>135000</v>
      </c>
      <c r="EC59" s="229">
        <v>2E-3</v>
      </c>
      <c r="ED59" s="229">
        <v>1.32E-2</v>
      </c>
      <c r="EE59" s="228">
        <v>2.78</v>
      </c>
      <c r="EF59" s="229">
        <v>2.2000000000000001E-3</v>
      </c>
      <c r="EG59" s="230">
        <v>1235403</v>
      </c>
      <c r="EH59" s="230">
        <v>1933174</v>
      </c>
      <c r="EI59" s="229">
        <v>-0.3609</v>
      </c>
      <c r="EJ59" s="229">
        <v>0.64</v>
      </c>
      <c r="EK59" s="228">
        <v>446.06</v>
      </c>
      <c r="EL59" s="228">
        <v>186.36</v>
      </c>
      <c r="EM59" s="228">
        <v>223.89</v>
      </c>
      <c r="EN59" s="228">
        <v>96.59</v>
      </c>
      <c r="EO59" s="228">
        <v>856.31</v>
      </c>
      <c r="EP59" s="228">
        <v>897.6</v>
      </c>
      <c r="EQ59" s="228">
        <v>-41.3</v>
      </c>
      <c r="ER59" s="229">
        <v>-4.5999999999999999E-2</v>
      </c>
      <c r="ES59" s="228">
        <v>515.53</v>
      </c>
      <c r="ET59" s="228">
        <v>305.12</v>
      </c>
      <c r="EU59" s="231">
        <v>1528.39</v>
      </c>
      <c r="EV59" s="231">
        <v>61006521</v>
      </c>
      <c r="EW59" s="231">
        <v>2349.0500000000002</v>
      </c>
      <c r="EX59" s="231">
        <v>2230.5100000000002</v>
      </c>
      <c r="EY59" s="228">
        <v>118.54</v>
      </c>
      <c r="EZ59" s="229">
        <v>5.3100000000000001E-2</v>
      </c>
      <c r="FA59" s="229">
        <v>0.30520000000000003</v>
      </c>
      <c r="FB59" s="227" t="s">
        <v>555</v>
      </c>
      <c r="FC59">
        <f t="shared" si="0"/>
        <v>20</v>
      </c>
    </row>
    <row r="60" spans="1:159" ht="17.25" thickBot="1" x14ac:dyDescent="0.3">
      <c r="A60" s="226">
        <v>45936</v>
      </c>
      <c r="B60" s="227" t="s">
        <v>162</v>
      </c>
      <c r="C60" s="227" t="s">
        <v>209</v>
      </c>
      <c r="D60" s="228">
        <v>175</v>
      </c>
      <c r="E60" s="228">
        <v>22</v>
      </c>
      <c r="F60" s="231">
        <v>6919.5</v>
      </c>
      <c r="G60" s="231">
        <v>6965</v>
      </c>
      <c r="H60" s="228">
        <v>-45.5</v>
      </c>
      <c r="I60" s="229">
        <v>-6.4999999999999997E-3</v>
      </c>
      <c r="J60" s="231">
        <v>6880</v>
      </c>
      <c r="K60" s="231">
        <v>6941</v>
      </c>
      <c r="L60" s="228">
        <v>-61</v>
      </c>
      <c r="M60" s="229">
        <v>-8.8000000000000005E-3</v>
      </c>
      <c r="N60" s="231">
        <v>6919.5</v>
      </c>
      <c r="O60" s="231">
        <v>6965</v>
      </c>
      <c r="P60" s="228">
        <v>-45.5</v>
      </c>
      <c r="Q60" s="229">
        <v>-6.4999999999999997E-3</v>
      </c>
      <c r="R60" s="231">
        <v>6958.5</v>
      </c>
      <c r="S60" s="231">
        <v>6997</v>
      </c>
      <c r="T60" s="228">
        <v>-38.5</v>
      </c>
      <c r="U60" s="229">
        <v>-5.4999999999999997E-3</v>
      </c>
      <c r="V60" s="231">
        <v>6983</v>
      </c>
      <c r="W60" s="231">
        <v>7024.5</v>
      </c>
      <c r="X60" s="228">
        <v>-41.5</v>
      </c>
      <c r="Y60" s="229">
        <v>-5.8999999999999999E-3</v>
      </c>
      <c r="Z60" s="228">
        <v>39.5</v>
      </c>
      <c r="AA60" s="228">
        <v>24</v>
      </c>
      <c r="AB60" s="228">
        <v>15.5</v>
      </c>
      <c r="AC60" s="229">
        <v>5.7000000000000002E-3</v>
      </c>
      <c r="AD60" s="228">
        <v>39.5</v>
      </c>
      <c r="AE60" s="228">
        <v>24</v>
      </c>
      <c r="AF60" s="228">
        <v>15.5</v>
      </c>
      <c r="AG60" s="229">
        <v>5.7000000000000002E-3</v>
      </c>
      <c r="AH60" s="228">
        <v>78.5</v>
      </c>
      <c r="AI60" s="228">
        <v>56</v>
      </c>
      <c r="AJ60" s="228">
        <v>22.5</v>
      </c>
      <c r="AK60" s="229">
        <v>1.14E-2</v>
      </c>
      <c r="AL60" s="228">
        <v>103</v>
      </c>
      <c r="AM60" s="228">
        <v>83.5</v>
      </c>
      <c r="AN60" s="228">
        <v>19.5</v>
      </c>
      <c r="AO60" s="229">
        <v>1.4999999999999999E-2</v>
      </c>
      <c r="AP60" s="231">
        <v>6927.89</v>
      </c>
      <c r="AQ60" s="231">
        <v>6960.03</v>
      </c>
      <c r="AR60" s="228">
        <v>0</v>
      </c>
      <c r="AS60" s="228">
        <v>381</v>
      </c>
      <c r="AT60" s="228">
        <v>814</v>
      </c>
      <c r="AU60" s="228">
        <v>-433</v>
      </c>
      <c r="AV60" s="229">
        <v>-0.53180000000000005</v>
      </c>
      <c r="AW60" s="228">
        <v>356</v>
      </c>
      <c r="AX60" s="228">
        <v>784</v>
      </c>
      <c r="AY60" s="228">
        <v>-428</v>
      </c>
      <c r="AZ60" s="229">
        <v>-0.54569999999999996</v>
      </c>
      <c r="BA60" s="228">
        <v>23</v>
      </c>
      <c r="BB60" s="228">
        <v>25</v>
      </c>
      <c r="BC60" s="228">
        <v>-3</v>
      </c>
      <c r="BD60" s="229">
        <v>-0.10100000000000001</v>
      </c>
      <c r="BE60" s="228">
        <v>2</v>
      </c>
      <c r="BF60" s="228">
        <v>5</v>
      </c>
      <c r="BG60" s="228">
        <v>-2</v>
      </c>
      <c r="BH60" s="229">
        <v>-0.52629999999999999</v>
      </c>
      <c r="BI60" s="230">
        <v>1648</v>
      </c>
      <c r="BJ60" s="230">
        <v>3228</v>
      </c>
      <c r="BK60" s="230">
        <v>-1580</v>
      </c>
      <c r="BL60" s="229">
        <v>-0.48959999999999998</v>
      </c>
      <c r="BM60" s="228">
        <v>714</v>
      </c>
      <c r="BN60" s="230">
        <v>2598</v>
      </c>
      <c r="BO60" s="230">
        <v>-1884</v>
      </c>
      <c r="BP60" s="229">
        <v>-0.72529999999999994</v>
      </c>
      <c r="BQ60" s="230">
        <v>2742</v>
      </c>
      <c r="BR60" s="230">
        <v>6640</v>
      </c>
      <c r="BS60" s="230">
        <v>-3897</v>
      </c>
      <c r="BT60" s="229">
        <v>-0.58699999999999997</v>
      </c>
      <c r="BU60" s="230">
        <v>226037</v>
      </c>
      <c r="BV60" s="230">
        <v>678051</v>
      </c>
      <c r="BW60" s="230">
        <v>-452014</v>
      </c>
      <c r="BX60" s="229">
        <v>-0.66659999999999997</v>
      </c>
      <c r="BY60" s="230">
        <v>2526</v>
      </c>
      <c r="BZ60" s="230">
        <v>2638</v>
      </c>
      <c r="CA60" s="228">
        <v>-112</v>
      </c>
      <c r="CB60" s="229">
        <v>-4.24E-2</v>
      </c>
      <c r="CC60" s="230">
        <v>2483</v>
      </c>
      <c r="CD60" s="230">
        <v>2590</v>
      </c>
      <c r="CE60" s="228">
        <v>-106</v>
      </c>
      <c r="CF60" s="229">
        <v>-4.1000000000000002E-2</v>
      </c>
      <c r="CG60" s="228">
        <v>38</v>
      </c>
      <c r="CH60" s="228">
        <v>45</v>
      </c>
      <c r="CI60" s="228">
        <v>-7</v>
      </c>
      <c r="CJ60" s="229">
        <v>-0.15179999999999999</v>
      </c>
      <c r="CK60" s="228">
        <v>4</v>
      </c>
      <c r="CL60" s="228">
        <v>4</v>
      </c>
      <c r="CM60" s="228">
        <v>1</v>
      </c>
      <c r="CN60" s="229">
        <v>0.27589999999999998</v>
      </c>
      <c r="CO60" s="230">
        <v>1234</v>
      </c>
      <c r="CP60" s="230">
        <v>1133</v>
      </c>
      <c r="CQ60" s="228">
        <v>101</v>
      </c>
      <c r="CR60" s="229">
        <v>8.9099999999999999E-2</v>
      </c>
      <c r="CS60" s="228">
        <v>937</v>
      </c>
      <c r="CT60" s="228">
        <v>956</v>
      </c>
      <c r="CU60" s="228">
        <v>-19</v>
      </c>
      <c r="CV60" s="229">
        <v>-1.9599999999999999E-2</v>
      </c>
      <c r="CW60" s="230">
        <v>4697</v>
      </c>
      <c r="CX60" s="230">
        <v>4727</v>
      </c>
      <c r="CY60" s="228">
        <v>-30</v>
      </c>
      <c r="CZ60" s="229">
        <v>-6.3E-3</v>
      </c>
      <c r="DA60" s="228">
        <v>21.41</v>
      </c>
      <c r="DB60" s="228">
        <v>20.7</v>
      </c>
      <c r="DC60" s="228">
        <v>0.71</v>
      </c>
      <c r="DD60" s="228">
        <v>0.71</v>
      </c>
      <c r="DE60" s="228">
        <v>28.41</v>
      </c>
      <c r="DF60" s="228">
        <v>28.45</v>
      </c>
      <c r="DG60" s="228">
        <v>-7</v>
      </c>
      <c r="DH60" s="228">
        <v>-0.04</v>
      </c>
      <c r="DI60" s="228">
        <v>21.51</v>
      </c>
      <c r="DJ60" s="228">
        <v>20.309999999999999</v>
      </c>
      <c r="DK60" s="228">
        <v>1.2</v>
      </c>
      <c r="DL60" s="228">
        <v>1.2</v>
      </c>
      <c r="DM60" s="228">
        <v>21.19</v>
      </c>
      <c r="DN60" s="228">
        <v>21.18</v>
      </c>
      <c r="DO60" s="228">
        <v>0.01</v>
      </c>
      <c r="DP60" s="228">
        <v>0.01</v>
      </c>
      <c r="DQ60" s="228">
        <v>0.76</v>
      </c>
      <c r="DR60" s="228">
        <v>0.84</v>
      </c>
      <c r="DS60" s="228">
        <v>-0.08</v>
      </c>
      <c r="DT60" s="229">
        <v>-9.5200000000000007E-2</v>
      </c>
      <c r="DU60" s="231">
        <v>7000</v>
      </c>
      <c r="DV60" s="231">
        <v>6200</v>
      </c>
      <c r="DW60" s="228">
        <v>0.43</v>
      </c>
      <c r="DX60" s="228">
        <v>0.8</v>
      </c>
      <c r="DY60" s="228">
        <v>-0.37</v>
      </c>
      <c r="DZ60" s="229">
        <v>-0.46250000000000002</v>
      </c>
      <c r="EA60" s="229">
        <v>1.6799999999999999E-2</v>
      </c>
      <c r="EB60" s="230">
        <v>69650</v>
      </c>
      <c r="EC60" s="229">
        <v>5.5999999999999999E-3</v>
      </c>
      <c r="ED60" s="229">
        <v>1.6799999999999999E-2</v>
      </c>
      <c r="EE60" s="228">
        <v>32.14</v>
      </c>
      <c r="EF60" s="229">
        <v>4.5999999999999999E-3</v>
      </c>
      <c r="EG60" s="230">
        <v>110744</v>
      </c>
      <c r="EH60" s="230">
        <v>309907</v>
      </c>
      <c r="EI60" s="229">
        <v>-0.64270000000000005</v>
      </c>
      <c r="EJ60" s="229">
        <v>0.4899</v>
      </c>
      <c r="EK60" s="231">
        <v>1738.47</v>
      </c>
      <c r="EL60" s="228">
        <v>705.54</v>
      </c>
      <c r="EM60" s="228">
        <v>381.66</v>
      </c>
      <c r="EN60" s="228">
        <v>94.33</v>
      </c>
      <c r="EO60" s="231">
        <v>2825.67</v>
      </c>
      <c r="EP60" s="231">
        <v>6767.8</v>
      </c>
      <c r="EQ60" s="231">
        <v>-3942.13</v>
      </c>
      <c r="ER60" s="229">
        <v>-0.58250000000000002</v>
      </c>
      <c r="ES60" s="231">
        <v>1288.8399999999999</v>
      </c>
      <c r="ET60" s="228">
        <v>895.28</v>
      </c>
      <c r="EU60" s="231">
        <v>2526.1</v>
      </c>
      <c r="EV60" s="231">
        <v>20353850</v>
      </c>
      <c r="EW60" s="231">
        <v>4710.22</v>
      </c>
      <c r="EX60" s="231">
        <v>4753.66</v>
      </c>
      <c r="EY60" s="228">
        <v>-43.44</v>
      </c>
      <c r="EZ60" s="229">
        <v>-9.1000000000000004E-3</v>
      </c>
      <c r="FA60" s="229">
        <v>0.33350000000000002</v>
      </c>
      <c r="FB60" s="227" t="s">
        <v>568</v>
      </c>
      <c r="FC60">
        <f t="shared" si="0"/>
        <v>43</v>
      </c>
    </row>
    <row r="61" spans="1:159" ht="17.25" thickBot="1" x14ac:dyDescent="0.3">
      <c r="A61" s="226">
        <v>45936</v>
      </c>
      <c r="B61" s="227" t="s">
        <v>616</v>
      </c>
      <c r="C61" s="227" t="s">
        <v>669</v>
      </c>
      <c r="D61" s="228">
        <v>2425</v>
      </c>
      <c r="E61" s="228">
        <v>22</v>
      </c>
      <c r="F61" s="228">
        <v>337.15</v>
      </c>
      <c r="G61" s="228">
        <v>330.55</v>
      </c>
      <c r="H61" s="228">
        <v>6.6</v>
      </c>
      <c r="I61" s="229">
        <v>0.02</v>
      </c>
      <c r="J61" s="228">
        <v>335.1</v>
      </c>
      <c r="K61" s="228">
        <v>328.45</v>
      </c>
      <c r="L61" s="228">
        <v>6.65</v>
      </c>
      <c r="M61" s="229">
        <v>2.0199999999999999E-2</v>
      </c>
      <c r="N61" s="228">
        <v>337.15</v>
      </c>
      <c r="O61" s="228">
        <v>330.55</v>
      </c>
      <c r="P61" s="228">
        <v>6.6</v>
      </c>
      <c r="Q61" s="229">
        <v>0.02</v>
      </c>
      <c r="R61" s="228">
        <v>338.95</v>
      </c>
      <c r="S61" s="228">
        <v>332.4</v>
      </c>
      <c r="T61" s="228">
        <v>6.55</v>
      </c>
      <c r="U61" s="229">
        <v>1.9699999999999999E-2</v>
      </c>
      <c r="V61" s="228">
        <v>341.15</v>
      </c>
      <c r="W61" s="228">
        <v>333.95</v>
      </c>
      <c r="X61" s="228">
        <v>7.2</v>
      </c>
      <c r="Y61" s="229">
        <v>2.1600000000000001E-2</v>
      </c>
      <c r="Z61" s="228">
        <v>2.0499999999999998</v>
      </c>
      <c r="AA61" s="228">
        <v>2.1</v>
      </c>
      <c r="AB61" s="228">
        <v>-0.05</v>
      </c>
      <c r="AC61" s="229">
        <v>6.1000000000000004E-3</v>
      </c>
      <c r="AD61" s="228">
        <v>2.0499999999999998</v>
      </c>
      <c r="AE61" s="228">
        <v>2.1</v>
      </c>
      <c r="AF61" s="228">
        <v>-0.05</v>
      </c>
      <c r="AG61" s="229">
        <v>6.1000000000000004E-3</v>
      </c>
      <c r="AH61" s="228">
        <v>3.85</v>
      </c>
      <c r="AI61" s="228">
        <v>3.95</v>
      </c>
      <c r="AJ61" s="228">
        <v>-0.1</v>
      </c>
      <c r="AK61" s="229">
        <v>1.15E-2</v>
      </c>
      <c r="AL61" s="228">
        <v>6.05</v>
      </c>
      <c r="AM61" s="228">
        <v>5.5</v>
      </c>
      <c r="AN61" s="228">
        <v>0.55000000000000004</v>
      </c>
      <c r="AO61" s="229">
        <v>1.8100000000000002E-2</v>
      </c>
      <c r="AP61" s="228">
        <v>335.3</v>
      </c>
      <c r="AQ61" s="228">
        <v>337.47</v>
      </c>
      <c r="AR61" s="228">
        <v>0</v>
      </c>
      <c r="AS61" s="228">
        <v>779</v>
      </c>
      <c r="AT61" s="228">
        <v>684</v>
      </c>
      <c r="AU61" s="228">
        <v>94</v>
      </c>
      <c r="AV61" s="229">
        <v>0.13789999999999999</v>
      </c>
      <c r="AW61" s="228">
        <v>736</v>
      </c>
      <c r="AX61" s="228">
        <v>643</v>
      </c>
      <c r="AY61" s="228">
        <v>93</v>
      </c>
      <c r="AZ61" s="229">
        <v>0.14430000000000001</v>
      </c>
      <c r="BA61" s="228">
        <v>38</v>
      </c>
      <c r="BB61" s="228">
        <v>35</v>
      </c>
      <c r="BC61" s="228">
        <v>3</v>
      </c>
      <c r="BD61" s="229">
        <v>7.9100000000000004E-2</v>
      </c>
      <c r="BE61" s="228">
        <v>5</v>
      </c>
      <c r="BF61" s="228">
        <v>6</v>
      </c>
      <c r="BG61" s="228">
        <v>-1</v>
      </c>
      <c r="BH61" s="229">
        <v>-0.20549999999999999</v>
      </c>
      <c r="BI61" s="230">
        <v>2000</v>
      </c>
      <c r="BJ61" s="230">
        <v>1597</v>
      </c>
      <c r="BK61" s="228">
        <v>403</v>
      </c>
      <c r="BL61" s="229">
        <v>0.25259999999999999</v>
      </c>
      <c r="BM61" s="230">
        <v>1039</v>
      </c>
      <c r="BN61" s="228">
        <v>850</v>
      </c>
      <c r="BO61" s="228">
        <v>189</v>
      </c>
      <c r="BP61" s="229">
        <v>0.22220000000000001</v>
      </c>
      <c r="BQ61" s="230">
        <v>3818</v>
      </c>
      <c r="BR61" s="230">
        <v>3131</v>
      </c>
      <c r="BS61" s="228">
        <v>687</v>
      </c>
      <c r="BT61" s="229">
        <v>0.21929999999999999</v>
      </c>
      <c r="BU61" s="230">
        <v>14090689</v>
      </c>
      <c r="BV61" s="230">
        <v>26163539</v>
      </c>
      <c r="BW61" s="230">
        <v>-12072850</v>
      </c>
      <c r="BX61" s="229">
        <v>-0.46139999999999998</v>
      </c>
      <c r="BY61" s="230">
        <v>8536</v>
      </c>
      <c r="BZ61" s="230">
        <v>8522</v>
      </c>
      <c r="CA61" s="228">
        <v>14</v>
      </c>
      <c r="CB61" s="229">
        <v>1.6999999999999999E-3</v>
      </c>
      <c r="CC61" s="230">
        <v>8450</v>
      </c>
      <c r="CD61" s="230">
        <v>8445</v>
      </c>
      <c r="CE61" s="228">
        <v>5</v>
      </c>
      <c r="CF61" s="229">
        <v>5.9999999999999995E-4</v>
      </c>
      <c r="CG61" s="228">
        <v>78</v>
      </c>
      <c r="CH61" s="228">
        <v>71</v>
      </c>
      <c r="CI61" s="228">
        <v>6</v>
      </c>
      <c r="CJ61" s="229">
        <v>8.9200000000000002E-2</v>
      </c>
      <c r="CK61" s="228">
        <v>8</v>
      </c>
      <c r="CL61" s="228">
        <v>6</v>
      </c>
      <c r="CM61" s="228">
        <v>2</v>
      </c>
      <c r="CN61" s="229">
        <v>0.39439999999999997</v>
      </c>
      <c r="CO61" s="230">
        <v>1648</v>
      </c>
      <c r="CP61" s="230">
        <v>1648</v>
      </c>
      <c r="CQ61" s="228">
        <v>1</v>
      </c>
      <c r="CR61" s="229">
        <v>5.0000000000000001E-4</v>
      </c>
      <c r="CS61" s="230">
        <v>1203</v>
      </c>
      <c r="CT61" s="230">
        <v>1143</v>
      </c>
      <c r="CU61" s="228">
        <v>60</v>
      </c>
      <c r="CV61" s="229">
        <v>5.2699999999999997E-2</v>
      </c>
      <c r="CW61" s="230">
        <v>11388</v>
      </c>
      <c r="CX61" s="230">
        <v>11312</v>
      </c>
      <c r="CY61" s="228">
        <v>75</v>
      </c>
      <c r="CZ61" s="229">
        <v>6.6E-3</v>
      </c>
      <c r="DA61" s="228">
        <v>32.130000000000003</v>
      </c>
      <c r="DB61" s="228">
        <v>33.1</v>
      </c>
      <c r="DC61" s="228">
        <v>-0.97</v>
      </c>
      <c r="DD61" s="228">
        <v>-0.97</v>
      </c>
      <c r="DE61" s="228">
        <v>46.41</v>
      </c>
      <c r="DF61" s="228">
        <v>46.45</v>
      </c>
      <c r="DG61" s="228">
        <v>-14.28</v>
      </c>
      <c r="DH61" s="228">
        <v>-0.04</v>
      </c>
      <c r="DI61" s="228">
        <v>31.13</v>
      </c>
      <c r="DJ61" s="228">
        <v>32.450000000000003</v>
      </c>
      <c r="DK61" s="228">
        <v>-1.32</v>
      </c>
      <c r="DL61" s="228">
        <v>-1.32</v>
      </c>
      <c r="DM61" s="228">
        <v>34.06</v>
      </c>
      <c r="DN61" s="228">
        <v>34.31</v>
      </c>
      <c r="DO61" s="228">
        <v>-0.25</v>
      </c>
      <c r="DP61" s="228">
        <v>-0.25</v>
      </c>
      <c r="DQ61" s="228">
        <v>0.73</v>
      </c>
      <c r="DR61" s="228">
        <v>0.69</v>
      </c>
      <c r="DS61" s="228">
        <v>0.04</v>
      </c>
      <c r="DT61" s="229">
        <v>5.8000000000000003E-2</v>
      </c>
      <c r="DU61" s="228">
        <v>320</v>
      </c>
      <c r="DV61" s="228">
        <v>320</v>
      </c>
      <c r="DW61" s="228">
        <v>0.52</v>
      </c>
      <c r="DX61" s="228">
        <v>0.53</v>
      </c>
      <c r="DY61" s="228">
        <v>-0.01</v>
      </c>
      <c r="DZ61" s="229">
        <v>-1.89E-2</v>
      </c>
      <c r="EA61" s="229">
        <v>1.01E-2</v>
      </c>
      <c r="EB61" s="230">
        <v>2291625</v>
      </c>
      <c r="EC61" s="229">
        <v>5.3E-3</v>
      </c>
      <c r="ED61" s="229">
        <v>1.01E-2</v>
      </c>
      <c r="EE61" s="228">
        <v>2.17</v>
      </c>
      <c r="EF61" s="229">
        <v>6.4999999999999997E-3</v>
      </c>
      <c r="EG61" s="230">
        <v>6036796</v>
      </c>
      <c r="EH61" s="230">
        <v>15777295</v>
      </c>
      <c r="EI61" s="229">
        <v>-0.61739999999999995</v>
      </c>
      <c r="EJ61" s="229">
        <v>0.4284</v>
      </c>
      <c r="EK61" s="231">
        <v>2093.65</v>
      </c>
      <c r="EL61" s="231">
        <v>1004.03</v>
      </c>
      <c r="EM61" s="228">
        <v>774.7</v>
      </c>
      <c r="EN61" s="228">
        <v>200.06</v>
      </c>
      <c r="EO61" s="231">
        <v>3872.38</v>
      </c>
      <c r="EP61" s="231">
        <v>3152.63</v>
      </c>
      <c r="EQ61" s="228">
        <v>719.75</v>
      </c>
      <c r="ER61" s="229">
        <v>0.2283</v>
      </c>
      <c r="ES61" s="231">
        <v>1650.09</v>
      </c>
      <c r="ET61" s="231">
        <v>1122.08</v>
      </c>
      <c r="EU61" s="231">
        <v>8536.7099999999991</v>
      </c>
      <c r="EV61" s="231">
        <v>1361988292</v>
      </c>
      <c r="EW61" s="231">
        <v>11308.88</v>
      </c>
      <c r="EX61" s="231">
        <v>11060.44</v>
      </c>
      <c r="EY61" s="228">
        <v>248.44</v>
      </c>
      <c r="EZ61" s="229">
        <v>2.2499999999999999E-2</v>
      </c>
      <c r="FA61" s="229">
        <v>0.248</v>
      </c>
      <c r="FB61" s="227" t="s">
        <v>555</v>
      </c>
      <c r="FC61">
        <f t="shared" si="0"/>
        <v>86</v>
      </c>
    </row>
    <row r="62" spans="1:159" ht="17.25" thickBot="1" x14ac:dyDescent="0.3">
      <c r="A62" s="226">
        <v>45936</v>
      </c>
      <c r="B62" s="227" t="s">
        <v>162</v>
      </c>
      <c r="C62" s="227" t="s">
        <v>211</v>
      </c>
      <c r="D62" s="228">
        <v>1800</v>
      </c>
      <c r="E62" s="228">
        <v>22</v>
      </c>
      <c r="F62" s="228">
        <v>401.45</v>
      </c>
      <c r="G62" s="228">
        <v>399.35</v>
      </c>
      <c r="H62" s="228">
        <v>2.1</v>
      </c>
      <c r="I62" s="229">
        <v>5.3E-3</v>
      </c>
      <c r="J62" s="228">
        <v>399.95</v>
      </c>
      <c r="K62" s="228">
        <v>398.05</v>
      </c>
      <c r="L62" s="228">
        <v>1.9</v>
      </c>
      <c r="M62" s="229">
        <v>4.7999999999999996E-3</v>
      </c>
      <c r="N62" s="228">
        <v>401.45</v>
      </c>
      <c r="O62" s="228">
        <v>399.35</v>
      </c>
      <c r="P62" s="228">
        <v>2.1</v>
      </c>
      <c r="Q62" s="229">
        <v>5.3E-3</v>
      </c>
      <c r="R62" s="228">
        <v>403.8</v>
      </c>
      <c r="S62" s="228">
        <v>401.65</v>
      </c>
      <c r="T62" s="228">
        <v>2.15</v>
      </c>
      <c r="U62" s="229">
        <v>5.4000000000000003E-3</v>
      </c>
      <c r="V62" s="228">
        <v>405.9</v>
      </c>
      <c r="W62" s="228">
        <v>403.45</v>
      </c>
      <c r="X62" s="228">
        <v>2.4500000000000002</v>
      </c>
      <c r="Y62" s="229">
        <v>6.1000000000000004E-3</v>
      </c>
      <c r="Z62" s="228">
        <v>1.5</v>
      </c>
      <c r="AA62" s="228">
        <v>1.3</v>
      </c>
      <c r="AB62" s="228">
        <v>0.2</v>
      </c>
      <c r="AC62" s="229">
        <v>3.8E-3</v>
      </c>
      <c r="AD62" s="228">
        <v>1.5</v>
      </c>
      <c r="AE62" s="228">
        <v>1.3</v>
      </c>
      <c r="AF62" s="228">
        <v>0.2</v>
      </c>
      <c r="AG62" s="229">
        <v>3.8E-3</v>
      </c>
      <c r="AH62" s="228">
        <v>3.85</v>
      </c>
      <c r="AI62" s="228">
        <v>3.6</v>
      </c>
      <c r="AJ62" s="228">
        <v>0.25</v>
      </c>
      <c r="AK62" s="229">
        <v>9.5999999999999992E-3</v>
      </c>
      <c r="AL62" s="228">
        <v>5.95</v>
      </c>
      <c r="AM62" s="228">
        <v>5.4</v>
      </c>
      <c r="AN62" s="228">
        <v>0.55000000000000004</v>
      </c>
      <c r="AO62" s="229">
        <v>1.49E-2</v>
      </c>
      <c r="AP62" s="228">
        <v>400.32</v>
      </c>
      <c r="AQ62" s="228">
        <v>402.6</v>
      </c>
      <c r="AR62" s="228">
        <v>0</v>
      </c>
      <c r="AS62" s="228">
        <v>120</v>
      </c>
      <c r="AT62" s="228">
        <v>131</v>
      </c>
      <c r="AU62" s="228">
        <v>-11</v>
      </c>
      <c r="AV62" s="229">
        <v>-8.3099999999999993E-2</v>
      </c>
      <c r="AW62" s="228">
        <v>111</v>
      </c>
      <c r="AX62" s="228">
        <v>122</v>
      </c>
      <c r="AY62" s="228">
        <v>-11</v>
      </c>
      <c r="AZ62" s="229">
        <v>-9.06E-2</v>
      </c>
      <c r="BA62" s="228">
        <v>9</v>
      </c>
      <c r="BB62" s="228">
        <v>8</v>
      </c>
      <c r="BC62" s="228">
        <v>0</v>
      </c>
      <c r="BD62" s="229">
        <v>4.4200000000000003E-2</v>
      </c>
      <c r="BE62" s="228">
        <v>1</v>
      </c>
      <c r="BF62" s="228">
        <v>1</v>
      </c>
      <c r="BG62" s="228">
        <v>0</v>
      </c>
      <c r="BH62" s="229">
        <v>-0.2</v>
      </c>
      <c r="BI62" s="228">
        <v>244</v>
      </c>
      <c r="BJ62" s="228">
        <v>290</v>
      </c>
      <c r="BK62" s="228">
        <v>-47</v>
      </c>
      <c r="BL62" s="229">
        <v>-0.16070000000000001</v>
      </c>
      <c r="BM62" s="228">
        <v>90</v>
      </c>
      <c r="BN62" s="228">
        <v>109</v>
      </c>
      <c r="BO62" s="228">
        <v>-19</v>
      </c>
      <c r="BP62" s="229">
        <v>-0.17560000000000001</v>
      </c>
      <c r="BQ62" s="228">
        <v>454</v>
      </c>
      <c r="BR62" s="228">
        <v>531</v>
      </c>
      <c r="BS62" s="228">
        <v>-77</v>
      </c>
      <c r="BT62" s="229">
        <v>-0.14460000000000001</v>
      </c>
      <c r="BU62" s="230">
        <v>1426684</v>
      </c>
      <c r="BV62" s="230">
        <v>1809841</v>
      </c>
      <c r="BW62" s="230">
        <v>-383157</v>
      </c>
      <c r="BX62" s="229">
        <v>-0.2117</v>
      </c>
      <c r="BY62" s="230">
        <v>1227</v>
      </c>
      <c r="BZ62" s="230">
        <v>1219</v>
      </c>
      <c r="CA62" s="228">
        <v>8</v>
      </c>
      <c r="CB62" s="229">
        <v>6.4999999999999997E-3</v>
      </c>
      <c r="CC62" s="230">
        <v>1183</v>
      </c>
      <c r="CD62" s="230">
        <v>1175</v>
      </c>
      <c r="CE62" s="228">
        <v>8</v>
      </c>
      <c r="CF62" s="229">
        <v>6.6E-3</v>
      </c>
      <c r="CG62" s="228">
        <v>43</v>
      </c>
      <c r="CH62" s="228">
        <v>43</v>
      </c>
      <c r="CI62" s="228">
        <v>0</v>
      </c>
      <c r="CJ62" s="229">
        <v>0</v>
      </c>
      <c r="CK62" s="228">
        <v>1</v>
      </c>
      <c r="CL62" s="228">
        <v>1</v>
      </c>
      <c r="CM62" s="228">
        <v>0</v>
      </c>
      <c r="CN62" s="229">
        <v>7.1400000000000005E-2</v>
      </c>
      <c r="CO62" s="228">
        <v>353</v>
      </c>
      <c r="CP62" s="228">
        <v>348</v>
      </c>
      <c r="CQ62" s="228">
        <v>5</v>
      </c>
      <c r="CR62" s="229">
        <v>1.4999999999999999E-2</v>
      </c>
      <c r="CS62" s="228">
        <v>264</v>
      </c>
      <c r="CT62" s="228">
        <v>257</v>
      </c>
      <c r="CU62" s="228">
        <v>7</v>
      </c>
      <c r="CV62" s="229">
        <v>2.58E-2</v>
      </c>
      <c r="CW62" s="230">
        <v>1844</v>
      </c>
      <c r="CX62" s="230">
        <v>1824</v>
      </c>
      <c r="CY62" s="228">
        <v>20</v>
      </c>
      <c r="CZ62" s="229">
        <v>1.0800000000000001E-2</v>
      </c>
      <c r="DA62" s="228">
        <v>25.02</v>
      </c>
      <c r="DB62" s="228">
        <v>24.97</v>
      </c>
      <c r="DC62" s="228">
        <v>0.05</v>
      </c>
      <c r="DD62" s="228">
        <v>0.05</v>
      </c>
      <c r="DE62" s="228">
        <v>36.19</v>
      </c>
      <c r="DF62" s="228">
        <v>36.270000000000003</v>
      </c>
      <c r="DG62" s="228">
        <v>-11.17</v>
      </c>
      <c r="DH62" s="228">
        <v>-0.08</v>
      </c>
      <c r="DI62" s="228">
        <v>24.91</v>
      </c>
      <c r="DJ62" s="228">
        <v>24.68</v>
      </c>
      <c r="DK62" s="228">
        <v>0.23</v>
      </c>
      <c r="DL62" s="228">
        <v>0.23</v>
      </c>
      <c r="DM62" s="228">
        <v>25.29</v>
      </c>
      <c r="DN62" s="228">
        <v>25.75</v>
      </c>
      <c r="DO62" s="228">
        <v>-0.46</v>
      </c>
      <c r="DP62" s="228">
        <v>-0.46</v>
      </c>
      <c r="DQ62" s="228">
        <v>0.75</v>
      </c>
      <c r="DR62" s="228">
        <v>0.74</v>
      </c>
      <c r="DS62" s="228">
        <v>0.01</v>
      </c>
      <c r="DT62" s="229">
        <v>1.35E-2</v>
      </c>
      <c r="DU62" s="228">
        <v>400</v>
      </c>
      <c r="DV62" s="228">
        <v>400</v>
      </c>
      <c r="DW62" s="228">
        <v>0.37</v>
      </c>
      <c r="DX62" s="228">
        <v>0.38</v>
      </c>
      <c r="DY62" s="228">
        <v>-0.01</v>
      </c>
      <c r="DZ62" s="229">
        <v>-2.63E-2</v>
      </c>
      <c r="EA62" s="229">
        <v>3.5799999999999998E-2</v>
      </c>
      <c r="EB62" s="230">
        <v>1090800</v>
      </c>
      <c r="EC62" s="229">
        <v>5.8999999999999999E-3</v>
      </c>
      <c r="ED62" s="229">
        <v>3.5799999999999998E-2</v>
      </c>
      <c r="EE62" s="228">
        <v>2.2799999999999998</v>
      </c>
      <c r="EF62" s="229">
        <v>5.7000000000000002E-3</v>
      </c>
      <c r="EG62" s="230">
        <v>581011</v>
      </c>
      <c r="EH62" s="230">
        <v>985319</v>
      </c>
      <c r="EI62" s="229">
        <v>-0.4103</v>
      </c>
      <c r="EJ62" s="229">
        <v>0.40720000000000001</v>
      </c>
      <c r="EK62" s="228">
        <v>252.99</v>
      </c>
      <c r="EL62" s="228">
        <v>89.48</v>
      </c>
      <c r="EM62" s="228">
        <v>120.1</v>
      </c>
      <c r="EN62" s="228">
        <v>52.1</v>
      </c>
      <c r="EO62" s="228">
        <v>462.58</v>
      </c>
      <c r="EP62" s="228">
        <v>536.26</v>
      </c>
      <c r="EQ62" s="228">
        <v>-73.680000000000007</v>
      </c>
      <c r="ER62" s="229">
        <v>-0.13739999999999999</v>
      </c>
      <c r="ES62" s="228">
        <v>365.2</v>
      </c>
      <c r="ET62" s="228">
        <v>258.97000000000003</v>
      </c>
      <c r="EU62" s="231">
        <v>1227.1099999999999</v>
      </c>
      <c r="EV62" s="231">
        <v>68856800</v>
      </c>
      <c r="EW62" s="231">
        <v>1851.29</v>
      </c>
      <c r="EX62" s="231">
        <v>1824.34</v>
      </c>
      <c r="EY62" s="228">
        <v>26.95</v>
      </c>
      <c r="EZ62" s="229">
        <v>1.4800000000000001E-2</v>
      </c>
      <c r="FA62" s="229">
        <v>0.66700000000000004</v>
      </c>
      <c r="FB62" s="227" t="s">
        <v>555</v>
      </c>
      <c r="FC62">
        <f t="shared" si="0"/>
        <v>44</v>
      </c>
    </row>
    <row r="63" spans="1:159" ht="17.25" thickBot="1" x14ac:dyDescent="0.3">
      <c r="A63" s="226">
        <v>45936</v>
      </c>
      <c r="B63" s="227" t="s">
        <v>172</v>
      </c>
      <c r="C63" s="227" t="s">
        <v>212</v>
      </c>
      <c r="D63" s="228">
        <v>5000</v>
      </c>
      <c r="E63" s="228">
        <v>22</v>
      </c>
      <c r="F63" s="228">
        <v>194.7</v>
      </c>
      <c r="G63" s="228">
        <v>193.59</v>
      </c>
      <c r="H63" s="228">
        <v>1.1100000000000001</v>
      </c>
      <c r="I63" s="229">
        <v>5.7000000000000002E-3</v>
      </c>
      <c r="J63" s="228">
        <v>193.66</v>
      </c>
      <c r="K63" s="228">
        <v>192.37</v>
      </c>
      <c r="L63" s="228">
        <v>1.29</v>
      </c>
      <c r="M63" s="229">
        <v>6.7000000000000002E-3</v>
      </c>
      <c r="N63" s="228">
        <v>194.7</v>
      </c>
      <c r="O63" s="228">
        <v>193.59</v>
      </c>
      <c r="P63" s="228">
        <v>1.1100000000000001</v>
      </c>
      <c r="Q63" s="229">
        <v>5.7000000000000002E-3</v>
      </c>
      <c r="R63" s="228">
        <v>195.7</v>
      </c>
      <c r="S63" s="228">
        <v>194.67</v>
      </c>
      <c r="T63" s="228">
        <v>1.03</v>
      </c>
      <c r="U63" s="229">
        <v>5.3E-3</v>
      </c>
      <c r="V63" s="228">
        <v>196.99</v>
      </c>
      <c r="W63" s="228">
        <v>195.9</v>
      </c>
      <c r="X63" s="228">
        <v>1.0900000000000001</v>
      </c>
      <c r="Y63" s="229">
        <v>5.5999999999999999E-3</v>
      </c>
      <c r="Z63" s="228">
        <v>1.04</v>
      </c>
      <c r="AA63" s="228">
        <v>1.22</v>
      </c>
      <c r="AB63" s="228">
        <v>-0.18</v>
      </c>
      <c r="AC63" s="229">
        <v>5.4000000000000003E-3</v>
      </c>
      <c r="AD63" s="228">
        <v>1.04</v>
      </c>
      <c r="AE63" s="228">
        <v>1.22</v>
      </c>
      <c r="AF63" s="228">
        <v>-0.18</v>
      </c>
      <c r="AG63" s="229">
        <v>5.4000000000000003E-3</v>
      </c>
      <c r="AH63" s="228">
        <v>2.04</v>
      </c>
      <c r="AI63" s="228">
        <v>2.2999999999999998</v>
      </c>
      <c r="AJ63" s="228">
        <v>-0.26</v>
      </c>
      <c r="AK63" s="229">
        <v>1.0500000000000001E-2</v>
      </c>
      <c r="AL63" s="228">
        <v>3.33</v>
      </c>
      <c r="AM63" s="228">
        <v>3.53</v>
      </c>
      <c r="AN63" s="228">
        <v>-0.2</v>
      </c>
      <c r="AO63" s="229">
        <v>1.72E-2</v>
      </c>
      <c r="AP63" s="228">
        <v>194.1</v>
      </c>
      <c r="AQ63" s="228">
        <v>195.14</v>
      </c>
      <c r="AR63" s="228">
        <v>0</v>
      </c>
      <c r="AS63" s="228">
        <v>342</v>
      </c>
      <c r="AT63" s="228">
        <v>258</v>
      </c>
      <c r="AU63" s="228">
        <v>84</v>
      </c>
      <c r="AV63" s="229">
        <v>0.32600000000000001</v>
      </c>
      <c r="AW63" s="228">
        <v>327</v>
      </c>
      <c r="AX63" s="228">
        <v>243</v>
      </c>
      <c r="AY63" s="228">
        <v>84</v>
      </c>
      <c r="AZ63" s="229">
        <v>0.34789999999999999</v>
      </c>
      <c r="BA63" s="228">
        <v>13</v>
      </c>
      <c r="BB63" s="228">
        <v>13</v>
      </c>
      <c r="BC63" s="228">
        <v>0</v>
      </c>
      <c r="BD63" s="229">
        <v>2.2700000000000001E-2</v>
      </c>
      <c r="BE63" s="228">
        <v>1</v>
      </c>
      <c r="BF63" s="228">
        <v>2</v>
      </c>
      <c r="BG63" s="228">
        <v>-1</v>
      </c>
      <c r="BH63" s="229">
        <v>-0.4</v>
      </c>
      <c r="BI63" s="230">
        <v>1601</v>
      </c>
      <c r="BJ63" s="228">
        <v>628</v>
      </c>
      <c r="BK63" s="228">
        <v>973</v>
      </c>
      <c r="BL63" s="229">
        <v>1.5509999999999999</v>
      </c>
      <c r="BM63" s="228">
        <v>519</v>
      </c>
      <c r="BN63" s="228">
        <v>321</v>
      </c>
      <c r="BO63" s="228">
        <v>199</v>
      </c>
      <c r="BP63" s="229">
        <v>0.61950000000000005</v>
      </c>
      <c r="BQ63" s="230">
        <v>2462</v>
      </c>
      <c r="BR63" s="230">
        <v>1206</v>
      </c>
      <c r="BS63" s="230">
        <v>1256</v>
      </c>
      <c r="BT63" s="229">
        <v>1.0416000000000001</v>
      </c>
      <c r="BU63" s="230">
        <v>5221534</v>
      </c>
      <c r="BV63" s="230">
        <v>6271763</v>
      </c>
      <c r="BW63" s="230">
        <v>-1050229</v>
      </c>
      <c r="BX63" s="229">
        <v>-0.16750000000000001</v>
      </c>
      <c r="BY63" s="230">
        <v>1791</v>
      </c>
      <c r="BZ63" s="230">
        <v>1769</v>
      </c>
      <c r="CA63" s="228">
        <v>22</v>
      </c>
      <c r="CB63" s="229">
        <v>1.2699999999999999E-2</v>
      </c>
      <c r="CC63" s="230">
        <v>1745</v>
      </c>
      <c r="CD63" s="230">
        <v>1725</v>
      </c>
      <c r="CE63" s="228">
        <v>20</v>
      </c>
      <c r="CF63" s="229">
        <v>1.1599999999999999E-2</v>
      </c>
      <c r="CG63" s="228">
        <v>43</v>
      </c>
      <c r="CH63" s="228">
        <v>42</v>
      </c>
      <c r="CI63" s="228">
        <v>1</v>
      </c>
      <c r="CJ63" s="229">
        <v>3.49E-2</v>
      </c>
      <c r="CK63" s="228">
        <v>3</v>
      </c>
      <c r="CL63" s="228">
        <v>2</v>
      </c>
      <c r="CM63" s="228">
        <v>1</v>
      </c>
      <c r="CN63" s="229">
        <v>0.42859999999999998</v>
      </c>
      <c r="CO63" s="228">
        <v>829</v>
      </c>
      <c r="CP63" s="228">
        <v>583</v>
      </c>
      <c r="CQ63" s="228">
        <v>246</v>
      </c>
      <c r="CR63" s="229">
        <v>0.42130000000000001</v>
      </c>
      <c r="CS63" s="228">
        <v>574</v>
      </c>
      <c r="CT63" s="228">
        <v>491</v>
      </c>
      <c r="CU63" s="228">
        <v>83</v>
      </c>
      <c r="CV63" s="229">
        <v>0.1696</v>
      </c>
      <c r="CW63" s="230">
        <v>3195</v>
      </c>
      <c r="CX63" s="230">
        <v>2843</v>
      </c>
      <c r="CY63" s="228">
        <v>351</v>
      </c>
      <c r="CZ63" s="229">
        <v>0.1236</v>
      </c>
      <c r="DA63" s="228">
        <v>24.42</v>
      </c>
      <c r="DB63" s="228">
        <v>21.98</v>
      </c>
      <c r="DC63" s="228">
        <v>2.44</v>
      </c>
      <c r="DD63" s="228">
        <v>2.44</v>
      </c>
      <c r="DE63" s="228">
        <v>28.47</v>
      </c>
      <c r="DF63" s="228">
        <v>28.53</v>
      </c>
      <c r="DG63" s="228">
        <v>-4.05</v>
      </c>
      <c r="DH63" s="228">
        <v>-0.06</v>
      </c>
      <c r="DI63" s="228">
        <v>24.52</v>
      </c>
      <c r="DJ63" s="228">
        <v>22.15</v>
      </c>
      <c r="DK63" s="228">
        <v>2.37</v>
      </c>
      <c r="DL63" s="228">
        <v>2.37</v>
      </c>
      <c r="DM63" s="228">
        <v>24.09</v>
      </c>
      <c r="DN63" s="228">
        <v>21.63</v>
      </c>
      <c r="DO63" s="228">
        <v>2.46</v>
      </c>
      <c r="DP63" s="228">
        <v>2.46</v>
      </c>
      <c r="DQ63" s="228">
        <v>0.69</v>
      </c>
      <c r="DR63" s="228">
        <v>0.84</v>
      </c>
      <c r="DS63" s="228">
        <v>-0.15</v>
      </c>
      <c r="DT63" s="229">
        <v>-0.17860000000000001</v>
      </c>
      <c r="DU63" s="228">
        <v>200</v>
      </c>
      <c r="DV63" s="228">
        <v>190</v>
      </c>
      <c r="DW63" s="228">
        <v>0.32</v>
      </c>
      <c r="DX63" s="228">
        <v>0.51</v>
      </c>
      <c r="DY63" s="228">
        <v>-0.19</v>
      </c>
      <c r="DZ63" s="229">
        <v>-0.3725</v>
      </c>
      <c r="EA63" s="229">
        <v>2.58E-2</v>
      </c>
      <c r="EB63" s="230">
        <v>2255000</v>
      </c>
      <c r="EC63" s="229">
        <v>5.1000000000000004E-3</v>
      </c>
      <c r="ED63" s="229">
        <v>2.58E-2</v>
      </c>
      <c r="EE63" s="228">
        <v>1.04</v>
      </c>
      <c r="EF63" s="229">
        <v>5.4000000000000003E-3</v>
      </c>
      <c r="EG63" s="230">
        <v>2945281</v>
      </c>
      <c r="EH63" s="230">
        <v>3375471</v>
      </c>
      <c r="EI63" s="229">
        <v>-0.12740000000000001</v>
      </c>
      <c r="EJ63" s="229">
        <v>0.56410000000000005</v>
      </c>
      <c r="EK63" s="231">
        <v>1664.02</v>
      </c>
      <c r="EL63" s="228">
        <v>518.37</v>
      </c>
      <c r="EM63" s="228">
        <v>340.72</v>
      </c>
      <c r="EN63" s="228">
        <v>67.41</v>
      </c>
      <c r="EO63" s="231">
        <v>2523.12</v>
      </c>
      <c r="EP63" s="231">
        <v>1226.78</v>
      </c>
      <c r="EQ63" s="231">
        <v>1296.3399999999999</v>
      </c>
      <c r="ER63" s="229">
        <v>1.0567</v>
      </c>
      <c r="ES63" s="228">
        <v>855.32</v>
      </c>
      <c r="ET63" s="228">
        <v>568.79</v>
      </c>
      <c r="EU63" s="231">
        <v>1791.59</v>
      </c>
      <c r="EV63" s="231">
        <v>338654719</v>
      </c>
      <c r="EW63" s="231">
        <v>3215.71</v>
      </c>
      <c r="EX63" s="231">
        <v>2849.83</v>
      </c>
      <c r="EY63" s="228">
        <v>365.88</v>
      </c>
      <c r="EZ63" s="229">
        <v>0.12839999999999999</v>
      </c>
      <c r="FA63" s="229">
        <v>0.48449999999999999</v>
      </c>
      <c r="FB63" s="227" t="s">
        <v>555</v>
      </c>
      <c r="FC63">
        <f t="shared" si="0"/>
        <v>46</v>
      </c>
    </row>
    <row r="64" spans="1:159" ht="17.25" thickBot="1" x14ac:dyDescent="0.3">
      <c r="A64" s="226">
        <v>45936</v>
      </c>
      <c r="B64" s="227" t="s">
        <v>181</v>
      </c>
      <c r="C64" s="227" t="s">
        <v>480</v>
      </c>
      <c r="D64" s="228">
        <v>65</v>
      </c>
      <c r="E64" s="228">
        <v>22</v>
      </c>
      <c r="F64" s="231">
        <v>26798.6</v>
      </c>
      <c r="G64" s="231">
        <v>26549.7</v>
      </c>
      <c r="H64" s="228">
        <v>248.9</v>
      </c>
      <c r="I64" s="229">
        <v>9.4000000000000004E-3</v>
      </c>
      <c r="J64" s="231">
        <v>26712.05</v>
      </c>
      <c r="K64" s="231">
        <v>26426.75</v>
      </c>
      <c r="L64" s="228">
        <v>285.3</v>
      </c>
      <c r="M64" s="229">
        <v>1.0800000000000001E-2</v>
      </c>
      <c r="N64" s="231">
        <v>26798.6</v>
      </c>
      <c r="O64" s="231">
        <v>26549.7</v>
      </c>
      <c r="P64" s="228">
        <v>248.9</v>
      </c>
      <c r="Q64" s="229">
        <v>9.4000000000000004E-3</v>
      </c>
      <c r="R64" s="231">
        <v>26930</v>
      </c>
      <c r="S64" s="231">
        <v>26700.400000000001</v>
      </c>
      <c r="T64" s="228">
        <v>229.6</v>
      </c>
      <c r="U64" s="229">
        <v>8.6E-3</v>
      </c>
      <c r="V64" s="228">
        <v>0</v>
      </c>
      <c r="W64" s="228">
        <v>0</v>
      </c>
      <c r="X64" s="228">
        <v>0</v>
      </c>
      <c r="Y64" s="229">
        <v>0</v>
      </c>
      <c r="Z64" s="228">
        <v>86.55</v>
      </c>
      <c r="AA64" s="228">
        <v>122.95</v>
      </c>
      <c r="AB64" s="228">
        <v>-36.4</v>
      </c>
      <c r="AC64" s="229">
        <v>3.2000000000000002E-3</v>
      </c>
      <c r="AD64" s="228">
        <v>86.55</v>
      </c>
      <c r="AE64" s="228">
        <v>122.95</v>
      </c>
      <c r="AF64" s="228">
        <v>-36.4</v>
      </c>
      <c r="AG64" s="229">
        <v>3.2000000000000002E-3</v>
      </c>
      <c r="AH64" s="228">
        <v>217.95</v>
      </c>
      <c r="AI64" s="228">
        <v>273.64999999999998</v>
      </c>
      <c r="AJ64" s="228">
        <v>-55.7</v>
      </c>
      <c r="AK64" s="229">
        <v>8.2000000000000007E-3</v>
      </c>
      <c r="AL64" s="228">
        <v>0</v>
      </c>
      <c r="AM64" s="228">
        <v>0</v>
      </c>
      <c r="AN64" s="228">
        <v>0</v>
      </c>
      <c r="AO64" s="229">
        <v>0</v>
      </c>
      <c r="AP64" s="231">
        <v>26703.74</v>
      </c>
      <c r="AQ64" s="231">
        <v>26888.46</v>
      </c>
      <c r="AR64" s="228">
        <v>0</v>
      </c>
      <c r="AS64" s="228">
        <v>73</v>
      </c>
      <c r="AT64" s="228">
        <v>30</v>
      </c>
      <c r="AU64" s="228">
        <v>42</v>
      </c>
      <c r="AV64" s="229">
        <v>1.3966000000000001</v>
      </c>
      <c r="AW64" s="228">
        <v>71</v>
      </c>
      <c r="AX64" s="228">
        <v>29</v>
      </c>
      <c r="AY64" s="228">
        <v>42</v>
      </c>
      <c r="AZ64" s="229">
        <v>1.4639</v>
      </c>
      <c r="BA64" s="228">
        <v>1</v>
      </c>
      <c r="BB64" s="228">
        <v>1</v>
      </c>
      <c r="BC64" s="228">
        <v>0</v>
      </c>
      <c r="BD64" s="229">
        <v>0</v>
      </c>
      <c r="BE64" s="228">
        <v>0</v>
      </c>
      <c r="BF64" s="228">
        <v>0</v>
      </c>
      <c r="BG64" s="228">
        <v>0</v>
      </c>
      <c r="BH64" s="229">
        <v>0</v>
      </c>
      <c r="BI64" s="230">
        <v>6295</v>
      </c>
      <c r="BJ64" s="230">
        <v>3663</v>
      </c>
      <c r="BK64" s="230">
        <v>2632</v>
      </c>
      <c r="BL64" s="229">
        <v>0.71860000000000002</v>
      </c>
      <c r="BM64" s="230">
        <v>3920</v>
      </c>
      <c r="BN64" s="230">
        <v>2418</v>
      </c>
      <c r="BO64" s="230">
        <v>1502</v>
      </c>
      <c r="BP64" s="229">
        <v>0.62109999999999999</v>
      </c>
      <c r="BQ64" s="230">
        <v>10287</v>
      </c>
      <c r="BR64" s="230">
        <v>6111</v>
      </c>
      <c r="BS64" s="230">
        <v>4176</v>
      </c>
      <c r="BT64" s="229">
        <v>0.68340000000000001</v>
      </c>
      <c r="BU64" s="228">
        <v>0</v>
      </c>
      <c r="BV64" s="228">
        <v>0</v>
      </c>
      <c r="BW64" s="228">
        <v>0</v>
      </c>
      <c r="BX64" s="229">
        <v>0</v>
      </c>
      <c r="BY64" s="228">
        <v>82</v>
      </c>
      <c r="BZ64" s="228">
        <v>93</v>
      </c>
      <c r="CA64" s="228">
        <v>-11</v>
      </c>
      <c r="CB64" s="229">
        <v>-0.1215</v>
      </c>
      <c r="CC64" s="228">
        <v>79</v>
      </c>
      <c r="CD64" s="228">
        <v>90</v>
      </c>
      <c r="CE64" s="228">
        <v>-11</v>
      </c>
      <c r="CF64" s="229">
        <v>-0.11990000000000001</v>
      </c>
      <c r="CG64" s="228">
        <v>3</v>
      </c>
      <c r="CH64" s="228">
        <v>3</v>
      </c>
      <c r="CI64" s="228">
        <v>-1</v>
      </c>
      <c r="CJ64" s="229">
        <v>-0.16669999999999999</v>
      </c>
      <c r="CK64" s="228">
        <v>0</v>
      </c>
      <c r="CL64" s="228">
        <v>0</v>
      </c>
      <c r="CM64" s="228">
        <v>0</v>
      </c>
      <c r="CN64" s="229">
        <v>0</v>
      </c>
      <c r="CO64" s="230">
        <v>1998</v>
      </c>
      <c r="CP64" s="230">
        <v>1050</v>
      </c>
      <c r="CQ64" s="228">
        <v>948</v>
      </c>
      <c r="CR64" s="229">
        <v>0.90259999999999996</v>
      </c>
      <c r="CS64" s="230">
        <v>1423</v>
      </c>
      <c r="CT64" s="228">
        <v>613</v>
      </c>
      <c r="CU64" s="228">
        <v>810</v>
      </c>
      <c r="CV64" s="229">
        <v>1.3214999999999999</v>
      </c>
      <c r="CW64" s="230">
        <v>3502</v>
      </c>
      <c r="CX64" s="230">
        <v>1756</v>
      </c>
      <c r="CY64" s="230">
        <v>1746</v>
      </c>
      <c r="CZ64" s="229">
        <v>0.99439999999999995</v>
      </c>
      <c r="DA64" s="228">
        <v>11.29</v>
      </c>
      <c r="DB64" s="228">
        <v>11.14</v>
      </c>
      <c r="DC64" s="228">
        <v>0.15</v>
      </c>
      <c r="DD64" s="228">
        <v>0.15</v>
      </c>
      <c r="DE64" s="228">
        <v>17.920000000000002</v>
      </c>
      <c r="DF64" s="228">
        <v>17.91</v>
      </c>
      <c r="DG64" s="228">
        <v>-6.63</v>
      </c>
      <c r="DH64" s="228">
        <v>0.01</v>
      </c>
      <c r="DI64" s="228">
        <v>10.78</v>
      </c>
      <c r="DJ64" s="228">
        <v>10.83</v>
      </c>
      <c r="DK64" s="228">
        <v>-0.05</v>
      </c>
      <c r="DL64" s="228">
        <v>-0.05</v>
      </c>
      <c r="DM64" s="228">
        <v>12.12</v>
      </c>
      <c r="DN64" s="228">
        <v>11.6</v>
      </c>
      <c r="DO64" s="228">
        <v>0.52</v>
      </c>
      <c r="DP64" s="228">
        <v>0.52</v>
      </c>
      <c r="DQ64" s="228">
        <v>0.71</v>
      </c>
      <c r="DR64" s="228">
        <v>0.57999999999999996</v>
      </c>
      <c r="DS64" s="228">
        <v>0.13</v>
      </c>
      <c r="DT64" s="229">
        <v>0.22409999999999999</v>
      </c>
      <c r="DU64" s="231">
        <v>27000</v>
      </c>
      <c r="DV64" s="231">
        <v>25000</v>
      </c>
      <c r="DW64" s="228">
        <v>0.62</v>
      </c>
      <c r="DX64" s="228">
        <v>0.66</v>
      </c>
      <c r="DY64" s="228">
        <v>-0.04</v>
      </c>
      <c r="DZ64" s="229">
        <v>-6.0600000000000001E-2</v>
      </c>
      <c r="EA64" s="229">
        <v>3.1899999999999998E-2</v>
      </c>
      <c r="EB64" s="230">
        <v>1170</v>
      </c>
      <c r="EC64" s="229">
        <v>4.8999999999999998E-3</v>
      </c>
      <c r="ED64" s="229">
        <v>3.1899999999999998E-2</v>
      </c>
      <c r="EE64" s="228">
        <v>184.72</v>
      </c>
      <c r="EF64" s="229">
        <v>6.8999999999999999E-3</v>
      </c>
      <c r="EG64" s="228">
        <v>0</v>
      </c>
      <c r="EH64" s="228">
        <v>0</v>
      </c>
      <c r="EI64" s="229">
        <v>0</v>
      </c>
      <c r="EJ64" s="229">
        <v>0</v>
      </c>
      <c r="EK64" s="231">
        <v>6407.9</v>
      </c>
      <c r="EL64" s="231">
        <v>3853.6</v>
      </c>
      <c r="EM64" s="228">
        <v>72.39</v>
      </c>
      <c r="EN64" s="228">
        <v>0</v>
      </c>
      <c r="EO64" s="231">
        <v>10333.89</v>
      </c>
      <c r="EP64" s="231">
        <v>6107.77</v>
      </c>
      <c r="EQ64" s="231">
        <v>4226.12</v>
      </c>
      <c r="ER64" s="229">
        <v>0.69189999999999996</v>
      </c>
      <c r="ES64" s="231">
        <v>2032.79</v>
      </c>
      <c r="ET64" s="231">
        <v>1379.37</v>
      </c>
      <c r="EU64" s="228">
        <v>81.88</v>
      </c>
      <c r="EV64" s="228">
        <v>0</v>
      </c>
      <c r="EW64" s="231">
        <v>3494.04</v>
      </c>
      <c r="EX64" s="231">
        <v>1746.52</v>
      </c>
      <c r="EY64" s="231">
        <v>1747.52</v>
      </c>
      <c r="EZ64" s="229">
        <v>1.0005999999999999</v>
      </c>
      <c r="FA64" s="229">
        <v>0</v>
      </c>
      <c r="FB64" s="227" t="s">
        <v>556</v>
      </c>
      <c r="FC64">
        <f t="shared" si="0"/>
        <v>3</v>
      </c>
    </row>
    <row r="65" spans="1:159" ht="17.25" thickBot="1" x14ac:dyDescent="0.3">
      <c r="A65" s="226">
        <v>45936</v>
      </c>
      <c r="B65" s="227" t="s">
        <v>170</v>
      </c>
      <c r="C65" s="227" t="s">
        <v>679</v>
      </c>
      <c r="D65" s="228">
        <v>775</v>
      </c>
      <c r="E65" s="228">
        <v>22</v>
      </c>
      <c r="F65" s="231">
        <v>1057.45</v>
      </c>
      <c r="G65" s="228">
        <v>986.8</v>
      </c>
      <c r="H65" s="228">
        <v>70.650000000000006</v>
      </c>
      <c r="I65" s="229">
        <v>7.1599999999999997E-2</v>
      </c>
      <c r="J65" s="231">
        <v>1053.9000000000001</v>
      </c>
      <c r="K65" s="228">
        <v>980.4</v>
      </c>
      <c r="L65" s="228">
        <v>73.5</v>
      </c>
      <c r="M65" s="229">
        <v>7.4999999999999997E-2</v>
      </c>
      <c r="N65" s="231">
        <v>1057.45</v>
      </c>
      <c r="O65" s="228">
        <v>986.8</v>
      </c>
      <c r="P65" s="228">
        <v>70.650000000000006</v>
      </c>
      <c r="Q65" s="229">
        <v>7.1599999999999997E-2</v>
      </c>
      <c r="R65" s="231">
        <v>1058.0999999999999</v>
      </c>
      <c r="S65" s="228">
        <v>986.9</v>
      </c>
      <c r="T65" s="228">
        <v>71.2</v>
      </c>
      <c r="U65" s="229">
        <v>7.2099999999999997E-2</v>
      </c>
      <c r="V65" s="231">
        <v>1056.7</v>
      </c>
      <c r="W65" s="228">
        <v>985.1</v>
      </c>
      <c r="X65" s="228">
        <v>71.599999999999994</v>
      </c>
      <c r="Y65" s="229">
        <v>7.2700000000000001E-2</v>
      </c>
      <c r="Z65" s="228">
        <v>3.55</v>
      </c>
      <c r="AA65" s="228">
        <v>6.4</v>
      </c>
      <c r="AB65" s="228">
        <v>-2.85</v>
      </c>
      <c r="AC65" s="229">
        <v>3.3999999999999998E-3</v>
      </c>
      <c r="AD65" s="228">
        <v>3.55</v>
      </c>
      <c r="AE65" s="228">
        <v>6.4</v>
      </c>
      <c r="AF65" s="228">
        <v>-2.85</v>
      </c>
      <c r="AG65" s="229">
        <v>3.3999999999999998E-3</v>
      </c>
      <c r="AH65" s="228">
        <v>4.2</v>
      </c>
      <c r="AI65" s="228">
        <v>6.5</v>
      </c>
      <c r="AJ65" s="228">
        <v>-2.2999999999999998</v>
      </c>
      <c r="AK65" s="229">
        <v>4.0000000000000001E-3</v>
      </c>
      <c r="AL65" s="228">
        <v>2.8</v>
      </c>
      <c r="AM65" s="228">
        <v>4.7</v>
      </c>
      <c r="AN65" s="228">
        <v>-1.9</v>
      </c>
      <c r="AO65" s="229">
        <v>2.7000000000000001E-3</v>
      </c>
      <c r="AP65" s="231">
        <v>1042.27</v>
      </c>
      <c r="AQ65" s="231">
        <v>1043.7</v>
      </c>
      <c r="AR65" s="228">
        <v>0</v>
      </c>
      <c r="AS65" s="228">
        <v>907</v>
      </c>
      <c r="AT65" s="228">
        <v>237</v>
      </c>
      <c r="AU65" s="228">
        <v>670</v>
      </c>
      <c r="AV65" s="229">
        <v>2.8260999999999998</v>
      </c>
      <c r="AW65" s="228">
        <v>850</v>
      </c>
      <c r="AX65" s="228">
        <v>225</v>
      </c>
      <c r="AY65" s="228">
        <v>625</v>
      </c>
      <c r="AZ65" s="229">
        <v>2.7719999999999998</v>
      </c>
      <c r="BA65" s="228">
        <v>54</v>
      </c>
      <c r="BB65" s="228">
        <v>11</v>
      </c>
      <c r="BC65" s="228">
        <v>43</v>
      </c>
      <c r="BD65" s="229">
        <v>3.8235000000000001</v>
      </c>
      <c r="BE65" s="228">
        <v>3</v>
      </c>
      <c r="BF65" s="228">
        <v>1</v>
      </c>
      <c r="BG65" s="228">
        <v>3</v>
      </c>
      <c r="BH65" s="229">
        <v>4.7142999999999997</v>
      </c>
      <c r="BI65" s="230">
        <v>5528</v>
      </c>
      <c r="BJ65" s="228">
        <v>409</v>
      </c>
      <c r="BK65" s="230">
        <v>5119</v>
      </c>
      <c r="BL65" s="229">
        <v>12.530799999999999</v>
      </c>
      <c r="BM65" s="230">
        <v>1922</v>
      </c>
      <c r="BN65" s="228">
        <v>258</v>
      </c>
      <c r="BO65" s="230">
        <v>1664</v>
      </c>
      <c r="BP65" s="229">
        <v>6.4457000000000004</v>
      </c>
      <c r="BQ65" s="230">
        <v>8357</v>
      </c>
      <c r="BR65" s="228">
        <v>904</v>
      </c>
      <c r="BS65" s="230">
        <v>7453</v>
      </c>
      <c r="BT65" s="229">
        <v>8.2468000000000004</v>
      </c>
      <c r="BU65" s="230">
        <v>11146361</v>
      </c>
      <c r="BV65" s="230">
        <v>3540491</v>
      </c>
      <c r="BW65" s="230">
        <v>7605870</v>
      </c>
      <c r="BX65" s="229">
        <v>2.1482999999999999</v>
      </c>
      <c r="BY65" s="228">
        <v>923</v>
      </c>
      <c r="BZ65" s="228">
        <v>814</v>
      </c>
      <c r="CA65" s="228">
        <v>110</v>
      </c>
      <c r="CB65" s="229">
        <v>0.13469999999999999</v>
      </c>
      <c r="CC65" s="228">
        <v>890</v>
      </c>
      <c r="CD65" s="228">
        <v>783</v>
      </c>
      <c r="CE65" s="228">
        <v>107</v>
      </c>
      <c r="CF65" s="229">
        <v>0.13639999999999999</v>
      </c>
      <c r="CG65" s="228">
        <v>31</v>
      </c>
      <c r="CH65" s="228">
        <v>30</v>
      </c>
      <c r="CI65" s="228">
        <v>1</v>
      </c>
      <c r="CJ65" s="229">
        <v>4.9299999999999997E-2</v>
      </c>
      <c r="CK65" s="228">
        <v>2</v>
      </c>
      <c r="CL65" s="228">
        <v>0</v>
      </c>
      <c r="CM65" s="228">
        <v>1</v>
      </c>
      <c r="CN65" s="229">
        <v>2.5</v>
      </c>
      <c r="CO65" s="228">
        <v>447</v>
      </c>
      <c r="CP65" s="228">
        <v>192</v>
      </c>
      <c r="CQ65" s="228">
        <v>255</v>
      </c>
      <c r="CR65" s="229">
        <v>1.3244</v>
      </c>
      <c r="CS65" s="228">
        <v>312</v>
      </c>
      <c r="CT65" s="228">
        <v>112</v>
      </c>
      <c r="CU65" s="228">
        <v>200</v>
      </c>
      <c r="CV65" s="229">
        <v>1.7930999999999999</v>
      </c>
      <c r="CW65" s="230">
        <v>1682</v>
      </c>
      <c r="CX65" s="230">
        <v>1118</v>
      </c>
      <c r="CY65" s="228">
        <v>564</v>
      </c>
      <c r="CZ65" s="229">
        <v>0.50509999999999999</v>
      </c>
      <c r="DA65" s="228">
        <v>28.02</v>
      </c>
      <c r="DB65" s="228">
        <v>24.42</v>
      </c>
      <c r="DC65" s="228">
        <v>3.6</v>
      </c>
      <c r="DD65" s="228">
        <v>3.6</v>
      </c>
      <c r="DE65" s="228">
        <v>37.15</v>
      </c>
      <c r="DF65" s="228">
        <v>35.94</v>
      </c>
      <c r="DG65" s="228">
        <v>-9.1300000000000008</v>
      </c>
      <c r="DH65" s="228">
        <v>1.21</v>
      </c>
      <c r="DI65" s="228">
        <v>27.71</v>
      </c>
      <c r="DJ65" s="228">
        <v>24.38</v>
      </c>
      <c r="DK65" s="228">
        <v>3.33</v>
      </c>
      <c r="DL65" s="228">
        <v>3.33</v>
      </c>
      <c r="DM65" s="228">
        <v>28.89</v>
      </c>
      <c r="DN65" s="228">
        <v>24.49</v>
      </c>
      <c r="DO65" s="228">
        <v>4.4000000000000004</v>
      </c>
      <c r="DP65" s="228">
        <v>4.4000000000000004</v>
      </c>
      <c r="DQ65" s="228">
        <v>0.7</v>
      </c>
      <c r="DR65" s="228">
        <v>0.57999999999999996</v>
      </c>
      <c r="DS65" s="228">
        <v>0.12</v>
      </c>
      <c r="DT65" s="229">
        <v>0.2069</v>
      </c>
      <c r="DU65" s="231">
        <v>1100</v>
      </c>
      <c r="DV65" s="231">
        <v>1000</v>
      </c>
      <c r="DW65" s="228">
        <v>0.35</v>
      </c>
      <c r="DX65" s="228">
        <v>0.63</v>
      </c>
      <c r="DY65" s="228">
        <v>-0.28000000000000003</v>
      </c>
      <c r="DZ65" s="229">
        <v>-0.44440000000000002</v>
      </c>
      <c r="EA65" s="229">
        <v>3.5900000000000001E-2</v>
      </c>
      <c r="EB65" s="230">
        <v>287525</v>
      </c>
      <c r="EC65" s="229">
        <v>5.9999999999999995E-4</v>
      </c>
      <c r="ED65" s="229">
        <v>3.5900000000000001E-2</v>
      </c>
      <c r="EE65" s="228">
        <v>1.43</v>
      </c>
      <c r="EF65" s="229">
        <v>1.4E-3</v>
      </c>
      <c r="EG65" s="230">
        <v>3641262</v>
      </c>
      <c r="EH65" s="230">
        <v>2273593</v>
      </c>
      <c r="EI65" s="229">
        <v>0.60150000000000003</v>
      </c>
      <c r="EJ65" s="229">
        <v>0.32669999999999999</v>
      </c>
      <c r="EK65" s="231">
        <v>5689.88</v>
      </c>
      <c r="EL65" s="231">
        <v>1865.22</v>
      </c>
      <c r="EM65" s="228">
        <v>894.2</v>
      </c>
      <c r="EN65" s="228">
        <v>53.91</v>
      </c>
      <c r="EO65" s="231">
        <v>8449.2999999999993</v>
      </c>
      <c r="EP65" s="228">
        <v>860.18</v>
      </c>
      <c r="EQ65" s="231">
        <v>7589.12</v>
      </c>
      <c r="ER65" s="229">
        <v>8.8226999999999993</v>
      </c>
      <c r="ES65" s="228">
        <v>451.92</v>
      </c>
      <c r="ET65" s="228">
        <v>292.04000000000002</v>
      </c>
      <c r="EU65" s="228">
        <v>923.21</v>
      </c>
      <c r="EV65" s="231">
        <v>62490435</v>
      </c>
      <c r="EW65" s="231">
        <v>1667.18</v>
      </c>
      <c r="EX65" s="231">
        <v>1043.04</v>
      </c>
      <c r="EY65" s="228">
        <v>624.14</v>
      </c>
      <c r="EZ65" s="229">
        <v>0.59840000000000004</v>
      </c>
      <c r="FA65" s="229">
        <v>0.2545</v>
      </c>
      <c r="FB65" s="227" t="s">
        <v>555</v>
      </c>
      <c r="FC65">
        <f t="shared" si="0"/>
        <v>33</v>
      </c>
    </row>
    <row r="66" spans="1:159" ht="17.25" thickBot="1" x14ac:dyDescent="0.3">
      <c r="A66" s="226">
        <v>45936</v>
      </c>
      <c r="B66" s="227" t="s">
        <v>193</v>
      </c>
      <c r="C66" s="227" t="s">
        <v>213</v>
      </c>
      <c r="D66" s="228">
        <v>3150</v>
      </c>
      <c r="E66" s="228">
        <v>22</v>
      </c>
      <c r="F66" s="228">
        <v>177.62</v>
      </c>
      <c r="G66" s="228">
        <v>178.5</v>
      </c>
      <c r="H66" s="228">
        <v>-0.88</v>
      </c>
      <c r="I66" s="229">
        <v>-4.8999999999999998E-3</v>
      </c>
      <c r="J66" s="228">
        <v>176.62</v>
      </c>
      <c r="K66" s="228">
        <v>177.36</v>
      </c>
      <c r="L66" s="228">
        <v>-0.74</v>
      </c>
      <c r="M66" s="229">
        <v>-4.1999999999999997E-3</v>
      </c>
      <c r="N66" s="228">
        <v>177.62</v>
      </c>
      <c r="O66" s="228">
        <v>178.5</v>
      </c>
      <c r="P66" s="228">
        <v>-0.88</v>
      </c>
      <c r="Q66" s="229">
        <v>-4.8999999999999998E-3</v>
      </c>
      <c r="R66" s="228">
        <v>178.64</v>
      </c>
      <c r="S66" s="228">
        <v>179.4</v>
      </c>
      <c r="T66" s="228">
        <v>-0.76</v>
      </c>
      <c r="U66" s="229">
        <v>-4.1999999999999997E-3</v>
      </c>
      <c r="V66" s="228">
        <v>178.6</v>
      </c>
      <c r="W66" s="228">
        <v>180.48</v>
      </c>
      <c r="X66" s="228">
        <v>-1.88</v>
      </c>
      <c r="Y66" s="229">
        <v>-1.04E-2</v>
      </c>
      <c r="Z66" s="228">
        <v>1</v>
      </c>
      <c r="AA66" s="228">
        <v>1.1399999999999999</v>
      </c>
      <c r="AB66" s="228">
        <v>-0.14000000000000001</v>
      </c>
      <c r="AC66" s="229">
        <v>5.7000000000000002E-3</v>
      </c>
      <c r="AD66" s="228">
        <v>1</v>
      </c>
      <c r="AE66" s="228">
        <v>1.1399999999999999</v>
      </c>
      <c r="AF66" s="228">
        <v>-0.14000000000000001</v>
      </c>
      <c r="AG66" s="229">
        <v>5.7000000000000002E-3</v>
      </c>
      <c r="AH66" s="228">
        <v>2.02</v>
      </c>
      <c r="AI66" s="228">
        <v>2.04</v>
      </c>
      <c r="AJ66" s="228">
        <v>-0.02</v>
      </c>
      <c r="AK66" s="229">
        <v>1.14E-2</v>
      </c>
      <c r="AL66" s="228">
        <v>1.98</v>
      </c>
      <c r="AM66" s="228">
        <v>3.12</v>
      </c>
      <c r="AN66" s="228">
        <v>-1.1399999999999999</v>
      </c>
      <c r="AO66" s="229">
        <v>1.12E-2</v>
      </c>
      <c r="AP66" s="228">
        <v>177.59</v>
      </c>
      <c r="AQ66" s="228">
        <v>178.57</v>
      </c>
      <c r="AR66" s="228">
        <v>0</v>
      </c>
      <c r="AS66" s="228">
        <v>177</v>
      </c>
      <c r="AT66" s="228">
        <v>156</v>
      </c>
      <c r="AU66" s="228">
        <v>20</v>
      </c>
      <c r="AV66" s="229">
        <v>0.12959999999999999</v>
      </c>
      <c r="AW66" s="228">
        <v>165</v>
      </c>
      <c r="AX66" s="228">
        <v>146</v>
      </c>
      <c r="AY66" s="228">
        <v>19</v>
      </c>
      <c r="AZ66" s="229">
        <v>0.1288</v>
      </c>
      <c r="BA66" s="228">
        <v>11</v>
      </c>
      <c r="BB66" s="228">
        <v>7</v>
      </c>
      <c r="BC66" s="228">
        <v>4</v>
      </c>
      <c r="BD66" s="229">
        <v>0.53490000000000004</v>
      </c>
      <c r="BE66" s="228">
        <v>0</v>
      </c>
      <c r="BF66" s="228">
        <v>3</v>
      </c>
      <c r="BG66" s="228">
        <v>-2</v>
      </c>
      <c r="BH66" s="229">
        <v>-0.89800000000000002</v>
      </c>
      <c r="BI66" s="228">
        <v>527</v>
      </c>
      <c r="BJ66" s="228">
        <v>445</v>
      </c>
      <c r="BK66" s="228">
        <v>82</v>
      </c>
      <c r="BL66" s="229">
        <v>0.18310000000000001</v>
      </c>
      <c r="BM66" s="228">
        <v>132</v>
      </c>
      <c r="BN66" s="228">
        <v>139</v>
      </c>
      <c r="BO66" s="228">
        <v>-6</v>
      </c>
      <c r="BP66" s="229">
        <v>-4.48E-2</v>
      </c>
      <c r="BQ66" s="228">
        <v>836</v>
      </c>
      <c r="BR66" s="228">
        <v>740</v>
      </c>
      <c r="BS66" s="228">
        <v>96</v>
      </c>
      <c r="BT66" s="229">
        <v>0.12920000000000001</v>
      </c>
      <c r="BU66" s="230">
        <v>5333641</v>
      </c>
      <c r="BV66" s="230">
        <v>8038379</v>
      </c>
      <c r="BW66" s="230">
        <v>-2704738</v>
      </c>
      <c r="BX66" s="229">
        <v>-0.33650000000000002</v>
      </c>
      <c r="BY66" s="230">
        <v>1822</v>
      </c>
      <c r="BZ66" s="230">
        <v>1813</v>
      </c>
      <c r="CA66" s="228">
        <v>9</v>
      </c>
      <c r="CB66" s="229">
        <v>4.7999999999999996E-3</v>
      </c>
      <c r="CC66" s="230">
        <v>1768</v>
      </c>
      <c r="CD66" s="230">
        <v>1763</v>
      </c>
      <c r="CE66" s="228">
        <v>5</v>
      </c>
      <c r="CF66" s="229">
        <v>2.8999999999999998E-3</v>
      </c>
      <c r="CG66" s="228">
        <v>52</v>
      </c>
      <c r="CH66" s="228">
        <v>48</v>
      </c>
      <c r="CI66" s="228">
        <v>4</v>
      </c>
      <c r="CJ66" s="229">
        <v>7.2900000000000006E-2</v>
      </c>
      <c r="CK66" s="228">
        <v>2</v>
      </c>
      <c r="CL66" s="228">
        <v>2</v>
      </c>
      <c r="CM66" s="228">
        <v>0</v>
      </c>
      <c r="CN66" s="229">
        <v>0.1071</v>
      </c>
      <c r="CO66" s="228">
        <v>639</v>
      </c>
      <c r="CP66" s="228">
        <v>551</v>
      </c>
      <c r="CQ66" s="228">
        <v>88</v>
      </c>
      <c r="CR66" s="229">
        <v>0.15939999999999999</v>
      </c>
      <c r="CS66" s="228">
        <v>414</v>
      </c>
      <c r="CT66" s="228">
        <v>394</v>
      </c>
      <c r="CU66" s="228">
        <v>20</v>
      </c>
      <c r="CV66" s="229">
        <v>5.0599999999999999E-2</v>
      </c>
      <c r="CW66" s="230">
        <v>2875</v>
      </c>
      <c r="CX66" s="230">
        <v>2758</v>
      </c>
      <c r="CY66" s="228">
        <v>117</v>
      </c>
      <c r="CZ66" s="229">
        <v>4.2299999999999997E-2</v>
      </c>
      <c r="DA66" s="228">
        <v>26.29</v>
      </c>
      <c r="DB66" s="228">
        <v>24.76</v>
      </c>
      <c r="DC66" s="228">
        <v>1.53</v>
      </c>
      <c r="DD66" s="228">
        <v>1.53</v>
      </c>
      <c r="DE66" s="228">
        <v>36.78</v>
      </c>
      <c r="DF66" s="228">
        <v>36.869999999999997</v>
      </c>
      <c r="DG66" s="228">
        <v>-10.49</v>
      </c>
      <c r="DH66" s="228">
        <v>-0.09</v>
      </c>
      <c r="DI66" s="228">
        <v>26.54</v>
      </c>
      <c r="DJ66" s="228">
        <v>24.92</v>
      </c>
      <c r="DK66" s="228">
        <v>1.62</v>
      </c>
      <c r="DL66" s="228">
        <v>1.62</v>
      </c>
      <c r="DM66" s="228">
        <v>25.31</v>
      </c>
      <c r="DN66" s="228">
        <v>24.25</v>
      </c>
      <c r="DO66" s="228">
        <v>1.06</v>
      </c>
      <c r="DP66" s="228">
        <v>1.06</v>
      </c>
      <c r="DQ66" s="228">
        <v>0.65</v>
      </c>
      <c r="DR66" s="228">
        <v>0.71</v>
      </c>
      <c r="DS66" s="228">
        <v>-0.06</v>
      </c>
      <c r="DT66" s="229">
        <v>-8.4500000000000006E-2</v>
      </c>
      <c r="DU66" s="228">
        <v>180</v>
      </c>
      <c r="DV66" s="228">
        <v>175</v>
      </c>
      <c r="DW66" s="228">
        <v>0.25</v>
      </c>
      <c r="DX66" s="228">
        <v>0.31</v>
      </c>
      <c r="DY66" s="228">
        <v>-0.06</v>
      </c>
      <c r="DZ66" s="229">
        <v>-0.19350000000000001</v>
      </c>
      <c r="EA66" s="229">
        <v>2.9399999999999999E-2</v>
      </c>
      <c r="EB66" s="230">
        <v>2809800</v>
      </c>
      <c r="EC66" s="229">
        <v>5.7000000000000002E-3</v>
      </c>
      <c r="ED66" s="229">
        <v>2.9399999999999999E-2</v>
      </c>
      <c r="EE66" s="228">
        <v>0.98</v>
      </c>
      <c r="EF66" s="229">
        <v>5.4999999999999997E-3</v>
      </c>
      <c r="EG66" s="230">
        <v>2471878</v>
      </c>
      <c r="EH66" s="230">
        <v>4341987</v>
      </c>
      <c r="EI66" s="229">
        <v>-0.43070000000000003</v>
      </c>
      <c r="EJ66" s="229">
        <v>0.46350000000000002</v>
      </c>
      <c r="EK66" s="228">
        <v>551.1</v>
      </c>
      <c r="EL66" s="228">
        <v>133.56</v>
      </c>
      <c r="EM66" s="228">
        <v>176.62</v>
      </c>
      <c r="EN66" s="228">
        <v>110.34</v>
      </c>
      <c r="EO66" s="228">
        <v>861.27</v>
      </c>
      <c r="EP66" s="228">
        <v>761.09</v>
      </c>
      <c r="EQ66" s="228">
        <v>100.18</v>
      </c>
      <c r="ER66" s="229">
        <v>0.13159999999999999</v>
      </c>
      <c r="ES66" s="228">
        <v>663.19</v>
      </c>
      <c r="ET66" s="228">
        <v>419.77</v>
      </c>
      <c r="EU66" s="231">
        <v>1821.99</v>
      </c>
      <c r="EV66" s="231">
        <v>402429848</v>
      </c>
      <c r="EW66" s="231">
        <v>2904.96</v>
      </c>
      <c r="EX66" s="231">
        <v>2796.4</v>
      </c>
      <c r="EY66" s="228">
        <v>108.56</v>
      </c>
      <c r="EZ66" s="229">
        <v>3.8800000000000001E-2</v>
      </c>
      <c r="FA66" s="229">
        <v>0.40210000000000001</v>
      </c>
      <c r="FB66" s="227" t="s">
        <v>567</v>
      </c>
      <c r="FC66">
        <f t="shared" si="0"/>
        <v>54</v>
      </c>
    </row>
    <row r="67" spans="1:159" ht="17.25" thickBot="1" x14ac:dyDescent="0.3">
      <c r="A67" s="226">
        <v>45936</v>
      </c>
      <c r="B67" s="227" t="s">
        <v>170</v>
      </c>
      <c r="C67" s="227" t="s">
        <v>214</v>
      </c>
      <c r="D67" s="228">
        <v>375</v>
      </c>
      <c r="E67" s="228">
        <v>22</v>
      </c>
      <c r="F67" s="231">
        <v>1978.4</v>
      </c>
      <c r="G67" s="231">
        <v>1988</v>
      </c>
      <c r="H67" s="228">
        <v>-9.6</v>
      </c>
      <c r="I67" s="229">
        <v>-4.7999999999999996E-3</v>
      </c>
      <c r="J67" s="231">
        <v>1971.2</v>
      </c>
      <c r="K67" s="231">
        <v>1980.2</v>
      </c>
      <c r="L67" s="228">
        <v>-9</v>
      </c>
      <c r="M67" s="229">
        <v>-4.4999999999999997E-3</v>
      </c>
      <c r="N67" s="231">
        <v>1978.4</v>
      </c>
      <c r="O67" s="231">
        <v>1988</v>
      </c>
      <c r="P67" s="228">
        <v>-9.6</v>
      </c>
      <c r="Q67" s="229">
        <v>-4.7999999999999996E-3</v>
      </c>
      <c r="R67" s="231">
        <v>1986.1</v>
      </c>
      <c r="S67" s="231">
        <v>2000.9</v>
      </c>
      <c r="T67" s="228">
        <v>-14.8</v>
      </c>
      <c r="U67" s="229">
        <v>-7.4000000000000003E-3</v>
      </c>
      <c r="V67" s="231">
        <v>1997</v>
      </c>
      <c r="W67" s="231">
        <v>2008</v>
      </c>
      <c r="X67" s="228">
        <v>-11</v>
      </c>
      <c r="Y67" s="229">
        <v>-5.4999999999999997E-3</v>
      </c>
      <c r="Z67" s="228">
        <v>7.2</v>
      </c>
      <c r="AA67" s="228">
        <v>7.8</v>
      </c>
      <c r="AB67" s="228">
        <v>-0.6</v>
      </c>
      <c r="AC67" s="229">
        <v>3.7000000000000002E-3</v>
      </c>
      <c r="AD67" s="228">
        <v>7.2</v>
      </c>
      <c r="AE67" s="228">
        <v>7.8</v>
      </c>
      <c r="AF67" s="228">
        <v>-0.6</v>
      </c>
      <c r="AG67" s="229">
        <v>3.7000000000000002E-3</v>
      </c>
      <c r="AH67" s="228">
        <v>14.9</v>
      </c>
      <c r="AI67" s="228">
        <v>20.7</v>
      </c>
      <c r="AJ67" s="228">
        <v>-5.8</v>
      </c>
      <c r="AK67" s="229">
        <v>7.6E-3</v>
      </c>
      <c r="AL67" s="228">
        <v>25.8</v>
      </c>
      <c r="AM67" s="228">
        <v>27.8</v>
      </c>
      <c r="AN67" s="228">
        <v>-2</v>
      </c>
      <c r="AO67" s="229">
        <v>1.3100000000000001E-2</v>
      </c>
      <c r="AP67" s="231">
        <v>1967.51</v>
      </c>
      <c r="AQ67" s="231">
        <v>1978.34</v>
      </c>
      <c r="AR67" s="228">
        <v>0</v>
      </c>
      <c r="AS67" s="228">
        <v>112</v>
      </c>
      <c r="AT67" s="228">
        <v>158</v>
      </c>
      <c r="AU67" s="228">
        <v>-46</v>
      </c>
      <c r="AV67" s="229">
        <v>-0.29139999999999999</v>
      </c>
      <c r="AW67" s="228">
        <v>109</v>
      </c>
      <c r="AX67" s="228">
        <v>153</v>
      </c>
      <c r="AY67" s="228">
        <v>-45</v>
      </c>
      <c r="AZ67" s="229">
        <v>-0.29120000000000001</v>
      </c>
      <c r="BA67" s="228">
        <v>3</v>
      </c>
      <c r="BB67" s="228">
        <v>4</v>
      </c>
      <c r="BC67" s="228">
        <v>-1</v>
      </c>
      <c r="BD67" s="229">
        <v>-0.28070000000000001</v>
      </c>
      <c r="BE67" s="228">
        <v>0</v>
      </c>
      <c r="BF67" s="228">
        <v>0</v>
      </c>
      <c r="BG67" s="228">
        <v>0</v>
      </c>
      <c r="BH67" s="229">
        <v>-0.5</v>
      </c>
      <c r="BI67" s="228">
        <v>195</v>
      </c>
      <c r="BJ67" s="228">
        <v>300</v>
      </c>
      <c r="BK67" s="228">
        <v>-105</v>
      </c>
      <c r="BL67" s="229">
        <v>-0.3503</v>
      </c>
      <c r="BM67" s="228">
        <v>74</v>
      </c>
      <c r="BN67" s="228">
        <v>102</v>
      </c>
      <c r="BO67" s="228">
        <v>-28</v>
      </c>
      <c r="BP67" s="229">
        <v>-0.2737</v>
      </c>
      <c r="BQ67" s="228">
        <v>381</v>
      </c>
      <c r="BR67" s="228">
        <v>560</v>
      </c>
      <c r="BS67" s="228">
        <v>-179</v>
      </c>
      <c r="BT67" s="229">
        <v>-0.31969999999999998</v>
      </c>
      <c r="BU67" s="230">
        <v>352230</v>
      </c>
      <c r="BV67" s="230">
        <v>427658</v>
      </c>
      <c r="BW67" s="230">
        <v>-75428</v>
      </c>
      <c r="BX67" s="229">
        <v>-0.1764</v>
      </c>
      <c r="BY67" s="230">
        <v>1445</v>
      </c>
      <c r="BZ67" s="230">
        <v>1452</v>
      </c>
      <c r="CA67" s="228">
        <v>-7</v>
      </c>
      <c r="CB67" s="229">
        <v>-4.5999999999999999E-3</v>
      </c>
      <c r="CC67" s="230">
        <v>1430</v>
      </c>
      <c r="CD67" s="230">
        <v>1437</v>
      </c>
      <c r="CE67" s="228">
        <v>-7</v>
      </c>
      <c r="CF67" s="229">
        <v>-4.7999999999999996E-3</v>
      </c>
      <c r="CG67" s="228">
        <v>14</v>
      </c>
      <c r="CH67" s="228">
        <v>14</v>
      </c>
      <c r="CI67" s="228">
        <v>0</v>
      </c>
      <c r="CJ67" s="229">
        <v>1.04E-2</v>
      </c>
      <c r="CK67" s="228">
        <v>0</v>
      </c>
      <c r="CL67" s="228">
        <v>0</v>
      </c>
      <c r="CM67" s="228">
        <v>0</v>
      </c>
      <c r="CN67" s="229">
        <v>0.2</v>
      </c>
      <c r="CO67" s="228">
        <v>273</v>
      </c>
      <c r="CP67" s="228">
        <v>259</v>
      </c>
      <c r="CQ67" s="228">
        <v>14</v>
      </c>
      <c r="CR67" s="229">
        <v>5.3499999999999999E-2</v>
      </c>
      <c r="CS67" s="228">
        <v>190</v>
      </c>
      <c r="CT67" s="228">
        <v>189</v>
      </c>
      <c r="CU67" s="228">
        <v>1</v>
      </c>
      <c r="CV67" s="229">
        <v>4.7000000000000002E-3</v>
      </c>
      <c r="CW67" s="230">
        <v>1908</v>
      </c>
      <c r="CX67" s="230">
        <v>1900</v>
      </c>
      <c r="CY67" s="228">
        <v>8</v>
      </c>
      <c r="CZ67" s="229">
        <v>4.3E-3</v>
      </c>
      <c r="DA67" s="228">
        <v>27.35</v>
      </c>
      <c r="DB67" s="228">
        <v>26.94</v>
      </c>
      <c r="DC67" s="228">
        <v>0.41</v>
      </c>
      <c r="DD67" s="228">
        <v>0.41</v>
      </c>
      <c r="DE67" s="228">
        <v>38.79</v>
      </c>
      <c r="DF67" s="228">
        <v>38.880000000000003</v>
      </c>
      <c r="DG67" s="228">
        <v>-11.44</v>
      </c>
      <c r="DH67" s="228">
        <v>-0.09</v>
      </c>
      <c r="DI67" s="228">
        <v>27.45</v>
      </c>
      <c r="DJ67" s="228">
        <v>27.05</v>
      </c>
      <c r="DK67" s="228">
        <v>0.4</v>
      </c>
      <c r="DL67" s="228">
        <v>0.4</v>
      </c>
      <c r="DM67" s="228">
        <v>27.11</v>
      </c>
      <c r="DN67" s="228">
        <v>26.6</v>
      </c>
      <c r="DO67" s="228">
        <v>0.51</v>
      </c>
      <c r="DP67" s="228">
        <v>0.51</v>
      </c>
      <c r="DQ67" s="228">
        <v>0.69</v>
      </c>
      <c r="DR67" s="228">
        <v>0.73</v>
      </c>
      <c r="DS67" s="228">
        <v>-0.04</v>
      </c>
      <c r="DT67" s="229">
        <v>-5.4800000000000001E-2</v>
      </c>
      <c r="DU67" s="231">
        <v>2200</v>
      </c>
      <c r="DV67" s="231">
        <v>1860</v>
      </c>
      <c r="DW67" s="228">
        <v>0.38</v>
      </c>
      <c r="DX67" s="228">
        <v>0.34</v>
      </c>
      <c r="DY67" s="228">
        <v>0.04</v>
      </c>
      <c r="DZ67" s="229">
        <v>0.1176</v>
      </c>
      <c r="EA67" s="229">
        <v>1.03E-2</v>
      </c>
      <c r="EB67" s="230">
        <v>74250</v>
      </c>
      <c r="EC67" s="229">
        <v>3.8999999999999998E-3</v>
      </c>
      <c r="ED67" s="229">
        <v>1.03E-2</v>
      </c>
      <c r="EE67" s="228">
        <v>10.83</v>
      </c>
      <c r="EF67" s="229">
        <v>5.4999999999999997E-3</v>
      </c>
      <c r="EG67" s="230">
        <v>173395</v>
      </c>
      <c r="EH67" s="230">
        <v>168562</v>
      </c>
      <c r="EI67" s="229">
        <v>2.87E-2</v>
      </c>
      <c r="EJ67" s="229">
        <v>0.49230000000000002</v>
      </c>
      <c r="EK67" s="228">
        <v>204.76</v>
      </c>
      <c r="EL67" s="228">
        <v>72.989999999999995</v>
      </c>
      <c r="EM67" s="228">
        <v>111.28</v>
      </c>
      <c r="EN67" s="228">
        <v>69.97</v>
      </c>
      <c r="EO67" s="228">
        <v>389.03</v>
      </c>
      <c r="EP67" s="228">
        <v>575.13</v>
      </c>
      <c r="EQ67" s="228">
        <v>-186.1</v>
      </c>
      <c r="ER67" s="229">
        <v>-0.3236</v>
      </c>
      <c r="ES67" s="228">
        <v>290.94</v>
      </c>
      <c r="ET67" s="228">
        <v>183.25</v>
      </c>
      <c r="EU67" s="231">
        <v>1445.36</v>
      </c>
      <c r="EV67" s="231">
        <v>22585180</v>
      </c>
      <c r="EW67" s="231">
        <v>1919.55</v>
      </c>
      <c r="EX67" s="231">
        <v>1917.19</v>
      </c>
      <c r="EY67" s="228">
        <v>2.36</v>
      </c>
      <c r="EZ67" s="229">
        <v>1.1999999999999999E-3</v>
      </c>
      <c r="FA67" s="229">
        <v>0.42699999999999999</v>
      </c>
      <c r="FB67" s="227" t="s">
        <v>568</v>
      </c>
      <c r="FC67">
        <f t="shared" ref="FC67:FC130" si="1">BY67-CC67</f>
        <v>15</v>
      </c>
    </row>
    <row r="68" spans="1:159" ht="17.25" thickBot="1" x14ac:dyDescent="0.3">
      <c r="A68" s="226">
        <v>45936</v>
      </c>
      <c r="B68" s="227" t="s">
        <v>215</v>
      </c>
      <c r="C68" s="227" t="s">
        <v>632</v>
      </c>
      <c r="D68" s="228">
        <v>6975</v>
      </c>
      <c r="E68" s="228">
        <v>22</v>
      </c>
      <c r="F68" s="228">
        <v>89</v>
      </c>
      <c r="G68" s="228">
        <v>89.64</v>
      </c>
      <c r="H68" s="228">
        <v>-0.64</v>
      </c>
      <c r="I68" s="229">
        <v>-7.1000000000000004E-3</v>
      </c>
      <c r="J68" s="228">
        <v>88.7</v>
      </c>
      <c r="K68" s="228">
        <v>89.28</v>
      </c>
      <c r="L68" s="228">
        <v>-0.57999999999999996</v>
      </c>
      <c r="M68" s="229">
        <v>-6.4999999999999997E-3</v>
      </c>
      <c r="N68" s="228">
        <v>89</v>
      </c>
      <c r="O68" s="228">
        <v>89.64</v>
      </c>
      <c r="P68" s="228">
        <v>-0.64</v>
      </c>
      <c r="Q68" s="229">
        <v>-7.1000000000000004E-3</v>
      </c>
      <c r="R68" s="228">
        <v>89.49</v>
      </c>
      <c r="S68" s="228">
        <v>90.18</v>
      </c>
      <c r="T68" s="228">
        <v>-0.69</v>
      </c>
      <c r="U68" s="229">
        <v>-7.7000000000000002E-3</v>
      </c>
      <c r="V68" s="228">
        <v>90</v>
      </c>
      <c r="W68" s="228">
        <v>90.54</v>
      </c>
      <c r="X68" s="228">
        <v>-0.54</v>
      </c>
      <c r="Y68" s="229">
        <v>-6.0000000000000001E-3</v>
      </c>
      <c r="Z68" s="228">
        <v>0.3</v>
      </c>
      <c r="AA68" s="228">
        <v>0.36</v>
      </c>
      <c r="AB68" s="228">
        <v>-0.06</v>
      </c>
      <c r="AC68" s="229">
        <v>3.3999999999999998E-3</v>
      </c>
      <c r="AD68" s="228">
        <v>0.3</v>
      </c>
      <c r="AE68" s="228">
        <v>0.36</v>
      </c>
      <c r="AF68" s="228">
        <v>-0.06</v>
      </c>
      <c r="AG68" s="229">
        <v>3.3999999999999998E-3</v>
      </c>
      <c r="AH68" s="228">
        <v>0.79</v>
      </c>
      <c r="AI68" s="228">
        <v>0.9</v>
      </c>
      <c r="AJ68" s="228">
        <v>-0.11</v>
      </c>
      <c r="AK68" s="229">
        <v>8.8999999999999999E-3</v>
      </c>
      <c r="AL68" s="228">
        <v>1.3</v>
      </c>
      <c r="AM68" s="228">
        <v>1.26</v>
      </c>
      <c r="AN68" s="228">
        <v>0.04</v>
      </c>
      <c r="AO68" s="229">
        <v>1.47E-2</v>
      </c>
      <c r="AP68" s="228">
        <v>88.57</v>
      </c>
      <c r="AQ68" s="228">
        <v>88.86</v>
      </c>
      <c r="AR68" s="228">
        <v>0</v>
      </c>
      <c r="AS68" s="228">
        <v>201</v>
      </c>
      <c r="AT68" s="228">
        <v>155</v>
      </c>
      <c r="AU68" s="228">
        <v>46</v>
      </c>
      <c r="AV68" s="229">
        <v>0.29430000000000001</v>
      </c>
      <c r="AW68" s="228">
        <v>170</v>
      </c>
      <c r="AX68" s="228">
        <v>143</v>
      </c>
      <c r="AY68" s="228">
        <v>26</v>
      </c>
      <c r="AZ68" s="229">
        <v>0.1842</v>
      </c>
      <c r="BA68" s="228">
        <v>31</v>
      </c>
      <c r="BB68" s="228">
        <v>12</v>
      </c>
      <c r="BC68" s="228">
        <v>19</v>
      </c>
      <c r="BD68" s="229">
        <v>1.631</v>
      </c>
      <c r="BE68" s="228">
        <v>1</v>
      </c>
      <c r="BF68" s="228">
        <v>1</v>
      </c>
      <c r="BG68" s="228">
        <v>0</v>
      </c>
      <c r="BH68" s="229">
        <v>0.7</v>
      </c>
      <c r="BI68" s="228">
        <v>369</v>
      </c>
      <c r="BJ68" s="228">
        <v>265</v>
      </c>
      <c r="BK68" s="228">
        <v>105</v>
      </c>
      <c r="BL68" s="229">
        <v>0.3952</v>
      </c>
      <c r="BM68" s="228">
        <v>135</v>
      </c>
      <c r="BN68" s="228">
        <v>102</v>
      </c>
      <c r="BO68" s="228">
        <v>33</v>
      </c>
      <c r="BP68" s="229">
        <v>0.3276</v>
      </c>
      <c r="BQ68" s="228">
        <v>706</v>
      </c>
      <c r="BR68" s="228">
        <v>522</v>
      </c>
      <c r="BS68" s="228">
        <v>184</v>
      </c>
      <c r="BT68" s="229">
        <v>0.35199999999999998</v>
      </c>
      <c r="BU68" s="230">
        <v>7601497</v>
      </c>
      <c r="BV68" s="230">
        <v>6940845</v>
      </c>
      <c r="BW68" s="230">
        <v>660652</v>
      </c>
      <c r="BX68" s="229">
        <v>9.5200000000000007E-2</v>
      </c>
      <c r="BY68" s="230">
        <v>1898</v>
      </c>
      <c r="BZ68" s="230">
        <v>1887</v>
      </c>
      <c r="CA68" s="228">
        <v>11</v>
      </c>
      <c r="CB68" s="229">
        <v>6.1000000000000004E-3</v>
      </c>
      <c r="CC68" s="230">
        <v>1837</v>
      </c>
      <c r="CD68" s="230">
        <v>1845</v>
      </c>
      <c r="CE68" s="228">
        <v>-8</v>
      </c>
      <c r="CF68" s="229">
        <v>-4.4999999999999997E-3</v>
      </c>
      <c r="CG68" s="228">
        <v>60</v>
      </c>
      <c r="CH68" s="228">
        <v>41</v>
      </c>
      <c r="CI68" s="228">
        <v>19</v>
      </c>
      <c r="CJ68" s="229">
        <v>0.46750000000000003</v>
      </c>
      <c r="CK68" s="228">
        <v>1</v>
      </c>
      <c r="CL68" s="228">
        <v>1</v>
      </c>
      <c r="CM68" s="228">
        <v>1</v>
      </c>
      <c r="CN68" s="229">
        <v>0.84619999999999995</v>
      </c>
      <c r="CO68" s="228">
        <v>527</v>
      </c>
      <c r="CP68" s="228">
        <v>491</v>
      </c>
      <c r="CQ68" s="228">
        <v>36</v>
      </c>
      <c r="CR68" s="229">
        <v>7.3700000000000002E-2</v>
      </c>
      <c r="CS68" s="228">
        <v>271</v>
      </c>
      <c r="CT68" s="228">
        <v>258</v>
      </c>
      <c r="CU68" s="228">
        <v>13</v>
      </c>
      <c r="CV68" s="229">
        <v>5.0999999999999997E-2</v>
      </c>
      <c r="CW68" s="230">
        <v>2696</v>
      </c>
      <c r="CX68" s="230">
        <v>2636</v>
      </c>
      <c r="CY68" s="228">
        <v>61</v>
      </c>
      <c r="CZ68" s="229">
        <v>2.3099999999999999E-2</v>
      </c>
      <c r="DA68" s="228">
        <v>27.14</v>
      </c>
      <c r="DB68" s="228">
        <v>25.62</v>
      </c>
      <c r="DC68" s="228">
        <v>1.52</v>
      </c>
      <c r="DD68" s="228">
        <v>1.52</v>
      </c>
      <c r="DE68" s="228">
        <v>37.61</v>
      </c>
      <c r="DF68" s="228">
        <v>37.69</v>
      </c>
      <c r="DG68" s="228">
        <v>-10.47</v>
      </c>
      <c r="DH68" s="228">
        <v>-0.08</v>
      </c>
      <c r="DI68" s="228">
        <v>27.57</v>
      </c>
      <c r="DJ68" s="228">
        <v>25.68</v>
      </c>
      <c r="DK68" s="228">
        <v>1.89</v>
      </c>
      <c r="DL68" s="228">
        <v>1.89</v>
      </c>
      <c r="DM68" s="228">
        <v>25.98</v>
      </c>
      <c r="DN68" s="228">
        <v>25.46</v>
      </c>
      <c r="DO68" s="228">
        <v>0.52</v>
      </c>
      <c r="DP68" s="228">
        <v>0.52</v>
      </c>
      <c r="DQ68" s="228">
        <v>0.51</v>
      </c>
      <c r="DR68" s="228">
        <v>0.53</v>
      </c>
      <c r="DS68" s="228">
        <v>-0.02</v>
      </c>
      <c r="DT68" s="229">
        <v>-3.7699999999999997E-2</v>
      </c>
      <c r="DU68" s="228">
        <v>95</v>
      </c>
      <c r="DV68" s="228">
        <v>90</v>
      </c>
      <c r="DW68" s="228">
        <v>0.37</v>
      </c>
      <c r="DX68" s="228">
        <v>0.39</v>
      </c>
      <c r="DY68" s="228">
        <v>-0.02</v>
      </c>
      <c r="DZ68" s="229">
        <v>-5.1299999999999998E-2</v>
      </c>
      <c r="EA68" s="229">
        <v>3.2500000000000001E-2</v>
      </c>
      <c r="EB68" s="230">
        <v>4701150</v>
      </c>
      <c r="EC68" s="229">
        <v>5.4999999999999997E-3</v>
      </c>
      <c r="ED68" s="229">
        <v>3.2500000000000001E-2</v>
      </c>
      <c r="EE68" s="228">
        <v>0.28999999999999998</v>
      </c>
      <c r="EF68" s="229">
        <v>3.3E-3</v>
      </c>
      <c r="EG68" s="230">
        <v>4258792</v>
      </c>
      <c r="EH68" s="230">
        <v>4086288</v>
      </c>
      <c r="EI68" s="229">
        <v>4.2200000000000001E-2</v>
      </c>
      <c r="EJ68" s="229">
        <v>0.56030000000000002</v>
      </c>
      <c r="EK68" s="228">
        <v>386.91</v>
      </c>
      <c r="EL68" s="228">
        <v>138.19</v>
      </c>
      <c r="EM68" s="228">
        <v>200.34</v>
      </c>
      <c r="EN68" s="228">
        <v>87.07</v>
      </c>
      <c r="EO68" s="228">
        <v>725.45</v>
      </c>
      <c r="EP68" s="228">
        <v>539.44000000000005</v>
      </c>
      <c r="EQ68" s="228">
        <v>186.01</v>
      </c>
      <c r="ER68" s="229">
        <v>0.3448</v>
      </c>
      <c r="ES68" s="228">
        <v>556.66999999999996</v>
      </c>
      <c r="ET68" s="228">
        <v>265.97000000000003</v>
      </c>
      <c r="EU68" s="231">
        <v>1898.55</v>
      </c>
      <c r="EV68" s="231">
        <v>534704421</v>
      </c>
      <c r="EW68" s="231">
        <v>2721.19</v>
      </c>
      <c r="EX68" s="231">
        <v>2672.7</v>
      </c>
      <c r="EY68" s="228">
        <v>48.49</v>
      </c>
      <c r="EZ68" s="229">
        <v>1.8100000000000002E-2</v>
      </c>
      <c r="FA68" s="229">
        <v>0.56659999999999999</v>
      </c>
      <c r="FB68" s="227" t="s">
        <v>567</v>
      </c>
      <c r="FC68">
        <f t="shared" si="1"/>
        <v>61</v>
      </c>
    </row>
    <row r="69" spans="1:159" ht="17.25" thickBot="1" x14ac:dyDescent="0.3">
      <c r="A69" s="226">
        <v>45936</v>
      </c>
      <c r="B69" s="227" t="s">
        <v>168</v>
      </c>
      <c r="C69" s="227" t="s">
        <v>217</v>
      </c>
      <c r="D69" s="228">
        <v>500</v>
      </c>
      <c r="E69" s="228">
        <v>22</v>
      </c>
      <c r="F69" s="231">
        <v>1150</v>
      </c>
      <c r="G69" s="231">
        <v>1145.3</v>
      </c>
      <c r="H69" s="228">
        <v>4.7</v>
      </c>
      <c r="I69" s="229">
        <v>4.1000000000000003E-3</v>
      </c>
      <c r="J69" s="231">
        <v>1147.5999999999999</v>
      </c>
      <c r="K69" s="231">
        <v>1149</v>
      </c>
      <c r="L69" s="228">
        <v>-1.4</v>
      </c>
      <c r="M69" s="229">
        <v>-1.1999999999999999E-3</v>
      </c>
      <c r="N69" s="231">
        <v>1150</v>
      </c>
      <c r="O69" s="231">
        <v>1145.3</v>
      </c>
      <c r="P69" s="228">
        <v>4.7</v>
      </c>
      <c r="Q69" s="229">
        <v>4.1000000000000003E-3</v>
      </c>
      <c r="R69" s="231">
        <v>1141.2</v>
      </c>
      <c r="S69" s="231">
        <v>1138.5999999999999</v>
      </c>
      <c r="T69" s="228">
        <v>2.6</v>
      </c>
      <c r="U69" s="229">
        <v>2.3E-3</v>
      </c>
      <c r="V69" s="231">
        <v>1137.5999999999999</v>
      </c>
      <c r="W69" s="231">
        <v>1135.5999999999999</v>
      </c>
      <c r="X69" s="228">
        <v>2</v>
      </c>
      <c r="Y69" s="229">
        <v>1.8E-3</v>
      </c>
      <c r="Z69" s="228">
        <v>2.4</v>
      </c>
      <c r="AA69" s="228">
        <v>-3.7</v>
      </c>
      <c r="AB69" s="228">
        <v>6.1</v>
      </c>
      <c r="AC69" s="229">
        <v>2.0999999999999999E-3</v>
      </c>
      <c r="AD69" s="228">
        <v>2.4</v>
      </c>
      <c r="AE69" s="228">
        <v>-3.7</v>
      </c>
      <c r="AF69" s="228">
        <v>6.1</v>
      </c>
      <c r="AG69" s="229">
        <v>2.0999999999999999E-3</v>
      </c>
      <c r="AH69" s="228">
        <v>-6.4</v>
      </c>
      <c r="AI69" s="228">
        <v>-10.4</v>
      </c>
      <c r="AJ69" s="228">
        <v>4</v>
      </c>
      <c r="AK69" s="229">
        <v>-5.5999999999999999E-3</v>
      </c>
      <c r="AL69" s="228">
        <v>-10</v>
      </c>
      <c r="AM69" s="228">
        <v>-13.4</v>
      </c>
      <c r="AN69" s="228">
        <v>3.4</v>
      </c>
      <c r="AO69" s="229">
        <v>-8.6999999999999994E-3</v>
      </c>
      <c r="AP69" s="231">
        <v>1144.3499999999999</v>
      </c>
      <c r="AQ69" s="231">
        <v>1137.6400000000001</v>
      </c>
      <c r="AR69" s="228">
        <v>0</v>
      </c>
      <c r="AS69" s="228">
        <v>164</v>
      </c>
      <c r="AT69" s="228">
        <v>126</v>
      </c>
      <c r="AU69" s="228">
        <v>38</v>
      </c>
      <c r="AV69" s="229">
        <v>0.30249999999999999</v>
      </c>
      <c r="AW69" s="228">
        <v>155</v>
      </c>
      <c r="AX69" s="228">
        <v>114</v>
      </c>
      <c r="AY69" s="228">
        <v>42</v>
      </c>
      <c r="AZ69" s="229">
        <v>0.36580000000000001</v>
      </c>
      <c r="BA69" s="228">
        <v>9</v>
      </c>
      <c r="BB69" s="228">
        <v>13</v>
      </c>
      <c r="BC69" s="228">
        <v>-4</v>
      </c>
      <c r="BD69" s="229">
        <v>-0.28310000000000002</v>
      </c>
      <c r="BE69" s="228">
        <v>0</v>
      </c>
      <c r="BF69" s="228">
        <v>0</v>
      </c>
      <c r="BG69" s="228">
        <v>0</v>
      </c>
      <c r="BH69" s="229">
        <v>2</v>
      </c>
      <c r="BI69" s="228">
        <v>225</v>
      </c>
      <c r="BJ69" s="228">
        <v>163</v>
      </c>
      <c r="BK69" s="228">
        <v>61</v>
      </c>
      <c r="BL69" s="229">
        <v>0.37390000000000001</v>
      </c>
      <c r="BM69" s="228">
        <v>115</v>
      </c>
      <c r="BN69" s="228">
        <v>72</v>
      </c>
      <c r="BO69" s="228">
        <v>42</v>
      </c>
      <c r="BP69" s="229">
        <v>0.58709999999999996</v>
      </c>
      <c r="BQ69" s="228">
        <v>504</v>
      </c>
      <c r="BR69" s="228">
        <v>362</v>
      </c>
      <c r="BS69" s="228">
        <v>142</v>
      </c>
      <c r="BT69" s="229">
        <v>0.3916</v>
      </c>
      <c r="BU69" s="230">
        <v>1359851</v>
      </c>
      <c r="BV69" s="230">
        <v>707847</v>
      </c>
      <c r="BW69" s="230">
        <v>652004</v>
      </c>
      <c r="BX69" s="229">
        <v>0.92110000000000003</v>
      </c>
      <c r="BY69" s="230">
        <v>1319</v>
      </c>
      <c r="BZ69" s="230">
        <v>1335</v>
      </c>
      <c r="CA69" s="228">
        <v>-16</v>
      </c>
      <c r="CB69" s="229">
        <v>-1.21E-2</v>
      </c>
      <c r="CC69" s="230">
        <v>1286</v>
      </c>
      <c r="CD69" s="230">
        <v>1303</v>
      </c>
      <c r="CE69" s="228">
        <v>-17</v>
      </c>
      <c r="CF69" s="229">
        <v>-1.2999999999999999E-2</v>
      </c>
      <c r="CG69" s="228">
        <v>33</v>
      </c>
      <c r="CH69" s="228">
        <v>32</v>
      </c>
      <c r="CI69" s="228">
        <v>1</v>
      </c>
      <c r="CJ69" s="229">
        <v>1.7899999999999999E-2</v>
      </c>
      <c r="CK69" s="228">
        <v>0</v>
      </c>
      <c r="CL69" s="228">
        <v>0</v>
      </c>
      <c r="CM69" s="228">
        <v>0</v>
      </c>
      <c r="CN69" s="229">
        <v>1</v>
      </c>
      <c r="CO69" s="228">
        <v>274</v>
      </c>
      <c r="CP69" s="228">
        <v>242</v>
      </c>
      <c r="CQ69" s="228">
        <v>32</v>
      </c>
      <c r="CR69" s="229">
        <v>0.13239999999999999</v>
      </c>
      <c r="CS69" s="228">
        <v>196</v>
      </c>
      <c r="CT69" s="228">
        <v>158</v>
      </c>
      <c r="CU69" s="228">
        <v>38</v>
      </c>
      <c r="CV69" s="229">
        <v>0.2392</v>
      </c>
      <c r="CW69" s="230">
        <v>1790</v>
      </c>
      <c r="CX69" s="230">
        <v>1736</v>
      </c>
      <c r="CY69" s="228">
        <v>54</v>
      </c>
      <c r="CZ69" s="229">
        <v>3.09E-2</v>
      </c>
      <c r="DA69" s="228">
        <v>26.62</v>
      </c>
      <c r="DB69" s="228">
        <v>25.95</v>
      </c>
      <c r="DC69" s="228">
        <v>0.67</v>
      </c>
      <c r="DD69" s="228">
        <v>0.67</v>
      </c>
      <c r="DE69" s="228">
        <v>30.24</v>
      </c>
      <c r="DF69" s="228">
        <v>30.31</v>
      </c>
      <c r="DG69" s="228">
        <v>-3.62</v>
      </c>
      <c r="DH69" s="228">
        <v>-7.0000000000000007E-2</v>
      </c>
      <c r="DI69" s="228">
        <v>26.24</v>
      </c>
      <c r="DJ69" s="228">
        <v>26.13</v>
      </c>
      <c r="DK69" s="228">
        <v>0.11</v>
      </c>
      <c r="DL69" s="228">
        <v>0.11</v>
      </c>
      <c r="DM69" s="228">
        <v>27.37</v>
      </c>
      <c r="DN69" s="228">
        <v>25.54</v>
      </c>
      <c r="DO69" s="228">
        <v>1.83</v>
      </c>
      <c r="DP69" s="228">
        <v>1.83</v>
      </c>
      <c r="DQ69" s="228">
        <v>0.71</v>
      </c>
      <c r="DR69" s="228">
        <v>0.65</v>
      </c>
      <c r="DS69" s="228">
        <v>0.06</v>
      </c>
      <c r="DT69" s="229">
        <v>9.2299999999999993E-2</v>
      </c>
      <c r="DU69" s="231">
        <v>1300</v>
      </c>
      <c r="DV69" s="231">
        <v>1100</v>
      </c>
      <c r="DW69" s="228">
        <v>0.51</v>
      </c>
      <c r="DX69" s="228">
        <v>0.44</v>
      </c>
      <c r="DY69" s="228">
        <v>7.0000000000000007E-2</v>
      </c>
      <c r="DZ69" s="229">
        <v>0.15909999999999999</v>
      </c>
      <c r="EA69" s="229">
        <v>2.5000000000000001E-2</v>
      </c>
      <c r="EB69" s="230">
        <v>281000</v>
      </c>
      <c r="EC69" s="229">
        <v>-7.7000000000000002E-3</v>
      </c>
      <c r="ED69" s="229">
        <v>2.5000000000000001E-2</v>
      </c>
      <c r="EE69" s="228">
        <v>-6.71</v>
      </c>
      <c r="EF69" s="229">
        <v>-5.8999999999999999E-3</v>
      </c>
      <c r="EG69" s="230">
        <v>883010</v>
      </c>
      <c r="EH69" s="230">
        <v>350243</v>
      </c>
      <c r="EI69" s="229">
        <v>1.5210999999999999</v>
      </c>
      <c r="EJ69" s="229">
        <v>0.64929999999999999</v>
      </c>
      <c r="EK69" s="228">
        <v>235.33</v>
      </c>
      <c r="EL69" s="228">
        <v>111.99</v>
      </c>
      <c r="EM69" s="228">
        <v>163.53</v>
      </c>
      <c r="EN69" s="228">
        <v>87.07</v>
      </c>
      <c r="EO69" s="228">
        <v>510.85</v>
      </c>
      <c r="EP69" s="228">
        <v>370.39</v>
      </c>
      <c r="EQ69" s="228">
        <v>140.44999999999999</v>
      </c>
      <c r="ER69" s="229">
        <v>0.37919999999999998</v>
      </c>
      <c r="ES69" s="228">
        <v>293.16000000000003</v>
      </c>
      <c r="ET69" s="228">
        <v>190.36</v>
      </c>
      <c r="EU69" s="231">
        <v>1318.91</v>
      </c>
      <c r="EV69" s="231">
        <v>58001204</v>
      </c>
      <c r="EW69" s="231">
        <v>1802.43</v>
      </c>
      <c r="EX69" s="231">
        <v>1744.69</v>
      </c>
      <c r="EY69" s="228">
        <v>57.74</v>
      </c>
      <c r="EZ69" s="229">
        <v>3.3099999999999997E-2</v>
      </c>
      <c r="FA69" s="229">
        <v>0.26829999999999998</v>
      </c>
      <c r="FB69" s="227" t="s">
        <v>556</v>
      </c>
      <c r="FC69">
        <f t="shared" si="1"/>
        <v>33</v>
      </c>
    </row>
    <row r="70" spans="1:159" ht="17.25" thickBot="1" x14ac:dyDescent="0.3">
      <c r="A70" s="226">
        <v>45936</v>
      </c>
      <c r="B70" s="227" t="s">
        <v>206</v>
      </c>
      <c r="C70" s="227" t="s">
        <v>218</v>
      </c>
      <c r="D70" s="228">
        <v>275</v>
      </c>
      <c r="E70" s="228">
        <v>22</v>
      </c>
      <c r="F70" s="231">
        <v>2065</v>
      </c>
      <c r="G70" s="231">
        <v>2040.7</v>
      </c>
      <c r="H70" s="228">
        <v>24.3</v>
      </c>
      <c r="I70" s="229">
        <v>1.1900000000000001E-2</v>
      </c>
      <c r="J70" s="231">
        <v>2056.5</v>
      </c>
      <c r="K70" s="231">
        <v>2033</v>
      </c>
      <c r="L70" s="228">
        <v>23.5</v>
      </c>
      <c r="M70" s="229">
        <v>1.1599999999999999E-2</v>
      </c>
      <c r="N70" s="231">
        <v>2065</v>
      </c>
      <c r="O70" s="231">
        <v>2040.7</v>
      </c>
      <c r="P70" s="228">
        <v>24.3</v>
      </c>
      <c r="Q70" s="229">
        <v>1.1900000000000001E-2</v>
      </c>
      <c r="R70" s="231">
        <v>2081.1999999999998</v>
      </c>
      <c r="S70" s="231">
        <v>2052.3000000000002</v>
      </c>
      <c r="T70" s="228">
        <v>28.9</v>
      </c>
      <c r="U70" s="229">
        <v>1.41E-2</v>
      </c>
      <c r="V70" s="231">
        <v>2087.6999999999998</v>
      </c>
      <c r="W70" s="231">
        <v>2061.6999999999998</v>
      </c>
      <c r="X70" s="228">
        <v>26</v>
      </c>
      <c r="Y70" s="229">
        <v>1.26E-2</v>
      </c>
      <c r="Z70" s="228">
        <v>8.5</v>
      </c>
      <c r="AA70" s="228">
        <v>7.7</v>
      </c>
      <c r="AB70" s="228">
        <v>0.8</v>
      </c>
      <c r="AC70" s="229">
        <v>4.1000000000000003E-3</v>
      </c>
      <c r="AD70" s="228">
        <v>8.5</v>
      </c>
      <c r="AE70" s="228">
        <v>7.7</v>
      </c>
      <c r="AF70" s="228">
        <v>0.8</v>
      </c>
      <c r="AG70" s="229">
        <v>4.1000000000000003E-3</v>
      </c>
      <c r="AH70" s="228">
        <v>24.7</v>
      </c>
      <c r="AI70" s="228">
        <v>19.3</v>
      </c>
      <c r="AJ70" s="228">
        <v>5.4</v>
      </c>
      <c r="AK70" s="229">
        <v>1.2E-2</v>
      </c>
      <c r="AL70" s="228">
        <v>31.2</v>
      </c>
      <c r="AM70" s="228">
        <v>28.7</v>
      </c>
      <c r="AN70" s="228">
        <v>2.5</v>
      </c>
      <c r="AO70" s="229">
        <v>1.52E-2</v>
      </c>
      <c r="AP70" s="231">
        <v>2053.29</v>
      </c>
      <c r="AQ70" s="231">
        <v>2069.21</v>
      </c>
      <c r="AR70" s="228">
        <v>0</v>
      </c>
      <c r="AS70" s="228">
        <v>146</v>
      </c>
      <c r="AT70" s="228">
        <v>190</v>
      </c>
      <c r="AU70" s="228">
        <v>-43</v>
      </c>
      <c r="AV70" s="229">
        <v>-0.2283</v>
      </c>
      <c r="AW70" s="228">
        <v>139</v>
      </c>
      <c r="AX70" s="228">
        <v>181</v>
      </c>
      <c r="AY70" s="228">
        <v>-42</v>
      </c>
      <c r="AZ70" s="229">
        <v>-0.2346</v>
      </c>
      <c r="BA70" s="228">
        <v>7</v>
      </c>
      <c r="BB70" s="228">
        <v>8</v>
      </c>
      <c r="BC70" s="228">
        <v>-1</v>
      </c>
      <c r="BD70" s="229">
        <v>-0.1053</v>
      </c>
      <c r="BE70" s="228">
        <v>1</v>
      </c>
      <c r="BF70" s="228">
        <v>1</v>
      </c>
      <c r="BG70" s="228">
        <v>0</v>
      </c>
      <c r="BH70" s="229">
        <v>-4.7600000000000003E-2</v>
      </c>
      <c r="BI70" s="228">
        <v>372</v>
      </c>
      <c r="BJ70" s="228">
        <v>344</v>
      </c>
      <c r="BK70" s="228">
        <v>27</v>
      </c>
      <c r="BL70" s="229">
        <v>7.9500000000000001E-2</v>
      </c>
      <c r="BM70" s="228">
        <v>121</v>
      </c>
      <c r="BN70" s="228">
        <v>122</v>
      </c>
      <c r="BO70" s="228">
        <v>-1</v>
      </c>
      <c r="BP70" s="229">
        <v>-6.4999999999999997E-3</v>
      </c>
      <c r="BQ70" s="228">
        <v>639</v>
      </c>
      <c r="BR70" s="228">
        <v>656</v>
      </c>
      <c r="BS70" s="228">
        <v>-17</v>
      </c>
      <c r="BT70" s="229">
        <v>-2.5499999999999998E-2</v>
      </c>
      <c r="BU70" s="230">
        <v>212380</v>
      </c>
      <c r="BV70" s="230">
        <v>305043</v>
      </c>
      <c r="BW70" s="230">
        <v>-92663</v>
      </c>
      <c r="BX70" s="229">
        <v>-0.30380000000000001</v>
      </c>
      <c r="BY70" s="230">
        <v>2029</v>
      </c>
      <c r="BZ70" s="230">
        <v>2021</v>
      </c>
      <c r="CA70" s="228">
        <v>7</v>
      </c>
      <c r="CB70" s="229">
        <v>3.5999999999999999E-3</v>
      </c>
      <c r="CC70" s="230">
        <v>1984</v>
      </c>
      <c r="CD70" s="230">
        <v>1978</v>
      </c>
      <c r="CE70" s="228">
        <v>6</v>
      </c>
      <c r="CF70" s="229">
        <v>2.8E-3</v>
      </c>
      <c r="CG70" s="228">
        <v>43</v>
      </c>
      <c r="CH70" s="228">
        <v>41</v>
      </c>
      <c r="CI70" s="228">
        <v>2</v>
      </c>
      <c r="CJ70" s="229">
        <v>3.8399999999999997E-2</v>
      </c>
      <c r="CK70" s="228">
        <v>2</v>
      </c>
      <c r="CL70" s="228">
        <v>2</v>
      </c>
      <c r="CM70" s="228">
        <v>0</v>
      </c>
      <c r="CN70" s="229">
        <v>0</v>
      </c>
      <c r="CO70" s="228">
        <v>506</v>
      </c>
      <c r="CP70" s="228">
        <v>498</v>
      </c>
      <c r="CQ70" s="228">
        <v>8</v>
      </c>
      <c r="CR70" s="229">
        <v>1.6799999999999999E-2</v>
      </c>
      <c r="CS70" s="228">
        <v>334</v>
      </c>
      <c r="CT70" s="228">
        <v>335</v>
      </c>
      <c r="CU70" s="228">
        <v>-1</v>
      </c>
      <c r="CV70" s="229">
        <v>-4.1000000000000003E-3</v>
      </c>
      <c r="CW70" s="230">
        <v>2868</v>
      </c>
      <c r="CX70" s="230">
        <v>2854</v>
      </c>
      <c r="CY70" s="228">
        <v>14</v>
      </c>
      <c r="CZ70" s="229">
        <v>5.0000000000000001E-3</v>
      </c>
      <c r="DA70" s="228">
        <v>31.18</v>
      </c>
      <c r="DB70" s="228">
        <v>30.69</v>
      </c>
      <c r="DC70" s="228">
        <v>0.49</v>
      </c>
      <c r="DD70" s="228">
        <v>0.49</v>
      </c>
      <c r="DE70" s="228">
        <v>44.54</v>
      </c>
      <c r="DF70" s="228">
        <v>44.62</v>
      </c>
      <c r="DG70" s="228">
        <v>-13.36</v>
      </c>
      <c r="DH70" s="228">
        <v>-0.08</v>
      </c>
      <c r="DI70" s="228">
        <v>31.12</v>
      </c>
      <c r="DJ70" s="228">
        <v>30.85</v>
      </c>
      <c r="DK70" s="228">
        <v>0.27</v>
      </c>
      <c r="DL70" s="228">
        <v>0.27</v>
      </c>
      <c r="DM70" s="228">
        <v>31.33</v>
      </c>
      <c r="DN70" s="228">
        <v>30.26</v>
      </c>
      <c r="DO70" s="228">
        <v>1.07</v>
      </c>
      <c r="DP70" s="228">
        <v>1.07</v>
      </c>
      <c r="DQ70" s="228">
        <v>0.66</v>
      </c>
      <c r="DR70" s="228">
        <v>0.67</v>
      </c>
      <c r="DS70" s="228">
        <v>-0.01</v>
      </c>
      <c r="DT70" s="229">
        <v>-1.49E-2</v>
      </c>
      <c r="DU70" s="231">
        <v>2300</v>
      </c>
      <c r="DV70" s="231">
        <v>2000</v>
      </c>
      <c r="DW70" s="228">
        <v>0.33</v>
      </c>
      <c r="DX70" s="228">
        <v>0.35</v>
      </c>
      <c r="DY70" s="228">
        <v>-0.02</v>
      </c>
      <c r="DZ70" s="229">
        <v>-5.7099999999999998E-2</v>
      </c>
      <c r="EA70" s="229">
        <v>2.1999999999999999E-2</v>
      </c>
      <c r="EB70" s="230">
        <v>208725</v>
      </c>
      <c r="EC70" s="229">
        <v>7.7999999999999996E-3</v>
      </c>
      <c r="ED70" s="229">
        <v>2.1999999999999999E-2</v>
      </c>
      <c r="EE70" s="228">
        <v>15.92</v>
      </c>
      <c r="EF70" s="229">
        <v>7.7999999999999996E-3</v>
      </c>
      <c r="EG70" s="230">
        <v>84127</v>
      </c>
      <c r="EH70" s="230">
        <v>153003</v>
      </c>
      <c r="EI70" s="229">
        <v>-0.45019999999999999</v>
      </c>
      <c r="EJ70" s="229">
        <v>0.39610000000000001</v>
      </c>
      <c r="EK70" s="228">
        <v>389.03</v>
      </c>
      <c r="EL70" s="228">
        <v>119.53</v>
      </c>
      <c r="EM70" s="228">
        <v>145.69</v>
      </c>
      <c r="EN70" s="228">
        <v>105.67</v>
      </c>
      <c r="EO70" s="228">
        <v>654.24</v>
      </c>
      <c r="EP70" s="228">
        <v>669.86</v>
      </c>
      <c r="EQ70" s="228">
        <v>-15.61</v>
      </c>
      <c r="ER70" s="229">
        <v>-2.3300000000000001E-2</v>
      </c>
      <c r="ES70" s="228">
        <v>531.35</v>
      </c>
      <c r="ET70" s="228">
        <v>322.33</v>
      </c>
      <c r="EU70" s="231">
        <v>2028.92</v>
      </c>
      <c r="EV70" s="231">
        <v>24082879</v>
      </c>
      <c r="EW70" s="231">
        <v>2882.6</v>
      </c>
      <c r="EX70" s="231">
        <v>2843.06</v>
      </c>
      <c r="EY70" s="228">
        <v>39.54</v>
      </c>
      <c r="EZ70" s="229">
        <v>1.3899999999999999E-2</v>
      </c>
      <c r="FA70" s="229">
        <v>0.57679999999999998</v>
      </c>
      <c r="FB70" s="227" t="s">
        <v>555</v>
      </c>
      <c r="FC70">
        <f t="shared" si="1"/>
        <v>45</v>
      </c>
    </row>
    <row r="71" spans="1:159" ht="17.25" thickBot="1" x14ac:dyDescent="0.3">
      <c r="A71" s="226">
        <v>45936</v>
      </c>
      <c r="B71" s="227" t="s">
        <v>157</v>
      </c>
      <c r="C71" s="227" t="s">
        <v>219</v>
      </c>
      <c r="D71" s="228">
        <v>250</v>
      </c>
      <c r="E71" s="228">
        <v>22</v>
      </c>
      <c r="F71" s="231">
        <v>2823.6</v>
      </c>
      <c r="G71" s="231">
        <v>2810.5</v>
      </c>
      <c r="H71" s="228">
        <v>13.1</v>
      </c>
      <c r="I71" s="229">
        <v>4.7000000000000002E-3</v>
      </c>
      <c r="J71" s="231">
        <v>2807.4</v>
      </c>
      <c r="K71" s="231">
        <v>2791.4</v>
      </c>
      <c r="L71" s="228">
        <v>16</v>
      </c>
      <c r="M71" s="229">
        <v>5.7000000000000002E-3</v>
      </c>
      <c r="N71" s="231">
        <v>2823.6</v>
      </c>
      <c r="O71" s="231">
        <v>2810.5</v>
      </c>
      <c r="P71" s="228">
        <v>13.1</v>
      </c>
      <c r="Q71" s="229">
        <v>4.7000000000000002E-3</v>
      </c>
      <c r="R71" s="231">
        <v>2839.3</v>
      </c>
      <c r="S71" s="231">
        <v>2824</v>
      </c>
      <c r="T71" s="228">
        <v>15.3</v>
      </c>
      <c r="U71" s="229">
        <v>5.4000000000000003E-3</v>
      </c>
      <c r="V71" s="231">
        <v>2845</v>
      </c>
      <c r="W71" s="231">
        <v>2840</v>
      </c>
      <c r="X71" s="228">
        <v>5</v>
      </c>
      <c r="Y71" s="229">
        <v>1.8E-3</v>
      </c>
      <c r="Z71" s="228">
        <v>16.2</v>
      </c>
      <c r="AA71" s="228">
        <v>19.100000000000001</v>
      </c>
      <c r="AB71" s="228">
        <v>-2.9</v>
      </c>
      <c r="AC71" s="229">
        <v>5.7999999999999996E-3</v>
      </c>
      <c r="AD71" s="228">
        <v>16.2</v>
      </c>
      <c r="AE71" s="228">
        <v>19.100000000000001</v>
      </c>
      <c r="AF71" s="228">
        <v>-2.9</v>
      </c>
      <c r="AG71" s="229">
        <v>5.7999999999999996E-3</v>
      </c>
      <c r="AH71" s="228">
        <v>31.9</v>
      </c>
      <c r="AI71" s="228">
        <v>32.6</v>
      </c>
      <c r="AJ71" s="228">
        <v>-0.7</v>
      </c>
      <c r="AK71" s="229">
        <v>1.14E-2</v>
      </c>
      <c r="AL71" s="228">
        <v>37.6</v>
      </c>
      <c r="AM71" s="228">
        <v>48.6</v>
      </c>
      <c r="AN71" s="228">
        <v>-11</v>
      </c>
      <c r="AO71" s="229">
        <v>1.34E-2</v>
      </c>
      <c r="AP71" s="231">
        <v>2818.36</v>
      </c>
      <c r="AQ71" s="231">
        <v>2830.45</v>
      </c>
      <c r="AR71" s="228">
        <v>0</v>
      </c>
      <c r="AS71" s="228">
        <v>238</v>
      </c>
      <c r="AT71" s="228">
        <v>347</v>
      </c>
      <c r="AU71" s="228">
        <v>-108</v>
      </c>
      <c r="AV71" s="229">
        <v>-0.312</v>
      </c>
      <c r="AW71" s="228">
        <v>234</v>
      </c>
      <c r="AX71" s="228">
        <v>337</v>
      </c>
      <c r="AY71" s="228">
        <v>-103</v>
      </c>
      <c r="AZ71" s="229">
        <v>-0.30659999999999998</v>
      </c>
      <c r="BA71" s="228">
        <v>4</v>
      </c>
      <c r="BB71" s="228">
        <v>9</v>
      </c>
      <c r="BC71" s="228">
        <v>-5</v>
      </c>
      <c r="BD71" s="229">
        <v>-0.51180000000000003</v>
      </c>
      <c r="BE71" s="228">
        <v>0</v>
      </c>
      <c r="BF71" s="228">
        <v>0</v>
      </c>
      <c r="BG71" s="228">
        <v>0</v>
      </c>
      <c r="BH71" s="229">
        <v>-0.5</v>
      </c>
      <c r="BI71" s="228">
        <v>497</v>
      </c>
      <c r="BJ71" s="228">
        <v>637</v>
      </c>
      <c r="BK71" s="228">
        <v>-140</v>
      </c>
      <c r="BL71" s="229">
        <v>-0.21920000000000001</v>
      </c>
      <c r="BM71" s="228">
        <v>240</v>
      </c>
      <c r="BN71" s="228">
        <v>330</v>
      </c>
      <c r="BO71" s="228">
        <v>-90</v>
      </c>
      <c r="BP71" s="229">
        <v>-0.27310000000000001</v>
      </c>
      <c r="BQ71" s="228">
        <v>975</v>
      </c>
      <c r="BR71" s="230">
        <v>1313</v>
      </c>
      <c r="BS71" s="228">
        <v>-338</v>
      </c>
      <c r="BT71" s="229">
        <v>-0.25719999999999998</v>
      </c>
      <c r="BU71" s="230">
        <v>346562</v>
      </c>
      <c r="BV71" s="230">
        <v>722813</v>
      </c>
      <c r="BW71" s="230">
        <v>-376251</v>
      </c>
      <c r="BX71" s="229">
        <v>-0.52049999999999996</v>
      </c>
      <c r="BY71" s="230">
        <v>3996</v>
      </c>
      <c r="BZ71" s="230">
        <v>4003</v>
      </c>
      <c r="CA71" s="228">
        <v>-7</v>
      </c>
      <c r="CB71" s="229">
        <v>-1.6999999999999999E-3</v>
      </c>
      <c r="CC71" s="230">
        <v>3983</v>
      </c>
      <c r="CD71" s="230">
        <v>3991</v>
      </c>
      <c r="CE71" s="228">
        <v>-7</v>
      </c>
      <c r="CF71" s="229">
        <v>-1.8E-3</v>
      </c>
      <c r="CG71" s="228">
        <v>13</v>
      </c>
      <c r="CH71" s="228">
        <v>12</v>
      </c>
      <c r="CI71" s="228">
        <v>0</v>
      </c>
      <c r="CJ71" s="229">
        <v>4.02E-2</v>
      </c>
      <c r="CK71" s="228">
        <v>0</v>
      </c>
      <c r="CL71" s="228">
        <v>0</v>
      </c>
      <c r="CM71" s="228">
        <v>0</v>
      </c>
      <c r="CN71" s="229">
        <v>0.5</v>
      </c>
      <c r="CO71" s="228">
        <v>402</v>
      </c>
      <c r="CP71" s="228">
        <v>360</v>
      </c>
      <c r="CQ71" s="228">
        <v>41</v>
      </c>
      <c r="CR71" s="229">
        <v>0.11509999999999999</v>
      </c>
      <c r="CS71" s="228">
        <v>248</v>
      </c>
      <c r="CT71" s="228">
        <v>225</v>
      </c>
      <c r="CU71" s="228">
        <v>23</v>
      </c>
      <c r="CV71" s="229">
        <v>0.1002</v>
      </c>
      <c r="CW71" s="230">
        <v>4646</v>
      </c>
      <c r="CX71" s="230">
        <v>4589</v>
      </c>
      <c r="CY71" s="228">
        <v>57</v>
      </c>
      <c r="CZ71" s="229">
        <v>1.2500000000000001E-2</v>
      </c>
      <c r="DA71" s="228">
        <v>19.25</v>
      </c>
      <c r="DB71" s="228">
        <v>19.02</v>
      </c>
      <c r="DC71" s="228">
        <v>0.23</v>
      </c>
      <c r="DD71" s="228">
        <v>0.23</v>
      </c>
      <c r="DE71" s="228">
        <v>25.78</v>
      </c>
      <c r="DF71" s="228">
        <v>25.83</v>
      </c>
      <c r="DG71" s="228">
        <v>-6.53</v>
      </c>
      <c r="DH71" s="228">
        <v>-0.05</v>
      </c>
      <c r="DI71" s="228">
        <v>19.29</v>
      </c>
      <c r="DJ71" s="228">
        <v>19.059999999999999</v>
      </c>
      <c r="DK71" s="228">
        <v>0.23</v>
      </c>
      <c r="DL71" s="228">
        <v>0.23</v>
      </c>
      <c r="DM71" s="228">
        <v>19.170000000000002</v>
      </c>
      <c r="DN71" s="228">
        <v>18.93</v>
      </c>
      <c r="DO71" s="228">
        <v>0.24</v>
      </c>
      <c r="DP71" s="228">
        <v>0.24</v>
      </c>
      <c r="DQ71" s="228">
        <v>0.62</v>
      </c>
      <c r="DR71" s="228">
        <v>0.63</v>
      </c>
      <c r="DS71" s="228">
        <v>-0.01</v>
      </c>
      <c r="DT71" s="229">
        <v>-1.5900000000000001E-2</v>
      </c>
      <c r="DU71" s="231">
        <v>2900</v>
      </c>
      <c r="DV71" s="231">
        <v>2700</v>
      </c>
      <c r="DW71" s="228">
        <v>0.48</v>
      </c>
      <c r="DX71" s="228">
        <v>0.52</v>
      </c>
      <c r="DY71" s="228">
        <v>-0.04</v>
      </c>
      <c r="DZ71" s="229">
        <v>-7.6899999999999996E-2</v>
      </c>
      <c r="EA71" s="229">
        <v>3.3E-3</v>
      </c>
      <c r="EB71" s="230">
        <v>44000</v>
      </c>
      <c r="EC71" s="229">
        <v>5.5999999999999999E-3</v>
      </c>
      <c r="ED71" s="229">
        <v>3.3E-3</v>
      </c>
      <c r="EE71" s="228">
        <v>12.09</v>
      </c>
      <c r="EF71" s="229">
        <v>4.3E-3</v>
      </c>
      <c r="EG71" s="230">
        <v>205544</v>
      </c>
      <c r="EH71" s="230">
        <v>480214</v>
      </c>
      <c r="EI71" s="229">
        <v>-0.57199999999999995</v>
      </c>
      <c r="EJ71" s="229">
        <v>0.59309999999999996</v>
      </c>
      <c r="EK71" s="228">
        <v>512.27</v>
      </c>
      <c r="EL71" s="228">
        <v>236.63</v>
      </c>
      <c r="EM71" s="228">
        <v>238.03</v>
      </c>
      <c r="EN71" s="228">
        <v>128.87</v>
      </c>
      <c r="EO71" s="228">
        <v>986.94</v>
      </c>
      <c r="EP71" s="231">
        <v>1324.41</v>
      </c>
      <c r="EQ71" s="228">
        <v>-337.47</v>
      </c>
      <c r="ER71" s="229">
        <v>-0.25480000000000003</v>
      </c>
      <c r="ES71" s="228">
        <v>417.18</v>
      </c>
      <c r="ET71" s="228">
        <v>239.55</v>
      </c>
      <c r="EU71" s="231">
        <v>3996.31</v>
      </c>
      <c r="EV71" s="231">
        <v>38514157</v>
      </c>
      <c r="EW71" s="231">
        <v>4653.04</v>
      </c>
      <c r="EX71" s="231">
        <v>4576.04</v>
      </c>
      <c r="EY71" s="228">
        <v>77</v>
      </c>
      <c r="EZ71" s="229">
        <v>1.6799999999999999E-2</v>
      </c>
      <c r="FA71" s="229">
        <v>0.42720000000000002</v>
      </c>
      <c r="FB71" s="227" t="s">
        <v>556</v>
      </c>
      <c r="FC71">
        <f t="shared" si="1"/>
        <v>13</v>
      </c>
    </row>
    <row r="72" spans="1:159" ht="17.25" thickBot="1" x14ac:dyDescent="0.3">
      <c r="A72" s="226">
        <v>45936</v>
      </c>
      <c r="B72" s="227" t="s">
        <v>184</v>
      </c>
      <c r="C72" s="227" t="s">
        <v>513</v>
      </c>
      <c r="D72" s="228">
        <v>150</v>
      </c>
      <c r="E72" s="228">
        <v>22</v>
      </c>
      <c r="F72" s="231">
        <v>4874.1000000000004</v>
      </c>
      <c r="G72" s="231">
        <v>4894.6000000000004</v>
      </c>
      <c r="H72" s="228">
        <v>-20.5</v>
      </c>
      <c r="I72" s="229">
        <v>-4.1999999999999997E-3</v>
      </c>
      <c r="J72" s="231">
        <v>4845.2</v>
      </c>
      <c r="K72" s="231">
        <v>4870.3999999999996</v>
      </c>
      <c r="L72" s="228">
        <v>-25.2</v>
      </c>
      <c r="M72" s="229">
        <v>-5.1999999999999998E-3</v>
      </c>
      <c r="N72" s="231">
        <v>4874.1000000000004</v>
      </c>
      <c r="O72" s="231">
        <v>4894.6000000000004</v>
      </c>
      <c r="P72" s="228">
        <v>-20.5</v>
      </c>
      <c r="Q72" s="229">
        <v>-4.1999999999999997E-3</v>
      </c>
      <c r="R72" s="231">
        <v>4901.3999999999996</v>
      </c>
      <c r="S72" s="231">
        <v>4920.7</v>
      </c>
      <c r="T72" s="228">
        <v>-19.3</v>
      </c>
      <c r="U72" s="229">
        <v>-3.8999999999999998E-3</v>
      </c>
      <c r="V72" s="231">
        <v>4930</v>
      </c>
      <c r="W72" s="231">
        <v>4949.2</v>
      </c>
      <c r="X72" s="228">
        <v>-19.2</v>
      </c>
      <c r="Y72" s="229">
        <v>-3.8999999999999998E-3</v>
      </c>
      <c r="Z72" s="228">
        <v>28.9</v>
      </c>
      <c r="AA72" s="228">
        <v>24.2</v>
      </c>
      <c r="AB72" s="228">
        <v>4.7</v>
      </c>
      <c r="AC72" s="229">
        <v>6.0000000000000001E-3</v>
      </c>
      <c r="AD72" s="228">
        <v>28.9</v>
      </c>
      <c r="AE72" s="228">
        <v>24.2</v>
      </c>
      <c r="AF72" s="228">
        <v>4.7</v>
      </c>
      <c r="AG72" s="229">
        <v>6.0000000000000001E-3</v>
      </c>
      <c r="AH72" s="228">
        <v>56.2</v>
      </c>
      <c r="AI72" s="228">
        <v>50.3</v>
      </c>
      <c r="AJ72" s="228">
        <v>5.9</v>
      </c>
      <c r="AK72" s="229">
        <v>1.1599999999999999E-2</v>
      </c>
      <c r="AL72" s="228">
        <v>84.8</v>
      </c>
      <c r="AM72" s="228">
        <v>78.8</v>
      </c>
      <c r="AN72" s="228">
        <v>6</v>
      </c>
      <c r="AO72" s="229">
        <v>1.7500000000000002E-2</v>
      </c>
      <c r="AP72" s="231">
        <v>4884.38</v>
      </c>
      <c r="AQ72" s="231">
        <v>4911.83</v>
      </c>
      <c r="AR72" s="228">
        <v>0</v>
      </c>
      <c r="AS72" s="228">
        <v>543</v>
      </c>
      <c r="AT72" s="228">
        <v>633</v>
      </c>
      <c r="AU72" s="228">
        <v>-90</v>
      </c>
      <c r="AV72" s="229">
        <v>-0.1421</v>
      </c>
      <c r="AW72" s="228">
        <v>477</v>
      </c>
      <c r="AX72" s="228">
        <v>556</v>
      </c>
      <c r="AY72" s="228">
        <v>-79</v>
      </c>
      <c r="AZ72" s="229">
        <v>-0.1426</v>
      </c>
      <c r="BA72" s="228">
        <v>56</v>
      </c>
      <c r="BB72" s="228">
        <v>64</v>
      </c>
      <c r="BC72" s="228">
        <v>-8</v>
      </c>
      <c r="BD72" s="229">
        <v>-0.12640000000000001</v>
      </c>
      <c r="BE72" s="228">
        <v>10</v>
      </c>
      <c r="BF72" s="228">
        <v>12</v>
      </c>
      <c r="BG72" s="228">
        <v>-2</v>
      </c>
      <c r="BH72" s="229">
        <v>-0.2024</v>
      </c>
      <c r="BI72" s="230">
        <v>2482</v>
      </c>
      <c r="BJ72" s="230">
        <v>3616</v>
      </c>
      <c r="BK72" s="230">
        <v>-1134</v>
      </c>
      <c r="BL72" s="229">
        <v>-0.31359999999999999</v>
      </c>
      <c r="BM72" s="228">
        <v>706</v>
      </c>
      <c r="BN72" s="228">
        <v>789</v>
      </c>
      <c r="BO72" s="228">
        <v>-83</v>
      </c>
      <c r="BP72" s="229">
        <v>-0.10580000000000001</v>
      </c>
      <c r="BQ72" s="230">
        <v>3731</v>
      </c>
      <c r="BR72" s="230">
        <v>5038</v>
      </c>
      <c r="BS72" s="230">
        <v>-1308</v>
      </c>
      <c r="BT72" s="229">
        <v>-0.25950000000000001</v>
      </c>
      <c r="BU72" s="230">
        <v>612097</v>
      </c>
      <c r="BV72" s="230">
        <v>1022403</v>
      </c>
      <c r="BW72" s="230">
        <v>-410306</v>
      </c>
      <c r="BX72" s="229">
        <v>-0.40129999999999999</v>
      </c>
      <c r="BY72" s="230">
        <v>4316</v>
      </c>
      <c r="BZ72" s="230">
        <v>4240</v>
      </c>
      <c r="CA72" s="228">
        <v>76</v>
      </c>
      <c r="CB72" s="229">
        <v>1.7999999999999999E-2</v>
      </c>
      <c r="CC72" s="230">
        <v>4126</v>
      </c>
      <c r="CD72" s="230">
        <v>4070</v>
      </c>
      <c r="CE72" s="228">
        <v>56</v>
      </c>
      <c r="CF72" s="229">
        <v>1.37E-2</v>
      </c>
      <c r="CG72" s="228">
        <v>174</v>
      </c>
      <c r="CH72" s="228">
        <v>162</v>
      </c>
      <c r="CI72" s="228">
        <v>12</v>
      </c>
      <c r="CJ72" s="229">
        <v>7.5499999999999998E-2</v>
      </c>
      <c r="CK72" s="228">
        <v>16</v>
      </c>
      <c r="CL72" s="228">
        <v>8</v>
      </c>
      <c r="CM72" s="228">
        <v>8</v>
      </c>
      <c r="CN72" s="229">
        <v>0.96460000000000001</v>
      </c>
      <c r="CO72" s="230">
        <v>1739</v>
      </c>
      <c r="CP72" s="230">
        <v>1532</v>
      </c>
      <c r="CQ72" s="228">
        <v>207</v>
      </c>
      <c r="CR72" s="229">
        <v>0.1351</v>
      </c>
      <c r="CS72" s="230">
        <v>1103</v>
      </c>
      <c r="CT72" s="230">
        <v>1080</v>
      </c>
      <c r="CU72" s="228">
        <v>24</v>
      </c>
      <c r="CV72" s="229">
        <v>2.1899999999999999E-2</v>
      </c>
      <c r="CW72" s="230">
        <v>7158</v>
      </c>
      <c r="CX72" s="230">
        <v>6851</v>
      </c>
      <c r="CY72" s="228">
        <v>307</v>
      </c>
      <c r="CZ72" s="229">
        <v>4.48E-2</v>
      </c>
      <c r="DA72" s="228">
        <v>27.74</v>
      </c>
      <c r="DB72" s="228">
        <v>26.2</v>
      </c>
      <c r="DC72" s="228">
        <v>1.54</v>
      </c>
      <c r="DD72" s="228">
        <v>1.54</v>
      </c>
      <c r="DE72" s="228">
        <v>40.42</v>
      </c>
      <c r="DF72" s="228">
        <v>40.51</v>
      </c>
      <c r="DG72" s="228">
        <v>-12.68</v>
      </c>
      <c r="DH72" s="228">
        <v>-0.09</v>
      </c>
      <c r="DI72" s="228">
        <v>27.81</v>
      </c>
      <c r="DJ72" s="228">
        <v>26.13</v>
      </c>
      <c r="DK72" s="228">
        <v>1.68</v>
      </c>
      <c r="DL72" s="228">
        <v>1.68</v>
      </c>
      <c r="DM72" s="228">
        <v>27.47</v>
      </c>
      <c r="DN72" s="228">
        <v>26.48</v>
      </c>
      <c r="DO72" s="228">
        <v>0.99</v>
      </c>
      <c r="DP72" s="228">
        <v>0.99</v>
      </c>
      <c r="DQ72" s="228">
        <v>0.63</v>
      </c>
      <c r="DR72" s="228">
        <v>0.7</v>
      </c>
      <c r="DS72" s="228">
        <v>-7.0000000000000007E-2</v>
      </c>
      <c r="DT72" s="229">
        <v>-0.1</v>
      </c>
      <c r="DU72" s="231">
        <v>5000</v>
      </c>
      <c r="DV72" s="231">
        <v>4800</v>
      </c>
      <c r="DW72" s="228">
        <v>0.28000000000000003</v>
      </c>
      <c r="DX72" s="228">
        <v>0.22</v>
      </c>
      <c r="DY72" s="228">
        <v>0.06</v>
      </c>
      <c r="DZ72" s="229">
        <v>0.2727</v>
      </c>
      <c r="EA72" s="229">
        <v>4.3999999999999997E-2</v>
      </c>
      <c r="EB72" s="230">
        <v>348600</v>
      </c>
      <c r="EC72" s="229">
        <v>5.5999999999999999E-3</v>
      </c>
      <c r="ED72" s="229">
        <v>4.3999999999999997E-2</v>
      </c>
      <c r="EE72" s="228">
        <v>27.45</v>
      </c>
      <c r="EF72" s="229">
        <v>5.5999999999999999E-3</v>
      </c>
      <c r="EG72" s="230">
        <v>264042</v>
      </c>
      <c r="EH72" s="230">
        <v>461447</v>
      </c>
      <c r="EI72" s="229">
        <v>-0.42780000000000001</v>
      </c>
      <c r="EJ72" s="229">
        <v>0.43140000000000001</v>
      </c>
      <c r="EK72" s="231">
        <v>2593.2600000000002</v>
      </c>
      <c r="EL72" s="228">
        <v>698.32</v>
      </c>
      <c r="EM72" s="228">
        <v>544.37</v>
      </c>
      <c r="EN72" s="228">
        <v>205.1</v>
      </c>
      <c r="EO72" s="231">
        <v>3835.95</v>
      </c>
      <c r="EP72" s="231">
        <v>5178.8900000000003</v>
      </c>
      <c r="EQ72" s="231">
        <v>-1342.94</v>
      </c>
      <c r="ER72" s="229">
        <v>-0.25929999999999997</v>
      </c>
      <c r="ES72" s="231">
        <v>1789.36</v>
      </c>
      <c r="ET72" s="231">
        <v>1066.51</v>
      </c>
      <c r="EU72" s="231">
        <v>4316.93</v>
      </c>
      <c r="EV72" s="231">
        <v>28450886</v>
      </c>
      <c r="EW72" s="231">
        <v>7172.79</v>
      </c>
      <c r="EX72" s="231">
        <v>6874.24</v>
      </c>
      <c r="EY72" s="228">
        <v>298.55</v>
      </c>
      <c r="EZ72" s="229">
        <v>4.3400000000000001E-2</v>
      </c>
      <c r="FA72" s="229">
        <v>0.51619999999999999</v>
      </c>
      <c r="FB72" s="227" t="s">
        <v>567</v>
      </c>
      <c r="FC72">
        <f t="shared" si="1"/>
        <v>190</v>
      </c>
    </row>
    <row r="73" spans="1:159" ht="17.25" thickBot="1" x14ac:dyDescent="0.3">
      <c r="A73" s="226">
        <v>45936</v>
      </c>
      <c r="B73" s="227" t="s">
        <v>184</v>
      </c>
      <c r="C73" s="227" t="s">
        <v>220</v>
      </c>
      <c r="D73" s="228">
        <v>500</v>
      </c>
      <c r="E73" s="228">
        <v>22</v>
      </c>
      <c r="F73" s="231">
        <v>1502.6</v>
      </c>
      <c r="G73" s="231">
        <v>1495.4</v>
      </c>
      <c r="H73" s="228">
        <v>7.2</v>
      </c>
      <c r="I73" s="229">
        <v>4.7999999999999996E-3</v>
      </c>
      <c r="J73" s="231">
        <v>1497.7</v>
      </c>
      <c r="K73" s="231">
        <v>1488.1</v>
      </c>
      <c r="L73" s="228">
        <v>9.6</v>
      </c>
      <c r="M73" s="229">
        <v>6.4999999999999997E-3</v>
      </c>
      <c r="N73" s="231">
        <v>1502.6</v>
      </c>
      <c r="O73" s="231">
        <v>1495.4</v>
      </c>
      <c r="P73" s="228">
        <v>7.2</v>
      </c>
      <c r="Q73" s="229">
        <v>4.7999999999999996E-3</v>
      </c>
      <c r="R73" s="231">
        <v>1510.5</v>
      </c>
      <c r="S73" s="231">
        <v>1502.8</v>
      </c>
      <c r="T73" s="228">
        <v>7.7</v>
      </c>
      <c r="U73" s="229">
        <v>5.1000000000000004E-3</v>
      </c>
      <c r="V73" s="231">
        <v>1518</v>
      </c>
      <c r="W73" s="231">
        <v>1510.2</v>
      </c>
      <c r="X73" s="228">
        <v>7.8</v>
      </c>
      <c r="Y73" s="229">
        <v>5.1999999999999998E-3</v>
      </c>
      <c r="Z73" s="228">
        <v>4.9000000000000004</v>
      </c>
      <c r="AA73" s="228">
        <v>7.3</v>
      </c>
      <c r="AB73" s="228">
        <v>-2.4</v>
      </c>
      <c r="AC73" s="229">
        <v>3.3E-3</v>
      </c>
      <c r="AD73" s="228">
        <v>4.9000000000000004</v>
      </c>
      <c r="AE73" s="228">
        <v>7.3</v>
      </c>
      <c r="AF73" s="228">
        <v>-2.4</v>
      </c>
      <c r="AG73" s="229">
        <v>3.3E-3</v>
      </c>
      <c r="AH73" s="228">
        <v>12.8</v>
      </c>
      <c r="AI73" s="228">
        <v>14.7</v>
      </c>
      <c r="AJ73" s="228">
        <v>-1.9</v>
      </c>
      <c r="AK73" s="229">
        <v>8.5000000000000006E-3</v>
      </c>
      <c r="AL73" s="228">
        <v>20.3</v>
      </c>
      <c r="AM73" s="228">
        <v>22.1</v>
      </c>
      <c r="AN73" s="228">
        <v>-1.8</v>
      </c>
      <c r="AO73" s="229">
        <v>1.3599999999999999E-2</v>
      </c>
      <c r="AP73" s="231">
        <v>1500.02</v>
      </c>
      <c r="AQ73" s="231">
        <v>1506.73</v>
      </c>
      <c r="AR73" s="228">
        <v>0</v>
      </c>
      <c r="AS73" s="228">
        <v>168</v>
      </c>
      <c r="AT73" s="228">
        <v>206</v>
      </c>
      <c r="AU73" s="228">
        <v>-38</v>
      </c>
      <c r="AV73" s="229">
        <v>-0.186</v>
      </c>
      <c r="AW73" s="228">
        <v>154</v>
      </c>
      <c r="AX73" s="228">
        <v>197</v>
      </c>
      <c r="AY73" s="228">
        <v>-43</v>
      </c>
      <c r="AZ73" s="229">
        <v>-0.21759999999999999</v>
      </c>
      <c r="BA73" s="228">
        <v>12</v>
      </c>
      <c r="BB73" s="228">
        <v>8</v>
      </c>
      <c r="BC73" s="228">
        <v>5</v>
      </c>
      <c r="BD73" s="229">
        <v>0.62380000000000002</v>
      </c>
      <c r="BE73" s="228">
        <v>1</v>
      </c>
      <c r="BF73" s="228">
        <v>2</v>
      </c>
      <c r="BG73" s="228">
        <v>0</v>
      </c>
      <c r="BH73" s="229">
        <v>-0.13639999999999999</v>
      </c>
      <c r="BI73" s="228">
        <v>277</v>
      </c>
      <c r="BJ73" s="228">
        <v>473</v>
      </c>
      <c r="BK73" s="228">
        <v>-196</v>
      </c>
      <c r="BL73" s="229">
        <v>-0.41470000000000001</v>
      </c>
      <c r="BM73" s="228">
        <v>114</v>
      </c>
      <c r="BN73" s="228">
        <v>180</v>
      </c>
      <c r="BO73" s="228">
        <v>-66</v>
      </c>
      <c r="BP73" s="229">
        <v>-0.36809999999999998</v>
      </c>
      <c r="BQ73" s="228">
        <v>559</v>
      </c>
      <c r="BR73" s="228">
        <v>860</v>
      </c>
      <c r="BS73" s="228">
        <v>-301</v>
      </c>
      <c r="BT73" s="229">
        <v>-0.35010000000000002</v>
      </c>
      <c r="BU73" s="230">
        <v>613001</v>
      </c>
      <c r="BV73" s="230">
        <v>1034584</v>
      </c>
      <c r="BW73" s="230">
        <v>-421583</v>
      </c>
      <c r="BX73" s="229">
        <v>-0.40749999999999997</v>
      </c>
      <c r="BY73" s="230">
        <v>1564</v>
      </c>
      <c r="BZ73" s="230">
        <v>1537</v>
      </c>
      <c r="CA73" s="228">
        <v>27</v>
      </c>
      <c r="CB73" s="229">
        <v>1.7500000000000002E-2</v>
      </c>
      <c r="CC73" s="230">
        <v>1536</v>
      </c>
      <c r="CD73" s="230">
        <v>1513</v>
      </c>
      <c r="CE73" s="228">
        <v>23</v>
      </c>
      <c r="CF73" s="229">
        <v>1.52E-2</v>
      </c>
      <c r="CG73" s="228">
        <v>26</v>
      </c>
      <c r="CH73" s="228">
        <v>23</v>
      </c>
      <c r="CI73" s="228">
        <v>3</v>
      </c>
      <c r="CJ73" s="229">
        <v>0.15329999999999999</v>
      </c>
      <c r="CK73" s="228">
        <v>2</v>
      </c>
      <c r="CL73" s="228">
        <v>2</v>
      </c>
      <c r="CM73" s="228">
        <v>0</v>
      </c>
      <c r="CN73" s="229">
        <v>0.3</v>
      </c>
      <c r="CO73" s="228">
        <v>374</v>
      </c>
      <c r="CP73" s="228">
        <v>351</v>
      </c>
      <c r="CQ73" s="228">
        <v>24</v>
      </c>
      <c r="CR73" s="229">
        <v>6.7500000000000004E-2</v>
      </c>
      <c r="CS73" s="228">
        <v>242</v>
      </c>
      <c r="CT73" s="228">
        <v>226</v>
      </c>
      <c r="CU73" s="228">
        <v>17</v>
      </c>
      <c r="CV73" s="229">
        <v>7.46E-2</v>
      </c>
      <c r="CW73" s="230">
        <v>2181</v>
      </c>
      <c r="CX73" s="230">
        <v>2113</v>
      </c>
      <c r="CY73" s="228">
        <v>67</v>
      </c>
      <c r="CZ73" s="229">
        <v>3.1899999999999998E-2</v>
      </c>
      <c r="DA73" s="228">
        <v>26.02</v>
      </c>
      <c r="DB73" s="228">
        <v>24.84</v>
      </c>
      <c r="DC73" s="228">
        <v>1.18</v>
      </c>
      <c r="DD73" s="228">
        <v>1.18</v>
      </c>
      <c r="DE73" s="228">
        <v>28.8</v>
      </c>
      <c r="DF73" s="228">
        <v>28.87</v>
      </c>
      <c r="DG73" s="228">
        <v>-2.78</v>
      </c>
      <c r="DH73" s="228">
        <v>-7.0000000000000007E-2</v>
      </c>
      <c r="DI73" s="228">
        <v>26.08</v>
      </c>
      <c r="DJ73" s="228">
        <v>24.88</v>
      </c>
      <c r="DK73" s="228">
        <v>1.2</v>
      </c>
      <c r="DL73" s="228">
        <v>1.2</v>
      </c>
      <c r="DM73" s="228">
        <v>25.88</v>
      </c>
      <c r="DN73" s="228">
        <v>24.74</v>
      </c>
      <c r="DO73" s="228">
        <v>1.1399999999999999</v>
      </c>
      <c r="DP73" s="228">
        <v>1.1399999999999999</v>
      </c>
      <c r="DQ73" s="228">
        <v>0.65</v>
      </c>
      <c r="DR73" s="228">
        <v>0.64</v>
      </c>
      <c r="DS73" s="228">
        <v>0.01</v>
      </c>
      <c r="DT73" s="229">
        <v>1.5599999999999999E-2</v>
      </c>
      <c r="DU73" s="231">
        <v>1600</v>
      </c>
      <c r="DV73" s="231">
        <v>1500</v>
      </c>
      <c r="DW73" s="228">
        <v>0.41</v>
      </c>
      <c r="DX73" s="228">
        <v>0.38</v>
      </c>
      <c r="DY73" s="228">
        <v>0.03</v>
      </c>
      <c r="DZ73" s="229">
        <v>7.8899999999999998E-2</v>
      </c>
      <c r="EA73" s="229">
        <v>1.7899999999999999E-2</v>
      </c>
      <c r="EB73" s="230">
        <v>160000</v>
      </c>
      <c r="EC73" s="229">
        <v>5.3E-3</v>
      </c>
      <c r="ED73" s="229">
        <v>1.7899999999999999E-2</v>
      </c>
      <c r="EE73" s="228">
        <v>6.71</v>
      </c>
      <c r="EF73" s="229">
        <v>4.4999999999999997E-3</v>
      </c>
      <c r="EG73" s="230">
        <v>385069</v>
      </c>
      <c r="EH73" s="230">
        <v>715745</v>
      </c>
      <c r="EI73" s="229">
        <v>-0.46200000000000002</v>
      </c>
      <c r="EJ73" s="229">
        <v>0.62819999999999998</v>
      </c>
      <c r="EK73" s="228">
        <v>288.77999999999997</v>
      </c>
      <c r="EL73" s="228">
        <v>112.49</v>
      </c>
      <c r="EM73" s="228">
        <v>167.77</v>
      </c>
      <c r="EN73" s="228">
        <v>64.19</v>
      </c>
      <c r="EO73" s="228">
        <v>569.03</v>
      </c>
      <c r="EP73" s="228">
        <v>874.18</v>
      </c>
      <c r="EQ73" s="228">
        <v>-305.14999999999998</v>
      </c>
      <c r="ER73" s="229">
        <v>-0.34910000000000002</v>
      </c>
      <c r="ES73" s="228">
        <v>392.94</v>
      </c>
      <c r="ET73" s="228">
        <v>238.42</v>
      </c>
      <c r="EU73" s="231">
        <v>1564.06</v>
      </c>
      <c r="EV73" s="231">
        <v>38133766</v>
      </c>
      <c r="EW73" s="231">
        <v>2195.42</v>
      </c>
      <c r="EX73" s="231">
        <v>2119.52</v>
      </c>
      <c r="EY73" s="228">
        <v>75.900000000000006</v>
      </c>
      <c r="EZ73" s="229">
        <v>3.5799999999999998E-2</v>
      </c>
      <c r="FA73" s="229">
        <v>0.38059999999999999</v>
      </c>
      <c r="FB73" s="227" t="s">
        <v>555</v>
      </c>
      <c r="FC73">
        <f t="shared" si="1"/>
        <v>28</v>
      </c>
    </row>
    <row r="74" spans="1:159" ht="17.25" thickBot="1" x14ac:dyDescent="0.3">
      <c r="A74" s="226">
        <v>45936</v>
      </c>
      <c r="B74" s="227" t="s">
        <v>221</v>
      </c>
      <c r="C74" s="227" t="s">
        <v>222</v>
      </c>
      <c r="D74" s="228">
        <v>350</v>
      </c>
      <c r="E74" s="228">
        <v>22</v>
      </c>
      <c r="F74" s="231">
        <v>1414</v>
      </c>
      <c r="G74" s="231">
        <v>1386.9</v>
      </c>
      <c r="H74" s="228">
        <v>27.1</v>
      </c>
      <c r="I74" s="229">
        <v>1.95E-2</v>
      </c>
      <c r="J74" s="231">
        <v>1417.7</v>
      </c>
      <c r="K74" s="231">
        <v>1393.5</v>
      </c>
      <c r="L74" s="228">
        <v>24.2</v>
      </c>
      <c r="M74" s="229">
        <v>1.7399999999999999E-2</v>
      </c>
      <c r="N74" s="231">
        <v>1414</v>
      </c>
      <c r="O74" s="231">
        <v>1386.9</v>
      </c>
      <c r="P74" s="228">
        <v>27.1</v>
      </c>
      <c r="Q74" s="229">
        <v>1.95E-2</v>
      </c>
      <c r="R74" s="231">
        <v>1421.4</v>
      </c>
      <c r="S74" s="231">
        <v>1394.9</v>
      </c>
      <c r="T74" s="228">
        <v>26.5</v>
      </c>
      <c r="U74" s="229">
        <v>1.9E-2</v>
      </c>
      <c r="V74" s="231">
        <v>1430.1</v>
      </c>
      <c r="W74" s="231">
        <v>1402.7</v>
      </c>
      <c r="X74" s="228">
        <v>27.4</v>
      </c>
      <c r="Y74" s="229">
        <v>1.95E-2</v>
      </c>
      <c r="Z74" s="228">
        <v>-3.7</v>
      </c>
      <c r="AA74" s="228">
        <v>-6.6</v>
      </c>
      <c r="AB74" s="228">
        <v>2.9</v>
      </c>
      <c r="AC74" s="229">
        <v>-2.5999999999999999E-3</v>
      </c>
      <c r="AD74" s="228">
        <v>-3.7</v>
      </c>
      <c r="AE74" s="228">
        <v>-6.6</v>
      </c>
      <c r="AF74" s="228">
        <v>2.9</v>
      </c>
      <c r="AG74" s="229">
        <v>-2.5999999999999999E-3</v>
      </c>
      <c r="AH74" s="228">
        <v>3.7</v>
      </c>
      <c r="AI74" s="228">
        <v>1.4</v>
      </c>
      <c r="AJ74" s="228">
        <v>2.2999999999999998</v>
      </c>
      <c r="AK74" s="229">
        <v>2.5999999999999999E-3</v>
      </c>
      <c r="AL74" s="228">
        <v>12.4</v>
      </c>
      <c r="AM74" s="228">
        <v>9.1999999999999993</v>
      </c>
      <c r="AN74" s="228">
        <v>3.2</v>
      </c>
      <c r="AO74" s="229">
        <v>8.6999999999999994E-3</v>
      </c>
      <c r="AP74" s="231">
        <v>1407.62</v>
      </c>
      <c r="AQ74" s="231">
        <v>1414.09</v>
      </c>
      <c r="AR74" s="228">
        <v>0</v>
      </c>
      <c r="AS74" s="228">
        <v>422</v>
      </c>
      <c r="AT74" s="228">
        <v>330</v>
      </c>
      <c r="AU74" s="228">
        <v>92</v>
      </c>
      <c r="AV74" s="229">
        <v>0.27960000000000002</v>
      </c>
      <c r="AW74" s="228">
        <v>404</v>
      </c>
      <c r="AX74" s="228">
        <v>316</v>
      </c>
      <c r="AY74" s="228">
        <v>88</v>
      </c>
      <c r="AZ74" s="229">
        <v>0.27679999999999999</v>
      </c>
      <c r="BA74" s="228">
        <v>13</v>
      </c>
      <c r="BB74" s="228">
        <v>11</v>
      </c>
      <c r="BC74" s="228">
        <v>2</v>
      </c>
      <c r="BD74" s="229">
        <v>0.1515</v>
      </c>
      <c r="BE74" s="228">
        <v>5</v>
      </c>
      <c r="BF74" s="228">
        <v>2</v>
      </c>
      <c r="BG74" s="228">
        <v>3</v>
      </c>
      <c r="BH74" s="229">
        <v>1.5263</v>
      </c>
      <c r="BI74" s="230">
        <v>1182</v>
      </c>
      <c r="BJ74" s="228">
        <v>494</v>
      </c>
      <c r="BK74" s="228">
        <v>688</v>
      </c>
      <c r="BL74" s="229">
        <v>1.393</v>
      </c>
      <c r="BM74" s="228">
        <v>447</v>
      </c>
      <c r="BN74" s="228">
        <v>353</v>
      </c>
      <c r="BO74" s="228">
        <v>94</v>
      </c>
      <c r="BP74" s="229">
        <v>0.26700000000000002</v>
      </c>
      <c r="BQ74" s="230">
        <v>2051</v>
      </c>
      <c r="BR74" s="230">
        <v>1176</v>
      </c>
      <c r="BS74" s="228">
        <v>874</v>
      </c>
      <c r="BT74" s="229">
        <v>0.74329999999999996</v>
      </c>
      <c r="BU74" s="230">
        <v>2083912</v>
      </c>
      <c r="BV74" s="230">
        <v>2833266</v>
      </c>
      <c r="BW74" s="230">
        <v>-749354</v>
      </c>
      <c r="BX74" s="229">
        <v>-0.26450000000000001</v>
      </c>
      <c r="BY74" s="230">
        <v>2962</v>
      </c>
      <c r="BZ74" s="230">
        <v>2952</v>
      </c>
      <c r="CA74" s="228">
        <v>10</v>
      </c>
      <c r="CB74" s="229">
        <v>3.5000000000000001E-3</v>
      </c>
      <c r="CC74" s="230">
        <v>2891</v>
      </c>
      <c r="CD74" s="230">
        <v>2884</v>
      </c>
      <c r="CE74" s="228">
        <v>8</v>
      </c>
      <c r="CF74" s="229">
        <v>2.5999999999999999E-3</v>
      </c>
      <c r="CG74" s="228">
        <v>67</v>
      </c>
      <c r="CH74" s="228">
        <v>66</v>
      </c>
      <c r="CI74" s="228">
        <v>1</v>
      </c>
      <c r="CJ74" s="229">
        <v>1.2E-2</v>
      </c>
      <c r="CK74" s="228">
        <v>4</v>
      </c>
      <c r="CL74" s="228">
        <v>2</v>
      </c>
      <c r="CM74" s="228">
        <v>2</v>
      </c>
      <c r="CN74" s="229">
        <v>0.74</v>
      </c>
      <c r="CO74" s="228">
        <v>714</v>
      </c>
      <c r="CP74" s="228">
        <v>646</v>
      </c>
      <c r="CQ74" s="228">
        <v>67</v>
      </c>
      <c r="CR74" s="229">
        <v>0.1041</v>
      </c>
      <c r="CS74" s="228">
        <v>560</v>
      </c>
      <c r="CT74" s="228">
        <v>540</v>
      </c>
      <c r="CU74" s="228">
        <v>20</v>
      </c>
      <c r="CV74" s="229">
        <v>3.6600000000000001E-2</v>
      </c>
      <c r="CW74" s="230">
        <v>4236</v>
      </c>
      <c r="CX74" s="230">
        <v>4139</v>
      </c>
      <c r="CY74" s="228">
        <v>97</v>
      </c>
      <c r="CZ74" s="229">
        <v>2.35E-2</v>
      </c>
      <c r="DA74" s="228">
        <v>26</v>
      </c>
      <c r="DB74" s="228">
        <v>25.57</v>
      </c>
      <c r="DC74" s="228">
        <v>0.43</v>
      </c>
      <c r="DD74" s="228">
        <v>0.43</v>
      </c>
      <c r="DE74" s="228">
        <v>29.19</v>
      </c>
      <c r="DF74" s="228">
        <v>29.17</v>
      </c>
      <c r="DG74" s="228">
        <v>-3.19</v>
      </c>
      <c r="DH74" s="228">
        <v>0.02</v>
      </c>
      <c r="DI74" s="228">
        <v>25.75</v>
      </c>
      <c r="DJ74" s="228">
        <v>25.38</v>
      </c>
      <c r="DK74" s="228">
        <v>0.37</v>
      </c>
      <c r="DL74" s="228">
        <v>0.37</v>
      </c>
      <c r="DM74" s="228">
        <v>26.66</v>
      </c>
      <c r="DN74" s="228">
        <v>25.84</v>
      </c>
      <c r="DO74" s="228">
        <v>0.82</v>
      </c>
      <c r="DP74" s="228">
        <v>0.82</v>
      </c>
      <c r="DQ74" s="228">
        <v>0.79</v>
      </c>
      <c r="DR74" s="228">
        <v>0.84</v>
      </c>
      <c r="DS74" s="228">
        <v>-0.05</v>
      </c>
      <c r="DT74" s="229">
        <v>-5.9499999999999997E-2</v>
      </c>
      <c r="DU74" s="231">
        <v>1500</v>
      </c>
      <c r="DV74" s="231">
        <v>1400</v>
      </c>
      <c r="DW74" s="228">
        <v>0.38</v>
      </c>
      <c r="DX74" s="228">
        <v>0.71</v>
      </c>
      <c r="DY74" s="228">
        <v>-0.33</v>
      </c>
      <c r="DZ74" s="229">
        <v>-0.46479999999999999</v>
      </c>
      <c r="EA74" s="229">
        <v>2.3900000000000001E-2</v>
      </c>
      <c r="EB74" s="230">
        <v>483000</v>
      </c>
      <c r="EC74" s="229">
        <v>5.1999999999999998E-3</v>
      </c>
      <c r="ED74" s="229">
        <v>2.3900000000000001E-2</v>
      </c>
      <c r="EE74" s="228">
        <v>6.47</v>
      </c>
      <c r="EF74" s="229">
        <v>4.5999999999999999E-3</v>
      </c>
      <c r="EG74" s="230">
        <v>1361780</v>
      </c>
      <c r="EH74" s="230">
        <v>1869661</v>
      </c>
      <c r="EI74" s="229">
        <v>-0.27160000000000001</v>
      </c>
      <c r="EJ74" s="229">
        <v>0.65349999999999997</v>
      </c>
      <c r="EK74" s="231">
        <v>1233.6300000000001</v>
      </c>
      <c r="EL74" s="228">
        <v>441.33</v>
      </c>
      <c r="EM74" s="228">
        <v>419.92</v>
      </c>
      <c r="EN74" s="228">
        <v>190.24</v>
      </c>
      <c r="EO74" s="231">
        <v>2094.88</v>
      </c>
      <c r="EP74" s="231">
        <v>1169.54</v>
      </c>
      <c r="EQ74" s="228">
        <v>925.34</v>
      </c>
      <c r="ER74" s="229">
        <v>0.79120000000000001</v>
      </c>
      <c r="ES74" s="228">
        <v>747.92</v>
      </c>
      <c r="ET74" s="228">
        <v>543.66</v>
      </c>
      <c r="EU74" s="231">
        <v>2962.52</v>
      </c>
      <c r="EV74" s="231">
        <v>145993539</v>
      </c>
      <c r="EW74" s="231">
        <v>4254.1099999999997</v>
      </c>
      <c r="EX74" s="231">
        <v>4094.22</v>
      </c>
      <c r="EY74" s="228">
        <v>159.88999999999999</v>
      </c>
      <c r="EZ74" s="229">
        <v>3.9100000000000003E-2</v>
      </c>
      <c r="FA74" s="229">
        <v>0.20519999999999999</v>
      </c>
      <c r="FB74" s="227" t="s">
        <v>555</v>
      </c>
      <c r="FC74">
        <f t="shared" si="1"/>
        <v>71</v>
      </c>
    </row>
    <row r="75" spans="1:159" ht="17.25" thickBot="1" x14ac:dyDescent="0.3">
      <c r="A75" s="226">
        <v>45936</v>
      </c>
      <c r="B75" s="227" t="s">
        <v>175</v>
      </c>
      <c r="C75" s="227" t="s">
        <v>475</v>
      </c>
      <c r="D75" s="228">
        <v>150</v>
      </c>
      <c r="E75" s="228">
        <v>22</v>
      </c>
      <c r="F75" s="231">
        <v>5693.5</v>
      </c>
      <c r="G75" s="231">
        <v>5621</v>
      </c>
      <c r="H75" s="228">
        <v>72.5</v>
      </c>
      <c r="I75" s="229">
        <v>1.29E-2</v>
      </c>
      <c r="J75" s="231">
        <v>5661</v>
      </c>
      <c r="K75" s="231">
        <v>5591</v>
      </c>
      <c r="L75" s="228">
        <v>70</v>
      </c>
      <c r="M75" s="229">
        <v>1.2500000000000001E-2</v>
      </c>
      <c r="N75" s="231">
        <v>5693.5</v>
      </c>
      <c r="O75" s="231">
        <v>5621</v>
      </c>
      <c r="P75" s="228">
        <v>72.5</v>
      </c>
      <c r="Q75" s="229">
        <v>1.29E-2</v>
      </c>
      <c r="R75" s="231">
        <v>5720.5</v>
      </c>
      <c r="S75" s="231">
        <v>5646.5</v>
      </c>
      <c r="T75" s="228">
        <v>74</v>
      </c>
      <c r="U75" s="229">
        <v>1.3100000000000001E-2</v>
      </c>
      <c r="V75" s="231">
        <v>5712</v>
      </c>
      <c r="W75" s="231">
        <v>5668.5</v>
      </c>
      <c r="X75" s="228">
        <v>43.5</v>
      </c>
      <c r="Y75" s="229">
        <v>7.7000000000000002E-3</v>
      </c>
      <c r="Z75" s="228">
        <v>32.5</v>
      </c>
      <c r="AA75" s="228">
        <v>30</v>
      </c>
      <c r="AB75" s="228">
        <v>2.5</v>
      </c>
      <c r="AC75" s="229">
        <v>5.7000000000000002E-3</v>
      </c>
      <c r="AD75" s="228">
        <v>32.5</v>
      </c>
      <c r="AE75" s="228">
        <v>30</v>
      </c>
      <c r="AF75" s="228">
        <v>2.5</v>
      </c>
      <c r="AG75" s="229">
        <v>5.7000000000000002E-3</v>
      </c>
      <c r="AH75" s="228">
        <v>59.5</v>
      </c>
      <c r="AI75" s="228">
        <v>55.5</v>
      </c>
      <c r="AJ75" s="228">
        <v>4</v>
      </c>
      <c r="AK75" s="229">
        <v>1.0500000000000001E-2</v>
      </c>
      <c r="AL75" s="228">
        <v>51</v>
      </c>
      <c r="AM75" s="228">
        <v>77.5</v>
      </c>
      <c r="AN75" s="228">
        <v>-26.5</v>
      </c>
      <c r="AO75" s="229">
        <v>8.9999999999999993E-3</v>
      </c>
      <c r="AP75" s="231">
        <v>5665.55</v>
      </c>
      <c r="AQ75" s="231">
        <v>5693.93</v>
      </c>
      <c r="AR75" s="228">
        <v>0</v>
      </c>
      <c r="AS75" s="228">
        <v>202</v>
      </c>
      <c r="AT75" s="228">
        <v>166</v>
      </c>
      <c r="AU75" s="228">
        <v>37</v>
      </c>
      <c r="AV75" s="229">
        <v>0.2205</v>
      </c>
      <c r="AW75" s="228">
        <v>190</v>
      </c>
      <c r="AX75" s="228">
        <v>162</v>
      </c>
      <c r="AY75" s="228">
        <v>28</v>
      </c>
      <c r="AZ75" s="229">
        <v>0.1721</v>
      </c>
      <c r="BA75" s="228">
        <v>12</v>
      </c>
      <c r="BB75" s="228">
        <v>3</v>
      </c>
      <c r="BC75" s="228">
        <v>8</v>
      </c>
      <c r="BD75" s="229">
        <v>2.4615</v>
      </c>
      <c r="BE75" s="228">
        <v>1</v>
      </c>
      <c r="BF75" s="228">
        <v>0</v>
      </c>
      <c r="BG75" s="228">
        <v>0</v>
      </c>
      <c r="BH75" s="229">
        <v>2.5</v>
      </c>
      <c r="BI75" s="228">
        <v>457</v>
      </c>
      <c r="BJ75" s="228">
        <v>365</v>
      </c>
      <c r="BK75" s="228">
        <v>92</v>
      </c>
      <c r="BL75" s="229">
        <v>0.25180000000000002</v>
      </c>
      <c r="BM75" s="228">
        <v>169</v>
      </c>
      <c r="BN75" s="228">
        <v>137</v>
      </c>
      <c r="BO75" s="228">
        <v>32</v>
      </c>
      <c r="BP75" s="229">
        <v>0.23269999999999999</v>
      </c>
      <c r="BQ75" s="228">
        <v>829</v>
      </c>
      <c r="BR75" s="228">
        <v>668</v>
      </c>
      <c r="BS75" s="228">
        <v>160</v>
      </c>
      <c r="BT75" s="229">
        <v>0.24010000000000001</v>
      </c>
      <c r="BU75" s="230">
        <v>274562</v>
      </c>
      <c r="BV75" s="230">
        <v>438054</v>
      </c>
      <c r="BW75" s="230">
        <v>-163492</v>
      </c>
      <c r="BX75" s="229">
        <v>-0.37319999999999998</v>
      </c>
      <c r="BY75" s="230">
        <v>1175</v>
      </c>
      <c r="BZ75" s="230">
        <v>1150</v>
      </c>
      <c r="CA75" s="228">
        <v>26</v>
      </c>
      <c r="CB75" s="229">
        <v>2.24E-2</v>
      </c>
      <c r="CC75" s="230">
        <v>1159</v>
      </c>
      <c r="CD75" s="230">
        <v>1140</v>
      </c>
      <c r="CE75" s="228">
        <v>19</v>
      </c>
      <c r="CF75" s="229">
        <v>1.66E-2</v>
      </c>
      <c r="CG75" s="228">
        <v>16</v>
      </c>
      <c r="CH75" s="228">
        <v>9</v>
      </c>
      <c r="CI75" s="228">
        <v>6</v>
      </c>
      <c r="CJ75" s="229">
        <v>0.71699999999999997</v>
      </c>
      <c r="CK75" s="228">
        <v>1</v>
      </c>
      <c r="CL75" s="228">
        <v>0</v>
      </c>
      <c r="CM75" s="228">
        <v>0</v>
      </c>
      <c r="CN75" s="229">
        <v>0.75</v>
      </c>
      <c r="CO75" s="228">
        <v>288</v>
      </c>
      <c r="CP75" s="228">
        <v>274</v>
      </c>
      <c r="CQ75" s="228">
        <v>14</v>
      </c>
      <c r="CR75" s="229">
        <v>5.0500000000000003E-2</v>
      </c>
      <c r="CS75" s="228">
        <v>256</v>
      </c>
      <c r="CT75" s="228">
        <v>258</v>
      </c>
      <c r="CU75" s="228">
        <v>-2</v>
      </c>
      <c r="CV75" s="229">
        <v>-7.9000000000000008E-3</v>
      </c>
      <c r="CW75" s="230">
        <v>1719</v>
      </c>
      <c r="CX75" s="230">
        <v>1682</v>
      </c>
      <c r="CY75" s="228">
        <v>37</v>
      </c>
      <c r="CZ75" s="229">
        <v>2.23E-2</v>
      </c>
      <c r="DA75" s="228">
        <v>25.71</v>
      </c>
      <c r="DB75" s="228">
        <v>24.67</v>
      </c>
      <c r="DC75" s="228">
        <v>1.04</v>
      </c>
      <c r="DD75" s="228">
        <v>1.04</v>
      </c>
      <c r="DE75" s="228">
        <v>35.14</v>
      </c>
      <c r="DF75" s="228">
        <v>35.18</v>
      </c>
      <c r="DG75" s="228">
        <v>-9.43</v>
      </c>
      <c r="DH75" s="228">
        <v>-0.04</v>
      </c>
      <c r="DI75" s="228">
        <v>25.52</v>
      </c>
      <c r="DJ75" s="228">
        <v>24.5</v>
      </c>
      <c r="DK75" s="228">
        <v>1.02</v>
      </c>
      <c r="DL75" s="228">
        <v>1.02</v>
      </c>
      <c r="DM75" s="228">
        <v>26.24</v>
      </c>
      <c r="DN75" s="228">
        <v>25.13</v>
      </c>
      <c r="DO75" s="228">
        <v>1.1100000000000001</v>
      </c>
      <c r="DP75" s="228">
        <v>1.1100000000000001</v>
      </c>
      <c r="DQ75" s="228">
        <v>0.89</v>
      </c>
      <c r="DR75" s="228">
        <v>0.94</v>
      </c>
      <c r="DS75" s="228">
        <v>-0.05</v>
      </c>
      <c r="DT75" s="229">
        <v>-5.3199999999999997E-2</v>
      </c>
      <c r="DU75" s="231">
        <v>5800</v>
      </c>
      <c r="DV75" s="231">
        <v>5500</v>
      </c>
      <c r="DW75" s="228">
        <v>0.37</v>
      </c>
      <c r="DX75" s="228">
        <v>0.38</v>
      </c>
      <c r="DY75" s="228">
        <v>-0.01</v>
      </c>
      <c r="DZ75" s="229">
        <v>-2.63E-2</v>
      </c>
      <c r="EA75" s="229">
        <v>1.37E-2</v>
      </c>
      <c r="EB75" s="230">
        <v>16500</v>
      </c>
      <c r="EC75" s="229">
        <v>4.7000000000000002E-3</v>
      </c>
      <c r="ED75" s="229">
        <v>1.37E-2</v>
      </c>
      <c r="EE75" s="228">
        <v>28.38</v>
      </c>
      <c r="EF75" s="229">
        <v>5.0000000000000001E-3</v>
      </c>
      <c r="EG75" s="230">
        <v>179406</v>
      </c>
      <c r="EH75" s="230">
        <v>331991</v>
      </c>
      <c r="EI75" s="229">
        <v>-0.45960000000000001</v>
      </c>
      <c r="EJ75" s="229">
        <v>0.65339999999999998</v>
      </c>
      <c r="EK75" s="228">
        <v>473.08</v>
      </c>
      <c r="EL75" s="228">
        <v>165.92</v>
      </c>
      <c r="EM75" s="228">
        <v>201.39</v>
      </c>
      <c r="EN75" s="228">
        <v>57.26</v>
      </c>
      <c r="EO75" s="228">
        <v>840.39</v>
      </c>
      <c r="EP75" s="228">
        <v>672.23</v>
      </c>
      <c r="EQ75" s="228">
        <v>168.16</v>
      </c>
      <c r="ER75" s="229">
        <v>0.25009999999999999</v>
      </c>
      <c r="ES75" s="228">
        <v>295.36</v>
      </c>
      <c r="ET75" s="228">
        <v>248.02</v>
      </c>
      <c r="EU75" s="231">
        <v>1175.3</v>
      </c>
      <c r="EV75" s="231">
        <v>15259458</v>
      </c>
      <c r="EW75" s="231">
        <v>1718.68</v>
      </c>
      <c r="EX75" s="231">
        <v>1665.45</v>
      </c>
      <c r="EY75" s="228">
        <v>53.23</v>
      </c>
      <c r="EZ75" s="229">
        <v>3.2000000000000001E-2</v>
      </c>
      <c r="FA75" s="229">
        <v>0.19789999999999999</v>
      </c>
      <c r="FB75" s="227" t="s">
        <v>555</v>
      </c>
      <c r="FC75">
        <f t="shared" si="1"/>
        <v>16</v>
      </c>
    </row>
    <row r="76" spans="1:159" ht="17.25" thickBot="1" x14ac:dyDescent="0.3">
      <c r="A76" s="226">
        <v>45936</v>
      </c>
      <c r="B76" s="227" t="s">
        <v>172</v>
      </c>
      <c r="C76" s="227" t="s">
        <v>224</v>
      </c>
      <c r="D76" s="228">
        <v>1100</v>
      </c>
      <c r="E76" s="228">
        <v>22</v>
      </c>
      <c r="F76" s="228">
        <v>976.6</v>
      </c>
      <c r="G76" s="228">
        <v>968.6</v>
      </c>
      <c r="H76" s="228">
        <v>8</v>
      </c>
      <c r="I76" s="229">
        <v>8.3000000000000001E-3</v>
      </c>
      <c r="J76" s="228">
        <v>973.45</v>
      </c>
      <c r="K76" s="228">
        <v>965.15</v>
      </c>
      <c r="L76" s="228">
        <v>8.3000000000000007</v>
      </c>
      <c r="M76" s="229">
        <v>8.6E-3</v>
      </c>
      <c r="N76" s="228">
        <v>976.6</v>
      </c>
      <c r="O76" s="228">
        <v>968.6</v>
      </c>
      <c r="P76" s="228">
        <v>8</v>
      </c>
      <c r="Q76" s="229">
        <v>8.3000000000000001E-3</v>
      </c>
      <c r="R76" s="228">
        <v>981.75</v>
      </c>
      <c r="S76" s="228">
        <v>973.6</v>
      </c>
      <c r="T76" s="228">
        <v>8.15</v>
      </c>
      <c r="U76" s="229">
        <v>8.3999999999999995E-3</v>
      </c>
      <c r="V76" s="228">
        <v>987.5</v>
      </c>
      <c r="W76" s="228">
        <v>979.15</v>
      </c>
      <c r="X76" s="228">
        <v>8.35</v>
      </c>
      <c r="Y76" s="229">
        <v>8.5000000000000006E-3</v>
      </c>
      <c r="Z76" s="228">
        <v>3.15</v>
      </c>
      <c r="AA76" s="228">
        <v>3.45</v>
      </c>
      <c r="AB76" s="228">
        <v>-0.3</v>
      </c>
      <c r="AC76" s="229">
        <v>3.2000000000000002E-3</v>
      </c>
      <c r="AD76" s="228">
        <v>3.15</v>
      </c>
      <c r="AE76" s="228">
        <v>3.45</v>
      </c>
      <c r="AF76" s="228">
        <v>-0.3</v>
      </c>
      <c r="AG76" s="229">
        <v>3.2000000000000002E-3</v>
      </c>
      <c r="AH76" s="228">
        <v>8.3000000000000007</v>
      </c>
      <c r="AI76" s="228">
        <v>8.4499999999999993</v>
      </c>
      <c r="AJ76" s="228">
        <v>-0.15</v>
      </c>
      <c r="AK76" s="229">
        <v>8.5000000000000006E-3</v>
      </c>
      <c r="AL76" s="228">
        <v>14.05</v>
      </c>
      <c r="AM76" s="228">
        <v>14</v>
      </c>
      <c r="AN76" s="228">
        <v>0.05</v>
      </c>
      <c r="AO76" s="229">
        <v>1.44E-2</v>
      </c>
      <c r="AP76" s="228">
        <v>975.91</v>
      </c>
      <c r="AQ76" s="228">
        <v>981.22</v>
      </c>
      <c r="AR76" s="228">
        <v>0</v>
      </c>
      <c r="AS76" s="230">
        <v>2901</v>
      </c>
      <c r="AT76" s="230">
        <v>3221</v>
      </c>
      <c r="AU76" s="228">
        <v>-320</v>
      </c>
      <c r="AV76" s="229">
        <v>-9.9299999999999999E-2</v>
      </c>
      <c r="AW76" s="230">
        <v>2802</v>
      </c>
      <c r="AX76" s="230">
        <v>2983</v>
      </c>
      <c r="AY76" s="228">
        <v>-181</v>
      </c>
      <c r="AZ76" s="229">
        <v>-6.0699999999999997E-2</v>
      </c>
      <c r="BA76" s="228">
        <v>90</v>
      </c>
      <c r="BB76" s="228">
        <v>61</v>
      </c>
      <c r="BC76" s="228">
        <v>29</v>
      </c>
      <c r="BD76" s="229">
        <v>0.4703</v>
      </c>
      <c r="BE76" s="228">
        <v>9</v>
      </c>
      <c r="BF76" s="228">
        <v>176</v>
      </c>
      <c r="BG76" s="228">
        <v>-168</v>
      </c>
      <c r="BH76" s="229">
        <v>-0.9506</v>
      </c>
      <c r="BI76" s="230">
        <v>6479</v>
      </c>
      <c r="BJ76" s="230">
        <v>5285</v>
      </c>
      <c r="BK76" s="230">
        <v>1195</v>
      </c>
      <c r="BL76" s="229">
        <v>0.22600000000000001</v>
      </c>
      <c r="BM76" s="230">
        <v>3734</v>
      </c>
      <c r="BN76" s="230">
        <v>3098</v>
      </c>
      <c r="BO76" s="228">
        <v>635</v>
      </c>
      <c r="BP76" s="229">
        <v>0.20499999999999999</v>
      </c>
      <c r="BQ76" s="230">
        <v>13114</v>
      </c>
      <c r="BR76" s="230">
        <v>11604</v>
      </c>
      <c r="BS76" s="230">
        <v>1510</v>
      </c>
      <c r="BT76" s="229">
        <v>0.13009999999999999</v>
      </c>
      <c r="BU76" s="230">
        <v>19481005</v>
      </c>
      <c r="BV76" s="230">
        <v>27147844</v>
      </c>
      <c r="BW76" s="230">
        <v>-7666839</v>
      </c>
      <c r="BX76" s="229">
        <v>-0.28239999999999998</v>
      </c>
      <c r="BY76" s="230">
        <v>20813</v>
      </c>
      <c r="BZ76" s="230">
        <v>21213</v>
      </c>
      <c r="CA76" s="228">
        <v>-400</v>
      </c>
      <c r="CB76" s="229">
        <v>-1.89E-2</v>
      </c>
      <c r="CC76" s="230">
        <v>20354</v>
      </c>
      <c r="CD76" s="230">
        <v>20760</v>
      </c>
      <c r="CE76" s="228">
        <v>-406</v>
      </c>
      <c r="CF76" s="229">
        <v>-1.9599999999999999E-2</v>
      </c>
      <c r="CG76" s="228">
        <v>282</v>
      </c>
      <c r="CH76" s="228">
        <v>277</v>
      </c>
      <c r="CI76" s="228">
        <v>5</v>
      </c>
      <c r="CJ76" s="229">
        <v>1.7500000000000002E-2</v>
      </c>
      <c r="CK76" s="228">
        <v>177</v>
      </c>
      <c r="CL76" s="228">
        <v>176</v>
      </c>
      <c r="CM76" s="228">
        <v>1</v>
      </c>
      <c r="CN76" s="229">
        <v>7.9000000000000008E-3</v>
      </c>
      <c r="CO76" s="230">
        <v>2922</v>
      </c>
      <c r="CP76" s="230">
        <v>2920</v>
      </c>
      <c r="CQ76" s="228">
        <v>2</v>
      </c>
      <c r="CR76" s="229">
        <v>6.9999999999999999E-4</v>
      </c>
      <c r="CS76" s="230">
        <v>2416</v>
      </c>
      <c r="CT76" s="230">
        <v>2294</v>
      </c>
      <c r="CU76" s="228">
        <v>122</v>
      </c>
      <c r="CV76" s="229">
        <v>5.3100000000000001E-2</v>
      </c>
      <c r="CW76" s="230">
        <v>26151</v>
      </c>
      <c r="CX76" s="230">
        <v>26427</v>
      </c>
      <c r="CY76" s="228">
        <v>-276</v>
      </c>
      <c r="CZ76" s="229">
        <v>-1.04E-2</v>
      </c>
      <c r="DA76" s="228">
        <v>17.96</v>
      </c>
      <c r="DB76" s="228">
        <v>17.440000000000001</v>
      </c>
      <c r="DC76" s="228">
        <v>0.52</v>
      </c>
      <c r="DD76" s="228">
        <v>0.52</v>
      </c>
      <c r="DE76" s="228">
        <v>21.46</v>
      </c>
      <c r="DF76" s="228">
        <v>21.48</v>
      </c>
      <c r="DG76" s="228">
        <v>-3.5</v>
      </c>
      <c r="DH76" s="228">
        <v>-0.02</v>
      </c>
      <c r="DI76" s="228">
        <v>17.850000000000001</v>
      </c>
      <c r="DJ76" s="228">
        <v>17.22</v>
      </c>
      <c r="DK76" s="228">
        <v>0.63</v>
      </c>
      <c r="DL76" s="228">
        <v>0.63</v>
      </c>
      <c r="DM76" s="228">
        <v>18.14</v>
      </c>
      <c r="DN76" s="228">
        <v>17.829999999999998</v>
      </c>
      <c r="DO76" s="228">
        <v>0.31</v>
      </c>
      <c r="DP76" s="228">
        <v>0.31</v>
      </c>
      <c r="DQ76" s="228">
        <v>0.83</v>
      </c>
      <c r="DR76" s="228">
        <v>0.79</v>
      </c>
      <c r="DS76" s="228">
        <v>0.04</v>
      </c>
      <c r="DT76" s="229">
        <v>5.0599999999999999E-2</v>
      </c>
      <c r="DU76" s="231">
        <v>1000</v>
      </c>
      <c r="DV76" s="228">
        <v>900</v>
      </c>
      <c r="DW76" s="228">
        <v>0.57999999999999996</v>
      </c>
      <c r="DX76" s="228">
        <v>0.59</v>
      </c>
      <c r="DY76" s="228">
        <v>-0.01</v>
      </c>
      <c r="DZ76" s="229">
        <v>-1.6899999999999998E-2</v>
      </c>
      <c r="EA76" s="229">
        <v>2.1999999999999999E-2</v>
      </c>
      <c r="EB76" s="230">
        <v>4635400</v>
      </c>
      <c r="EC76" s="229">
        <v>5.3E-3</v>
      </c>
      <c r="ED76" s="229">
        <v>2.1999999999999999E-2</v>
      </c>
      <c r="EE76" s="228">
        <v>5.31</v>
      </c>
      <c r="EF76" s="229">
        <v>5.4000000000000003E-3</v>
      </c>
      <c r="EG76" s="230">
        <v>11968118</v>
      </c>
      <c r="EH76" s="230">
        <v>18275237</v>
      </c>
      <c r="EI76" s="229">
        <v>-0.34510000000000002</v>
      </c>
      <c r="EJ76" s="229">
        <v>0.61429999999999996</v>
      </c>
      <c r="EK76" s="231">
        <v>6642.29</v>
      </c>
      <c r="EL76" s="231">
        <v>3703.97</v>
      </c>
      <c r="EM76" s="231">
        <v>2899.37</v>
      </c>
      <c r="EN76" s="228">
        <v>527.4</v>
      </c>
      <c r="EO76" s="231">
        <v>13245.63</v>
      </c>
      <c r="EP76" s="231">
        <v>11612.23</v>
      </c>
      <c r="EQ76" s="231">
        <v>1633.4</v>
      </c>
      <c r="ER76" s="229">
        <v>0.14069999999999999</v>
      </c>
      <c r="ES76" s="231">
        <v>2983.84</v>
      </c>
      <c r="ET76" s="231">
        <v>2337.0100000000002</v>
      </c>
      <c r="EU76" s="231">
        <v>20816.5</v>
      </c>
      <c r="EV76" s="231">
        <v>1329733550</v>
      </c>
      <c r="EW76" s="231">
        <v>26137.35</v>
      </c>
      <c r="EX76" s="231">
        <v>26229.27</v>
      </c>
      <c r="EY76" s="228">
        <v>-91.92</v>
      </c>
      <c r="EZ76" s="229">
        <v>-3.5000000000000001E-3</v>
      </c>
      <c r="FA76" s="229">
        <v>0.2014</v>
      </c>
      <c r="FB76" s="227" t="s">
        <v>556</v>
      </c>
      <c r="FC76">
        <f t="shared" si="1"/>
        <v>459</v>
      </c>
    </row>
    <row r="77" spans="1:159" ht="17.25" thickBot="1" x14ac:dyDescent="0.3">
      <c r="A77" s="226">
        <v>45936</v>
      </c>
      <c r="B77" s="227" t="s">
        <v>175</v>
      </c>
      <c r="C77" s="227" t="s">
        <v>225</v>
      </c>
      <c r="D77" s="228">
        <v>1100</v>
      </c>
      <c r="E77" s="228">
        <v>22</v>
      </c>
      <c r="F77" s="228">
        <v>764.35</v>
      </c>
      <c r="G77" s="228">
        <v>762.4</v>
      </c>
      <c r="H77" s="228">
        <v>1.95</v>
      </c>
      <c r="I77" s="229">
        <v>2.5999999999999999E-3</v>
      </c>
      <c r="J77" s="228">
        <v>763.05</v>
      </c>
      <c r="K77" s="228">
        <v>759.2</v>
      </c>
      <c r="L77" s="228">
        <v>3.85</v>
      </c>
      <c r="M77" s="229">
        <v>5.1000000000000004E-3</v>
      </c>
      <c r="N77" s="228">
        <v>764.35</v>
      </c>
      <c r="O77" s="228">
        <v>762.4</v>
      </c>
      <c r="P77" s="228">
        <v>1.95</v>
      </c>
      <c r="Q77" s="229">
        <v>2.5999999999999999E-3</v>
      </c>
      <c r="R77" s="228">
        <v>766.95</v>
      </c>
      <c r="S77" s="228">
        <v>765.15</v>
      </c>
      <c r="T77" s="228">
        <v>1.8</v>
      </c>
      <c r="U77" s="229">
        <v>2.3999999999999998E-3</v>
      </c>
      <c r="V77" s="228">
        <v>761.5</v>
      </c>
      <c r="W77" s="228">
        <v>765.95</v>
      </c>
      <c r="X77" s="228">
        <v>-4.45</v>
      </c>
      <c r="Y77" s="229">
        <v>-5.7999999999999996E-3</v>
      </c>
      <c r="Z77" s="228">
        <v>1.3</v>
      </c>
      <c r="AA77" s="228">
        <v>3.2</v>
      </c>
      <c r="AB77" s="228">
        <v>-1.9</v>
      </c>
      <c r="AC77" s="229">
        <v>1.6999999999999999E-3</v>
      </c>
      <c r="AD77" s="228">
        <v>1.3</v>
      </c>
      <c r="AE77" s="228">
        <v>3.2</v>
      </c>
      <c r="AF77" s="228">
        <v>-1.9</v>
      </c>
      <c r="AG77" s="229">
        <v>1.6999999999999999E-3</v>
      </c>
      <c r="AH77" s="228">
        <v>3.9</v>
      </c>
      <c r="AI77" s="228">
        <v>5.95</v>
      </c>
      <c r="AJ77" s="228">
        <v>-2.0499999999999998</v>
      </c>
      <c r="AK77" s="229">
        <v>5.1000000000000004E-3</v>
      </c>
      <c r="AL77" s="228">
        <v>-1.55</v>
      </c>
      <c r="AM77" s="228">
        <v>6.75</v>
      </c>
      <c r="AN77" s="228">
        <v>-8.3000000000000007</v>
      </c>
      <c r="AO77" s="229">
        <v>-2E-3</v>
      </c>
      <c r="AP77" s="228">
        <v>761.18</v>
      </c>
      <c r="AQ77" s="228">
        <v>763.9</v>
      </c>
      <c r="AR77" s="228">
        <v>0</v>
      </c>
      <c r="AS77" s="228">
        <v>191</v>
      </c>
      <c r="AT77" s="228">
        <v>235</v>
      </c>
      <c r="AU77" s="228">
        <v>-44</v>
      </c>
      <c r="AV77" s="229">
        <v>-0.18590000000000001</v>
      </c>
      <c r="AW77" s="228">
        <v>185</v>
      </c>
      <c r="AX77" s="228">
        <v>230</v>
      </c>
      <c r="AY77" s="228">
        <v>-45</v>
      </c>
      <c r="AZ77" s="229">
        <v>-0.1953</v>
      </c>
      <c r="BA77" s="228">
        <v>5</v>
      </c>
      <c r="BB77" s="228">
        <v>4</v>
      </c>
      <c r="BC77" s="228">
        <v>1</v>
      </c>
      <c r="BD77" s="229">
        <v>0.32650000000000001</v>
      </c>
      <c r="BE77" s="228">
        <v>1</v>
      </c>
      <c r="BF77" s="228">
        <v>1</v>
      </c>
      <c r="BG77" s="228">
        <v>0</v>
      </c>
      <c r="BH77" s="229">
        <v>-0.125</v>
      </c>
      <c r="BI77" s="228">
        <v>405</v>
      </c>
      <c r="BJ77" s="228">
        <v>417</v>
      </c>
      <c r="BK77" s="228">
        <v>-11</v>
      </c>
      <c r="BL77" s="229">
        <v>-2.75E-2</v>
      </c>
      <c r="BM77" s="228">
        <v>187</v>
      </c>
      <c r="BN77" s="228">
        <v>197</v>
      </c>
      <c r="BO77" s="228">
        <v>-9</v>
      </c>
      <c r="BP77" s="229">
        <v>-4.7E-2</v>
      </c>
      <c r="BQ77" s="228">
        <v>784</v>
      </c>
      <c r="BR77" s="228">
        <v>848</v>
      </c>
      <c r="BS77" s="228">
        <v>-64</v>
      </c>
      <c r="BT77" s="229">
        <v>-7.5899999999999995E-2</v>
      </c>
      <c r="BU77" s="230">
        <v>1367326</v>
      </c>
      <c r="BV77" s="230">
        <v>5462798</v>
      </c>
      <c r="BW77" s="230">
        <v>-4095472</v>
      </c>
      <c r="BX77" s="229">
        <v>-0.74970000000000003</v>
      </c>
      <c r="BY77" s="230">
        <v>2149</v>
      </c>
      <c r="BZ77" s="230">
        <v>2148</v>
      </c>
      <c r="CA77" s="228">
        <v>1</v>
      </c>
      <c r="CB77" s="229">
        <v>5.0000000000000001E-4</v>
      </c>
      <c r="CC77" s="230">
        <v>2127</v>
      </c>
      <c r="CD77" s="230">
        <v>2126</v>
      </c>
      <c r="CE77" s="228">
        <v>1</v>
      </c>
      <c r="CF77" s="229">
        <v>5.0000000000000001E-4</v>
      </c>
      <c r="CG77" s="228">
        <v>22</v>
      </c>
      <c r="CH77" s="228">
        <v>21</v>
      </c>
      <c r="CI77" s="228">
        <v>0</v>
      </c>
      <c r="CJ77" s="229">
        <v>3.8999999999999998E-3</v>
      </c>
      <c r="CK77" s="228">
        <v>1</v>
      </c>
      <c r="CL77" s="228">
        <v>1</v>
      </c>
      <c r="CM77" s="228">
        <v>0</v>
      </c>
      <c r="CN77" s="229">
        <v>0.1111</v>
      </c>
      <c r="CO77" s="228">
        <v>494</v>
      </c>
      <c r="CP77" s="228">
        <v>420</v>
      </c>
      <c r="CQ77" s="228">
        <v>75</v>
      </c>
      <c r="CR77" s="229">
        <v>0.17829999999999999</v>
      </c>
      <c r="CS77" s="228">
        <v>319</v>
      </c>
      <c r="CT77" s="228">
        <v>288</v>
      </c>
      <c r="CU77" s="228">
        <v>31</v>
      </c>
      <c r="CV77" s="229">
        <v>0.1087</v>
      </c>
      <c r="CW77" s="230">
        <v>2962</v>
      </c>
      <c r="CX77" s="230">
        <v>2855</v>
      </c>
      <c r="CY77" s="228">
        <v>107</v>
      </c>
      <c r="CZ77" s="229">
        <v>3.7600000000000001E-2</v>
      </c>
      <c r="DA77" s="228">
        <v>22.78</v>
      </c>
      <c r="DB77" s="228">
        <v>21.96</v>
      </c>
      <c r="DC77" s="228">
        <v>0.82</v>
      </c>
      <c r="DD77" s="228">
        <v>0.82</v>
      </c>
      <c r="DE77" s="228">
        <v>26.09</v>
      </c>
      <c r="DF77" s="228">
        <v>26.15</v>
      </c>
      <c r="DG77" s="228">
        <v>-3.31</v>
      </c>
      <c r="DH77" s="228">
        <v>-0.06</v>
      </c>
      <c r="DI77" s="228">
        <v>22.73</v>
      </c>
      <c r="DJ77" s="228">
        <v>22.01</v>
      </c>
      <c r="DK77" s="228">
        <v>0.72</v>
      </c>
      <c r="DL77" s="228">
        <v>0.72</v>
      </c>
      <c r="DM77" s="228">
        <v>22.9</v>
      </c>
      <c r="DN77" s="228">
        <v>21.85</v>
      </c>
      <c r="DO77" s="228">
        <v>1.05</v>
      </c>
      <c r="DP77" s="228">
        <v>1.05</v>
      </c>
      <c r="DQ77" s="228">
        <v>0.65</v>
      </c>
      <c r="DR77" s="228">
        <v>0.69</v>
      </c>
      <c r="DS77" s="228">
        <v>-0.04</v>
      </c>
      <c r="DT77" s="229">
        <v>-5.8000000000000003E-2</v>
      </c>
      <c r="DU77" s="228">
        <v>800</v>
      </c>
      <c r="DV77" s="228">
        <v>760</v>
      </c>
      <c r="DW77" s="228">
        <v>0.46</v>
      </c>
      <c r="DX77" s="228">
        <v>0.47</v>
      </c>
      <c r="DY77" s="228">
        <v>-0.01</v>
      </c>
      <c r="DZ77" s="229">
        <v>-2.1299999999999999E-2</v>
      </c>
      <c r="EA77" s="229">
        <v>1.04E-2</v>
      </c>
      <c r="EB77" s="230">
        <v>290400</v>
      </c>
      <c r="EC77" s="229">
        <v>3.3999999999999998E-3</v>
      </c>
      <c r="ED77" s="229">
        <v>1.04E-2</v>
      </c>
      <c r="EE77" s="228">
        <v>2.72</v>
      </c>
      <c r="EF77" s="229">
        <v>3.5999999999999999E-3</v>
      </c>
      <c r="EG77" s="230">
        <v>660875</v>
      </c>
      <c r="EH77" s="230">
        <v>4100837</v>
      </c>
      <c r="EI77" s="229">
        <v>-0.83879999999999999</v>
      </c>
      <c r="EJ77" s="229">
        <v>0.48330000000000001</v>
      </c>
      <c r="EK77" s="228">
        <v>425.93</v>
      </c>
      <c r="EL77" s="228">
        <v>183.13</v>
      </c>
      <c r="EM77" s="228">
        <v>190.68</v>
      </c>
      <c r="EN77" s="228">
        <v>81.180000000000007</v>
      </c>
      <c r="EO77" s="228">
        <v>799.73</v>
      </c>
      <c r="EP77" s="228">
        <v>863.74</v>
      </c>
      <c r="EQ77" s="228">
        <v>-64</v>
      </c>
      <c r="ER77" s="229">
        <v>-7.4099999999999999E-2</v>
      </c>
      <c r="ES77" s="228">
        <v>521.52</v>
      </c>
      <c r="ET77" s="228">
        <v>307.06</v>
      </c>
      <c r="EU77" s="231">
        <v>2148.9499999999998</v>
      </c>
      <c r="EV77" s="231">
        <v>119296253</v>
      </c>
      <c r="EW77" s="231">
        <v>2977.53</v>
      </c>
      <c r="EX77" s="231">
        <v>2861.15</v>
      </c>
      <c r="EY77" s="228">
        <v>116.38</v>
      </c>
      <c r="EZ77" s="229">
        <v>4.07E-2</v>
      </c>
      <c r="FA77" s="229">
        <v>0.32490000000000002</v>
      </c>
      <c r="FB77" s="227" t="s">
        <v>555</v>
      </c>
      <c r="FC77">
        <f t="shared" si="1"/>
        <v>22</v>
      </c>
    </row>
    <row r="78" spans="1:159" ht="17.25" thickBot="1" x14ac:dyDescent="0.3">
      <c r="A78" s="226">
        <v>45936</v>
      </c>
      <c r="B78" s="227" t="s">
        <v>162</v>
      </c>
      <c r="C78" s="227" t="s">
        <v>226</v>
      </c>
      <c r="D78" s="228">
        <v>150</v>
      </c>
      <c r="E78" s="228">
        <v>22</v>
      </c>
      <c r="F78" s="231">
        <v>5613</v>
      </c>
      <c r="G78" s="231">
        <v>5581</v>
      </c>
      <c r="H78" s="228">
        <v>32</v>
      </c>
      <c r="I78" s="229">
        <v>5.7000000000000002E-3</v>
      </c>
      <c r="J78" s="231">
        <v>5581.5</v>
      </c>
      <c r="K78" s="231">
        <v>5550.5</v>
      </c>
      <c r="L78" s="228">
        <v>31</v>
      </c>
      <c r="M78" s="229">
        <v>5.5999999999999999E-3</v>
      </c>
      <c r="N78" s="231">
        <v>5613</v>
      </c>
      <c r="O78" s="231">
        <v>5581</v>
      </c>
      <c r="P78" s="228">
        <v>32</v>
      </c>
      <c r="Q78" s="229">
        <v>5.7000000000000002E-3</v>
      </c>
      <c r="R78" s="231">
        <v>5620.5</v>
      </c>
      <c r="S78" s="231">
        <v>5583</v>
      </c>
      <c r="T78" s="228">
        <v>37.5</v>
      </c>
      <c r="U78" s="229">
        <v>6.7000000000000002E-3</v>
      </c>
      <c r="V78" s="231">
        <v>5632</v>
      </c>
      <c r="W78" s="231">
        <v>5589</v>
      </c>
      <c r="X78" s="228">
        <v>43</v>
      </c>
      <c r="Y78" s="229">
        <v>7.7000000000000002E-3</v>
      </c>
      <c r="Z78" s="228">
        <v>31.5</v>
      </c>
      <c r="AA78" s="228">
        <v>30.5</v>
      </c>
      <c r="AB78" s="228">
        <v>1</v>
      </c>
      <c r="AC78" s="229">
        <v>5.5999999999999999E-3</v>
      </c>
      <c r="AD78" s="228">
        <v>31.5</v>
      </c>
      <c r="AE78" s="228">
        <v>30.5</v>
      </c>
      <c r="AF78" s="228">
        <v>1</v>
      </c>
      <c r="AG78" s="229">
        <v>5.5999999999999999E-3</v>
      </c>
      <c r="AH78" s="228">
        <v>39</v>
      </c>
      <c r="AI78" s="228">
        <v>32.5</v>
      </c>
      <c r="AJ78" s="228">
        <v>6.5</v>
      </c>
      <c r="AK78" s="229">
        <v>7.0000000000000001E-3</v>
      </c>
      <c r="AL78" s="228">
        <v>50.5</v>
      </c>
      <c r="AM78" s="228">
        <v>38.5</v>
      </c>
      <c r="AN78" s="228">
        <v>12</v>
      </c>
      <c r="AO78" s="229">
        <v>8.9999999999999993E-3</v>
      </c>
      <c r="AP78" s="231">
        <v>5600.45</v>
      </c>
      <c r="AQ78" s="231">
        <v>5607.45</v>
      </c>
      <c r="AR78" s="228">
        <v>0</v>
      </c>
      <c r="AS78" s="228">
        <v>593</v>
      </c>
      <c r="AT78" s="230">
        <v>1283</v>
      </c>
      <c r="AU78" s="228">
        <v>-691</v>
      </c>
      <c r="AV78" s="229">
        <v>-0.53810000000000002</v>
      </c>
      <c r="AW78" s="228">
        <v>554</v>
      </c>
      <c r="AX78" s="230">
        <v>1224</v>
      </c>
      <c r="AY78" s="228">
        <v>-670</v>
      </c>
      <c r="AZ78" s="229">
        <v>-0.5474</v>
      </c>
      <c r="BA78" s="228">
        <v>33</v>
      </c>
      <c r="BB78" s="228">
        <v>50</v>
      </c>
      <c r="BC78" s="228">
        <v>-17</v>
      </c>
      <c r="BD78" s="229">
        <v>-0.34060000000000001</v>
      </c>
      <c r="BE78" s="228">
        <v>6</v>
      </c>
      <c r="BF78" s="228">
        <v>9</v>
      </c>
      <c r="BG78" s="228">
        <v>-3</v>
      </c>
      <c r="BH78" s="229">
        <v>-0.37140000000000001</v>
      </c>
      <c r="BI78" s="230">
        <v>2313</v>
      </c>
      <c r="BJ78" s="230">
        <v>7952</v>
      </c>
      <c r="BK78" s="230">
        <v>-5639</v>
      </c>
      <c r="BL78" s="229">
        <v>-0.70909999999999995</v>
      </c>
      <c r="BM78" s="230">
        <v>1176</v>
      </c>
      <c r="BN78" s="230">
        <v>3662</v>
      </c>
      <c r="BO78" s="230">
        <v>-2486</v>
      </c>
      <c r="BP78" s="229">
        <v>-0.67889999999999995</v>
      </c>
      <c r="BQ78" s="230">
        <v>4082</v>
      </c>
      <c r="BR78" s="230">
        <v>12897</v>
      </c>
      <c r="BS78" s="230">
        <v>-8815</v>
      </c>
      <c r="BT78" s="229">
        <v>-0.6835</v>
      </c>
      <c r="BU78" s="230">
        <v>885313</v>
      </c>
      <c r="BV78" s="230">
        <v>1674387</v>
      </c>
      <c r="BW78" s="230">
        <v>-789074</v>
      </c>
      <c r="BX78" s="229">
        <v>-0.4713</v>
      </c>
      <c r="BY78" s="230">
        <v>2676</v>
      </c>
      <c r="BZ78" s="230">
        <v>2735</v>
      </c>
      <c r="CA78" s="228">
        <v>-59</v>
      </c>
      <c r="CB78" s="229">
        <v>-2.1700000000000001E-2</v>
      </c>
      <c r="CC78" s="230">
        <v>2521</v>
      </c>
      <c r="CD78" s="230">
        <v>2588</v>
      </c>
      <c r="CE78" s="228">
        <v>-68</v>
      </c>
      <c r="CF78" s="229">
        <v>-2.6200000000000001E-2</v>
      </c>
      <c r="CG78" s="228">
        <v>147</v>
      </c>
      <c r="CH78" s="228">
        <v>141</v>
      </c>
      <c r="CI78" s="228">
        <v>6</v>
      </c>
      <c r="CJ78" s="229">
        <v>4.1700000000000001E-2</v>
      </c>
      <c r="CK78" s="228">
        <v>8</v>
      </c>
      <c r="CL78" s="228">
        <v>6</v>
      </c>
      <c r="CM78" s="228">
        <v>2</v>
      </c>
      <c r="CN78" s="229">
        <v>0.42030000000000001</v>
      </c>
      <c r="CO78" s="230">
        <v>1229</v>
      </c>
      <c r="CP78" s="230">
        <v>1225</v>
      </c>
      <c r="CQ78" s="228">
        <v>4</v>
      </c>
      <c r="CR78" s="229">
        <v>3.3999999999999998E-3</v>
      </c>
      <c r="CS78" s="228">
        <v>957</v>
      </c>
      <c r="CT78" s="228">
        <v>922</v>
      </c>
      <c r="CU78" s="228">
        <v>34</v>
      </c>
      <c r="CV78" s="229">
        <v>3.7199999999999997E-2</v>
      </c>
      <c r="CW78" s="230">
        <v>4862</v>
      </c>
      <c r="CX78" s="230">
        <v>4883</v>
      </c>
      <c r="CY78" s="228">
        <v>-21</v>
      </c>
      <c r="CZ78" s="229">
        <v>-4.3E-3</v>
      </c>
      <c r="DA78" s="228">
        <v>25.1</v>
      </c>
      <c r="DB78" s="228">
        <v>24.98</v>
      </c>
      <c r="DC78" s="228">
        <v>0.12</v>
      </c>
      <c r="DD78" s="228">
        <v>0.12</v>
      </c>
      <c r="DE78" s="228">
        <v>31.16</v>
      </c>
      <c r="DF78" s="228">
        <v>31.23</v>
      </c>
      <c r="DG78" s="228">
        <v>-6.06</v>
      </c>
      <c r="DH78" s="228">
        <v>-7.0000000000000007E-2</v>
      </c>
      <c r="DI78" s="228">
        <v>24.66</v>
      </c>
      <c r="DJ78" s="228">
        <v>24.69</v>
      </c>
      <c r="DK78" s="228">
        <v>-0.03</v>
      </c>
      <c r="DL78" s="228">
        <v>-0.03</v>
      </c>
      <c r="DM78" s="228">
        <v>25.96</v>
      </c>
      <c r="DN78" s="228">
        <v>25.62</v>
      </c>
      <c r="DO78" s="228">
        <v>0.34</v>
      </c>
      <c r="DP78" s="228">
        <v>0.34</v>
      </c>
      <c r="DQ78" s="228">
        <v>0.78</v>
      </c>
      <c r="DR78" s="228">
        <v>0.75</v>
      </c>
      <c r="DS78" s="228">
        <v>0.03</v>
      </c>
      <c r="DT78" s="229">
        <v>0.04</v>
      </c>
      <c r="DU78" s="231">
        <v>6000</v>
      </c>
      <c r="DV78" s="231">
        <v>5400</v>
      </c>
      <c r="DW78" s="228">
        <v>0.51</v>
      </c>
      <c r="DX78" s="228">
        <v>0.46</v>
      </c>
      <c r="DY78" s="228">
        <v>0.05</v>
      </c>
      <c r="DZ78" s="229">
        <v>0.1087</v>
      </c>
      <c r="EA78" s="229">
        <v>5.8099999999999999E-2</v>
      </c>
      <c r="EB78" s="230">
        <v>262350</v>
      </c>
      <c r="EC78" s="229">
        <v>1.2999999999999999E-3</v>
      </c>
      <c r="ED78" s="229">
        <v>5.8099999999999999E-2</v>
      </c>
      <c r="EE78" s="228">
        <v>7</v>
      </c>
      <c r="EF78" s="229">
        <v>1.1999999999999999E-3</v>
      </c>
      <c r="EG78" s="230">
        <v>586145</v>
      </c>
      <c r="EH78" s="230">
        <v>878090</v>
      </c>
      <c r="EI78" s="229">
        <v>-0.33250000000000002</v>
      </c>
      <c r="EJ78" s="229">
        <v>0.66210000000000002</v>
      </c>
      <c r="EK78" s="231">
        <v>2412.96</v>
      </c>
      <c r="EL78" s="231">
        <v>1136.9000000000001</v>
      </c>
      <c r="EM78" s="228">
        <v>591.46</v>
      </c>
      <c r="EN78" s="228">
        <v>244.66</v>
      </c>
      <c r="EO78" s="231">
        <v>4141.32</v>
      </c>
      <c r="EP78" s="231">
        <v>12973.32</v>
      </c>
      <c r="EQ78" s="231">
        <v>-8832</v>
      </c>
      <c r="ER78" s="229">
        <v>-0.68079999999999996</v>
      </c>
      <c r="ES78" s="231">
        <v>1263.9000000000001</v>
      </c>
      <c r="ET78" s="228">
        <v>890.94</v>
      </c>
      <c r="EU78" s="231">
        <v>2676.36</v>
      </c>
      <c r="EV78" s="231">
        <v>19579129</v>
      </c>
      <c r="EW78" s="231">
        <v>4831.2</v>
      </c>
      <c r="EX78" s="231">
        <v>4835.57</v>
      </c>
      <c r="EY78" s="228">
        <v>-4.37</v>
      </c>
      <c r="EZ78" s="229">
        <v>-8.9999999999999998E-4</v>
      </c>
      <c r="FA78" s="229">
        <v>0.44240000000000002</v>
      </c>
      <c r="FB78" s="227" t="s">
        <v>556</v>
      </c>
      <c r="FC78">
        <f t="shared" si="1"/>
        <v>155</v>
      </c>
    </row>
    <row r="79" spans="1:159" ht="17.25" thickBot="1" x14ac:dyDescent="0.3">
      <c r="A79" s="226">
        <v>45936</v>
      </c>
      <c r="B79" s="227" t="s">
        <v>221</v>
      </c>
      <c r="C79" s="227" t="s">
        <v>577</v>
      </c>
      <c r="D79" s="228">
        <v>6450</v>
      </c>
      <c r="E79" s="228">
        <v>22</v>
      </c>
      <c r="F79" s="228">
        <v>74.680000000000007</v>
      </c>
      <c r="G79" s="228">
        <v>76.36</v>
      </c>
      <c r="H79" s="228">
        <v>-1.68</v>
      </c>
      <c r="I79" s="229">
        <v>-2.1999999999999999E-2</v>
      </c>
      <c r="J79" s="228">
        <v>74.44</v>
      </c>
      <c r="K79" s="228">
        <v>75.87</v>
      </c>
      <c r="L79" s="228">
        <v>-1.43</v>
      </c>
      <c r="M79" s="229">
        <v>-1.8800000000000001E-2</v>
      </c>
      <c r="N79" s="228">
        <v>74.680000000000007</v>
      </c>
      <c r="O79" s="228">
        <v>76.36</v>
      </c>
      <c r="P79" s="228">
        <v>-1.68</v>
      </c>
      <c r="Q79" s="229">
        <v>-2.1999999999999999E-2</v>
      </c>
      <c r="R79" s="228">
        <v>75.12</v>
      </c>
      <c r="S79" s="228">
        <v>76.8</v>
      </c>
      <c r="T79" s="228">
        <v>-1.68</v>
      </c>
      <c r="U79" s="229">
        <v>-2.1899999999999999E-2</v>
      </c>
      <c r="V79" s="228">
        <v>75.55</v>
      </c>
      <c r="W79" s="228">
        <v>77.099999999999994</v>
      </c>
      <c r="X79" s="228">
        <v>-1.55</v>
      </c>
      <c r="Y79" s="229">
        <v>-2.01E-2</v>
      </c>
      <c r="Z79" s="228">
        <v>0.24</v>
      </c>
      <c r="AA79" s="228">
        <v>0.49</v>
      </c>
      <c r="AB79" s="228">
        <v>-0.25</v>
      </c>
      <c r="AC79" s="229">
        <v>3.2000000000000002E-3</v>
      </c>
      <c r="AD79" s="228">
        <v>0.24</v>
      </c>
      <c r="AE79" s="228">
        <v>0.49</v>
      </c>
      <c r="AF79" s="228">
        <v>-0.25</v>
      </c>
      <c r="AG79" s="229">
        <v>3.2000000000000002E-3</v>
      </c>
      <c r="AH79" s="228">
        <v>0.68</v>
      </c>
      <c r="AI79" s="228">
        <v>0.93</v>
      </c>
      <c r="AJ79" s="228">
        <v>-0.25</v>
      </c>
      <c r="AK79" s="229">
        <v>9.1000000000000004E-3</v>
      </c>
      <c r="AL79" s="228">
        <v>1.1100000000000001</v>
      </c>
      <c r="AM79" s="228">
        <v>1.23</v>
      </c>
      <c r="AN79" s="228">
        <v>-0.12</v>
      </c>
      <c r="AO79" s="229">
        <v>1.49E-2</v>
      </c>
      <c r="AP79" s="228">
        <v>75.02</v>
      </c>
      <c r="AQ79" s="228">
        <v>75.36</v>
      </c>
      <c r="AR79" s="228">
        <v>0</v>
      </c>
      <c r="AS79" s="228">
        <v>141</v>
      </c>
      <c r="AT79" s="228">
        <v>284</v>
      </c>
      <c r="AU79" s="228">
        <v>-143</v>
      </c>
      <c r="AV79" s="229">
        <v>-0.50229999999999997</v>
      </c>
      <c r="AW79" s="228">
        <v>125</v>
      </c>
      <c r="AX79" s="228">
        <v>262</v>
      </c>
      <c r="AY79" s="228">
        <v>-138</v>
      </c>
      <c r="AZ79" s="229">
        <v>-0.52459999999999996</v>
      </c>
      <c r="BA79" s="228">
        <v>16</v>
      </c>
      <c r="BB79" s="228">
        <v>21</v>
      </c>
      <c r="BC79" s="228">
        <v>-5</v>
      </c>
      <c r="BD79" s="229">
        <v>-0.25740000000000002</v>
      </c>
      <c r="BE79" s="228">
        <v>1</v>
      </c>
      <c r="BF79" s="228">
        <v>0</v>
      </c>
      <c r="BG79" s="228">
        <v>0</v>
      </c>
      <c r="BH79" s="229">
        <v>0.9</v>
      </c>
      <c r="BI79" s="228">
        <v>257</v>
      </c>
      <c r="BJ79" s="228">
        <v>483</v>
      </c>
      <c r="BK79" s="228">
        <v>-225</v>
      </c>
      <c r="BL79" s="229">
        <v>-0.46660000000000001</v>
      </c>
      <c r="BM79" s="228">
        <v>68</v>
      </c>
      <c r="BN79" s="228">
        <v>233</v>
      </c>
      <c r="BO79" s="228">
        <v>-165</v>
      </c>
      <c r="BP79" s="229">
        <v>-0.70640000000000003</v>
      </c>
      <c r="BQ79" s="228">
        <v>467</v>
      </c>
      <c r="BR79" s="230">
        <v>1000</v>
      </c>
      <c r="BS79" s="228">
        <v>-532</v>
      </c>
      <c r="BT79" s="229">
        <v>-0.53259999999999996</v>
      </c>
      <c r="BU79" s="230">
        <v>9999468</v>
      </c>
      <c r="BV79" s="230">
        <v>19181520</v>
      </c>
      <c r="BW79" s="230">
        <v>-9182052</v>
      </c>
      <c r="BX79" s="229">
        <v>-0.47870000000000001</v>
      </c>
      <c r="BY79" s="228">
        <v>882</v>
      </c>
      <c r="BZ79" s="228">
        <v>842</v>
      </c>
      <c r="CA79" s="228">
        <v>41</v>
      </c>
      <c r="CB79" s="229">
        <v>4.8399999999999999E-2</v>
      </c>
      <c r="CC79" s="228">
        <v>832</v>
      </c>
      <c r="CD79" s="228">
        <v>803</v>
      </c>
      <c r="CE79" s="228">
        <v>29</v>
      </c>
      <c r="CF79" s="229">
        <v>3.6499999999999998E-2</v>
      </c>
      <c r="CG79" s="228">
        <v>50</v>
      </c>
      <c r="CH79" s="228">
        <v>39</v>
      </c>
      <c r="CI79" s="228">
        <v>11</v>
      </c>
      <c r="CJ79" s="229">
        <v>0.27950000000000003</v>
      </c>
      <c r="CK79" s="228">
        <v>1</v>
      </c>
      <c r="CL79" s="228">
        <v>0</v>
      </c>
      <c r="CM79" s="228">
        <v>1</v>
      </c>
      <c r="CN79" s="229">
        <v>1.3332999999999999</v>
      </c>
      <c r="CO79" s="228">
        <v>253</v>
      </c>
      <c r="CP79" s="228">
        <v>216</v>
      </c>
      <c r="CQ79" s="228">
        <v>37</v>
      </c>
      <c r="CR79" s="229">
        <v>0.17199999999999999</v>
      </c>
      <c r="CS79" s="228">
        <v>140</v>
      </c>
      <c r="CT79" s="228">
        <v>135</v>
      </c>
      <c r="CU79" s="228">
        <v>5</v>
      </c>
      <c r="CV79" s="229">
        <v>3.4500000000000003E-2</v>
      </c>
      <c r="CW79" s="230">
        <v>1276</v>
      </c>
      <c r="CX79" s="230">
        <v>1193</v>
      </c>
      <c r="CY79" s="228">
        <v>83</v>
      </c>
      <c r="CZ79" s="229">
        <v>6.9199999999999998E-2</v>
      </c>
      <c r="DA79" s="228">
        <v>41.64</v>
      </c>
      <c r="DB79" s="228">
        <v>39.53</v>
      </c>
      <c r="DC79" s="228">
        <v>2.11</v>
      </c>
      <c r="DD79" s="228">
        <v>2.11</v>
      </c>
      <c r="DE79" s="228">
        <v>55.33</v>
      </c>
      <c r="DF79" s="228">
        <v>55.39</v>
      </c>
      <c r="DG79" s="228">
        <v>-13.69</v>
      </c>
      <c r="DH79" s="228">
        <v>-0.06</v>
      </c>
      <c r="DI79" s="228">
        <v>41.76</v>
      </c>
      <c r="DJ79" s="228">
        <v>39.159999999999997</v>
      </c>
      <c r="DK79" s="228">
        <v>2.6</v>
      </c>
      <c r="DL79" s="228">
        <v>2.6</v>
      </c>
      <c r="DM79" s="228">
        <v>41.19</v>
      </c>
      <c r="DN79" s="228">
        <v>40.29</v>
      </c>
      <c r="DO79" s="228">
        <v>0.9</v>
      </c>
      <c r="DP79" s="228">
        <v>0.9</v>
      </c>
      <c r="DQ79" s="228">
        <v>0.55000000000000004</v>
      </c>
      <c r="DR79" s="228">
        <v>0.63</v>
      </c>
      <c r="DS79" s="228">
        <v>-0.08</v>
      </c>
      <c r="DT79" s="229">
        <v>-0.127</v>
      </c>
      <c r="DU79" s="228">
        <v>80</v>
      </c>
      <c r="DV79" s="228">
        <v>75</v>
      </c>
      <c r="DW79" s="228">
        <v>0.27</v>
      </c>
      <c r="DX79" s="228">
        <v>0.48</v>
      </c>
      <c r="DY79" s="228">
        <v>-0.21</v>
      </c>
      <c r="DZ79" s="229">
        <v>-0.4375</v>
      </c>
      <c r="EA79" s="229">
        <v>5.74E-2</v>
      </c>
      <c r="EB79" s="230">
        <v>5250300</v>
      </c>
      <c r="EC79" s="229">
        <v>5.8999999999999999E-3</v>
      </c>
      <c r="ED79" s="229">
        <v>5.74E-2</v>
      </c>
      <c r="EE79" s="228">
        <v>0.34</v>
      </c>
      <c r="EF79" s="229">
        <v>4.4999999999999997E-3</v>
      </c>
      <c r="EG79" s="230">
        <v>3460377</v>
      </c>
      <c r="EH79" s="230">
        <v>5272339</v>
      </c>
      <c r="EI79" s="229">
        <v>-0.34370000000000001</v>
      </c>
      <c r="EJ79" s="229">
        <v>0.34610000000000002</v>
      </c>
      <c r="EK79" s="228">
        <v>275.01</v>
      </c>
      <c r="EL79" s="228">
        <v>68.459999999999994</v>
      </c>
      <c r="EM79" s="228">
        <v>142</v>
      </c>
      <c r="EN79" s="228">
        <v>73.53</v>
      </c>
      <c r="EO79" s="228">
        <v>485.46</v>
      </c>
      <c r="EP79" s="231">
        <v>1039.71</v>
      </c>
      <c r="EQ79" s="228">
        <v>-554.25</v>
      </c>
      <c r="ER79" s="229">
        <v>-0.53310000000000002</v>
      </c>
      <c r="ES79" s="228">
        <v>265.89999999999998</v>
      </c>
      <c r="ET79" s="228">
        <v>138.97</v>
      </c>
      <c r="EU79" s="228">
        <v>882.8</v>
      </c>
      <c r="EV79" s="231">
        <v>147979599</v>
      </c>
      <c r="EW79" s="231">
        <v>1287.68</v>
      </c>
      <c r="EX79" s="231">
        <v>1223.18</v>
      </c>
      <c r="EY79" s="228">
        <v>64.5</v>
      </c>
      <c r="EZ79" s="229">
        <v>5.2699999999999997E-2</v>
      </c>
      <c r="FA79" s="229">
        <v>1.1546000000000001</v>
      </c>
      <c r="FB79" s="227" t="s">
        <v>567</v>
      </c>
      <c r="FC79">
        <f t="shared" si="1"/>
        <v>50</v>
      </c>
    </row>
    <row r="80" spans="1:159" ht="17.25" thickBot="1" x14ac:dyDescent="0.3">
      <c r="A80" s="226">
        <v>45936</v>
      </c>
      <c r="B80" s="227" t="s">
        <v>227</v>
      </c>
      <c r="C80" s="227" t="s">
        <v>228</v>
      </c>
      <c r="D80" s="228">
        <v>1400</v>
      </c>
      <c r="E80" s="228">
        <v>22</v>
      </c>
      <c r="F80" s="228">
        <v>781.25</v>
      </c>
      <c r="G80" s="228">
        <v>784.55</v>
      </c>
      <c r="H80" s="228">
        <v>-3.3</v>
      </c>
      <c r="I80" s="229">
        <v>-4.1999999999999997E-3</v>
      </c>
      <c r="J80" s="228">
        <v>776.7</v>
      </c>
      <c r="K80" s="228">
        <v>780.35</v>
      </c>
      <c r="L80" s="228">
        <v>-3.65</v>
      </c>
      <c r="M80" s="229">
        <v>-4.7000000000000002E-3</v>
      </c>
      <c r="N80" s="228">
        <v>781.25</v>
      </c>
      <c r="O80" s="228">
        <v>784.55</v>
      </c>
      <c r="P80" s="228">
        <v>-3.3</v>
      </c>
      <c r="Q80" s="229">
        <v>-4.1999999999999997E-3</v>
      </c>
      <c r="R80" s="228">
        <v>785.8</v>
      </c>
      <c r="S80" s="228">
        <v>788.9</v>
      </c>
      <c r="T80" s="228">
        <v>-3.1</v>
      </c>
      <c r="U80" s="229">
        <v>-3.8999999999999998E-3</v>
      </c>
      <c r="V80" s="228">
        <v>789.55</v>
      </c>
      <c r="W80" s="228">
        <v>792.75</v>
      </c>
      <c r="X80" s="228">
        <v>-3.2</v>
      </c>
      <c r="Y80" s="229">
        <v>-4.0000000000000001E-3</v>
      </c>
      <c r="Z80" s="228">
        <v>4.55</v>
      </c>
      <c r="AA80" s="228">
        <v>4.2</v>
      </c>
      <c r="AB80" s="228">
        <v>0.35</v>
      </c>
      <c r="AC80" s="229">
        <v>5.8999999999999999E-3</v>
      </c>
      <c r="AD80" s="228">
        <v>4.55</v>
      </c>
      <c r="AE80" s="228">
        <v>4.2</v>
      </c>
      <c r="AF80" s="228">
        <v>0.35</v>
      </c>
      <c r="AG80" s="229">
        <v>5.8999999999999999E-3</v>
      </c>
      <c r="AH80" s="228">
        <v>9.1</v>
      </c>
      <c r="AI80" s="228">
        <v>8.5500000000000007</v>
      </c>
      <c r="AJ80" s="228">
        <v>0.55000000000000004</v>
      </c>
      <c r="AK80" s="229">
        <v>1.17E-2</v>
      </c>
      <c r="AL80" s="228">
        <v>12.85</v>
      </c>
      <c r="AM80" s="228">
        <v>12.4</v>
      </c>
      <c r="AN80" s="228">
        <v>0.45</v>
      </c>
      <c r="AO80" s="229">
        <v>1.6500000000000001E-2</v>
      </c>
      <c r="AP80" s="228">
        <v>782.13</v>
      </c>
      <c r="AQ80" s="228">
        <v>786.37</v>
      </c>
      <c r="AR80" s="228">
        <v>0</v>
      </c>
      <c r="AS80" s="228">
        <v>508</v>
      </c>
      <c r="AT80" s="228">
        <v>952</v>
      </c>
      <c r="AU80" s="228">
        <v>-444</v>
      </c>
      <c r="AV80" s="229">
        <v>-0.46629999999999999</v>
      </c>
      <c r="AW80" s="228">
        <v>476</v>
      </c>
      <c r="AX80" s="228">
        <v>909</v>
      </c>
      <c r="AY80" s="228">
        <v>-433</v>
      </c>
      <c r="AZ80" s="229">
        <v>-0.47649999999999998</v>
      </c>
      <c r="BA80" s="228">
        <v>29</v>
      </c>
      <c r="BB80" s="228">
        <v>38</v>
      </c>
      <c r="BC80" s="228">
        <v>-9</v>
      </c>
      <c r="BD80" s="229">
        <v>-0.24129999999999999</v>
      </c>
      <c r="BE80" s="228">
        <v>4</v>
      </c>
      <c r="BF80" s="228">
        <v>5</v>
      </c>
      <c r="BG80" s="228">
        <v>-2</v>
      </c>
      <c r="BH80" s="229">
        <v>-0.3125</v>
      </c>
      <c r="BI80" s="230">
        <v>1475</v>
      </c>
      <c r="BJ80" s="230">
        <v>5210</v>
      </c>
      <c r="BK80" s="230">
        <v>-3734</v>
      </c>
      <c r="BL80" s="229">
        <v>-0.71679999999999999</v>
      </c>
      <c r="BM80" s="228">
        <v>774</v>
      </c>
      <c r="BN80" s="230">
        <v>2167</v>
      </c>
      <c r="BO80" s="230">
        <v>-1394</v>
      </c>
      <c r="BP80" s="229">
        <v>-0.6431</v>
      </c>
      <c r="BQ80" s="230">
        <v>2757</v>
      </c>
      <c r="BR80" s="230">
        <v>8329</v>
      </c>
      <c r="BS80" s="230">
        <v>-5572</v>
      </c>
      <c r="BT80" s="229">
        <v>-0.66900000000000004</v>
      </c>
      <c r="BU80" s="230">
        <v>3711919</v>
      </c>
      <c r="BV80" s="230">
        <v>6796808</v>
      </c>
      <c r="BW80" s="230">
        <v>-3084889</v>
      </c>
      <c r="BX80" s="229">
        <v>-0.45390000000000003</v>
      </c>
      <c r="BY80" s="230">
        <v>4866</v>
      </c>
      <c r="BZ80" s="230">
        <v>4874</v>
      </c>
      <c r="CA80" s="228">
        <v>-8</v>
      </c>
      <c r="CB80" s="229">
        <v>-1.6000000000000001E-3</v>
      </c>
      <c r="CC80" s="230">
        <v>4812</v>
      </c>
      <c r="CD80" s="230">
        <v>4821</v>
      </c>
      <c r="CE80" s="228">
        <v>-10</v>
      </c>
      <c r="CF80" s="229">
        <v>-2E-3</v>
      </c>
      <c r="CG80" s="228">
        <v>50</v>
      </c>
      <c r="CH80" s="228">
        <v>50</v>
      </c>
      <c r="CI80" s="228">
        <v>0</v>
      </c>
      <c r="CJ80" s="229">
        <v>-6.4999999999999997E-3</v>
      </c>
      <c r="CK80" s="228">
        <v>5</v>
      </c>
      <c r="CL80" s="228">
        <v>3</v>
      </c>
      <c r="CM80" s="228">
        <v>2</v>
      </c>
      <c r="CN80" s="229">
        <v>0.76</v>
      </c>
      <c r="CO80" s="230">
        <v>1062</v>
      </c>
      <c r="CP80" s="228">
        <v>967</v>
      </c>
      <c r="CQ80" s="228">
        <v>95</v>
      </c>
      <c r="CR80" s="229">
        <v>9.8599999999999993E-2</v>
      </c>
      <c r="CS80" s="228">
        <v>828</v>
      </c>
      <c r="CT80" s="228">
        <v>796</v>
      </c>
      <c r="CU80" s="228">
        <v>31</v>
      </c>
      <c r="CV80" s="229">
        <v>3.9300000000000002E-2</v>
      </c>
      <c r="CW80" s="230">
        <v>6757</v>
      </c>
      <c r="CX80" s="230">
        <v>6638</v>
      </c>
      <c r="CY80" s="228">
        <v>119</v>
      </c>
      <c r="CZ80" s="229">
        <v>1.7899999999999999E-2</v>
      </c>
      <c r="DA80" s="228">
        <v>24.41</v>
      </c>
      <c r="DB80" s="228">
        <v>23.68</v>
      </c>
      <c r="DC80" s="228">
        <v>0.73</v>
      </c>
      <c r="DD80" s="228">
        <v>0.73</v>
      </c>
      <c r="DE80" s="228">
        <v>33.54</v>
      </c>
      <c r="DF80" s="228">
        <v>33.619999999999997</v>
      </c>
      <c r="DG80" s="228">
        <v>-9.1300000000000008</v>
      </c>
      <c r="DH80" s="228">
        <v>-0.08</v>
      </c>
      <c r="DI80" s="228">
        <v>24.12</v>
      </c>
      <c r="DJ80" s="228">
        <v>23.32</v>
      </c>
      <c r="DK80" s="228">
        <v>0.8</v>
      </c>
      <c r="DL80" s="228">
        <v>0.8</v>
      </c>
      <c r="DM80" s="228">
        <v>24.97</v>
      </c>
      <c r="DN80" s="228">
        <v>24.54</v>
      </c>
      <c r="DO80" s="228">
        <v>0.43</v>
      </c>
      <c r="DP80" s="228">
        <v>0.43</v>
      </c>
      <c r="DQ80" s="228">
        <v>0.78</v>
      </c>
      <c r="DR80" s="228">
        <v>0.82</v>
      </c>
      <c r="DS80" s="228">
        <v>-0.04</v>
      </c>
      <c r="DT80" s="229">
        <v>-4.8800000000000003E-2</v>
      </c>
      <c r="DU80" s="228">
        <v>800</v>
      </c>
      <c r="DV80" s="228">
        <v>750</v>
      </c>
      <c r="DW80" s="228">
        <v>0.52</v>
      </c>
      <c r="DX80" s="228">
        <v>0.42</v>
      </c>
      <c r="DY80" s="228">
        <v>0.1</v>
      </c>
      <c r="DZ80" s="229">
        <v>0.23810000000000001</v>
      </c>
      <c r="EA80" s="229">
        <v>1.1299999999999999E-2</v>
      </c>
      <c r="EB80" s="230">
        <v>679000</v>
      </c>
      <c r="EC80" s="229">
        <v>5.7999999999999996E-3</v>
      </c>
      <c r="ED80" s="229">
        <v>1.1299999999999999E-2</v>
      </c>
      <c r="EE80" s="228">
        <v>4.24</v>
      </c>
      <c r="EF80" s="229">
        <v>5.4000000000000003E-3</v>
      </c>
      <c r="EG80" s="230">
        <v>1720156</v>
      </c>
      <c r="EH80" s="230">
        <v>3041932</v>
      </c>
      <c r="EI80" s="229">
        <v>-0.4345</v>
      </c>
      <c r="EJ80" s="229">
        <v>0.46339999999999998</v>
      </c>
      <c r="EK80" s="231">
        <v>1543.32</v>
      </c>
      <c r="EL80" s="228">
        <v>760.51</v>
      </c>
      <c r="EM80" s="228">
        <v>509.03</v>
      </c>
      <c r="EN80" s="228">
        <v>122.59</v>
      </c>
      <c r="EO80" s="231">
        <v>2812.85</v>
      </c>
      <c r="EP80" s="231">
        <v>8540.32</v>
      </c>
      <c r="EQ80" s="231">
        <v>-5727.47</v>
      </c>
      <c r="ER80" s="229">
        <v>-0.67059999999999997</v>
      </c>
      <c r="ES80" s="231">
        <v>1090.92</v>
      </c>
      <c r="ET80" s="228">
        <v>782.91</v>
      </c>
      <c r="EU80" s="231">
        <v>4866.76</v>
      </c>
      <c r="EV80" s="231">
        <v>176136372</v>
      </c>
      <c r="EW80" s="231">
        <v>6740.59</v>
      </c>
      <c r="EX80" s="231">
        <v>6642.85</v>
      </c>
      <c r="EY80" s="228">
        <v>97.74</v>
      </c>
      <c r="EZ80" s="229">
        <v>1.47E-2</v>
      </c>
      <c r="FA80" s="229">
        <v>0.49099999999999999</v>
      </c>
      <c r="FB80" s="227" t="s">
        <v>568</v>
      </c>
      <c r="FC80">
        <f t="shared" si="1"/>
        <v>54</v>
      </c>
    </row>
    <row r="81" spans="1:159" ht="17.25" thickBot="1" x14ac:dyDescent="0.3">
      <c r="A81" s="226">
        <v>45936</v>
      </c>
      <c r="B81" s="227" t="s">
        <v>193</v>
      </c>
      <c r="C81" s="227" t="s">
        <v>229</v>
      </c>
      <c r="D81" s="228">
        <v>2025</v>
      </c>
      <c r="E81" s="228">
        <v>22</v>
      </c>
      <c r="F81" s="228">
        <v>458.4</v>
      </c>
      <c r="G81" s="228">
        <v>448</v>
      </c>
      <c r="H81" s="228">
        <v>10.4</v>
      </c>
      <c r="I81" s="229">
        <v>2.3199999999999998E-2</v>
      </c>
      <c r="J81" s="228">
        <v>456.3</v>
      </c>
      <c r="K81" s="228">
        <v>446.3</v>
      </c>
      <c r="L81" s="228">
        <v>10</v>
      </c>
      <c r="M81" s="229">
        <v>2.24E-2</v>
      </c>
      <c r="N81" s="228">
        <v>458.4</v>
      </c>
      <c r="O81" s="228">
        <v>448</v>
      </c>
      <c r="P81" s="228">
        <v>10.4</v>
      </c>
      <c r="Q81" s="229">
        <v>2.3199999999999998E-2</v>
      </c>
      <c r="R81" s="228">
        <v>460.05</v>
      </c>
      <c r="S81" s="228">
        <v>450.2</v>
      </c>
      <c r="T81" s="228">
        <v>9.85</v>
      </c>
      <c r="U81" s="229">
        <v>2.1899999999999999E-2</v>
      </c>
      <c r="V81" s="228">
        <v>461.35</v>
      </c>
      <c r="W81" s="228">
        <v>451.95</v>
      </c>
      <c r="X81" s="228">
        <v>9.4</v>
      </c>
      <c r="Y81" s="229">
        <v>2.0799999999999999E-2</v>
      </c>
      <c r="Z81" s="228">
        <v>2.1</v>
      </c>
      <c r="AA81" s="228">
        <v>1.7</v>
      </c>
      <c r="AB81" s="228">
        <v>0.4</v>
      </c>
      <c r="AC81" s="229">
        <v>4.5999999999999999E-3</v>
      </c>
      <c r="AD81" s="228">
        <v>2.1</v>
      </c>
      <c r="AE81" s="228">
        <v>1.7</v>
      </c>
      <c r="AF81" s="228">
        <v>0.4</v>
      </c>
      <c r="AG81" s="229">
        <v>4.5999999999999999E-3</v>
      </c>
      <c r="AH81" s="228">
        <v>3.75</v>
      </c>
      <c r="AI81" s="228">
        <v>3.9</v>
      </c>
      <c r="AJ81" s="228">
        <v>-0.15</v>
      </c>
      <c r="AK81" s="229">
        <v>8.2000000000000007E-3</v>
      </c>
      <c r="AL81" s="228">
        <v>5.05</v>
      </c>
      <c r="AM81" s="228">
        <v>5.65</v>
      </c>
      <c r="AN81" s="228">
        <v>-0.6</v>
      </c>
      <c r="AO81" s="229">
        <v>1.11E-2</v>
      </c>
      <c r="AP81" s="228">
        <v>452.59</v>
      </c>
      <c r="AQ81" s="228">
        <v>452.51</v>
      </c>
      <c r="AR81" s="228">
        <v>0</v>
      </c>
      <c r="AS81" s="228">
        <v>663</v>
      </c>
      <c r="AT81" s="228">
        <v>549</v>
      </c>
      <c r="AU81" s="228">
        <v>114</v>
      </c>
      <c r="AV81" s="229">
        <v>0.20749999999999999</v>
      </c>
      <c r="AW81" s="228">
        <v>633</v>
      </c>
      <c r="AX81" s="228">
        <v>525</v>
      </c>
      <c r="AY81" s="228">
        <v>108</v>
      </c>
      <c r="AZ81" s="229">
        <v>0.20530000000000001</v>
      </c>
      <c r="BA81" s="228">
        <v>24</v>
      </c>
      <c r="BB81" s="228">
        <v>19</v>
      </c>
      <c r="BC81" s="228">
        <v>6</v>
      </c>
      <c r="BD81" s="229">
        <v>0.29559999999999997</v>
      </c>
      <c r="BE81" s="228">
        <v>6</v>
      </c>
      <c r="BF81" s="228">
        <v>5</v>
      </c>
      <c r="BG81" s="228">
        <v>1</v>
      </c>
      <c r="BH81" s="229">
        <v>0.1186</v>
      </c>
      <c r="BI81" s="230">
        <v>1932</v>
      </c>
      <c r="BJ81" s="230">
        <v>1343</v>
      </c>
      <c r="BK81" s="228">
        <v>589</v>
      </c>
      <c r="BL81" s="229">
        <v>0.43869999999999998</v>
      </c>
      <c r="BM81" s="228">
        <v>937</v>
      </c>
      <c r="BN81" s="228">
        <v>587</v>
      </c>
      <c r="BO81" s="228">
        <v>350</v>
      </c>
      <c r="BP81" s="229">
        <v>0.59550000000000003</v>
      </c>
      <c r="BQ81" s="230">
        <v>3532</v>
      </c>
      <c r="BR81" s="230">
        <v>2479</v>
      </c>
      <c r="BS81" s="230">
        <v>1053</v>
      </c>
      <c r="BT81" s="229">
        <v>0.42459999999999998</v>
      </c>
      <c r="BU81" s="230">
        <v>4496963</v>
      </c>
      <c r="BV81" s="230">
        <v>6529809</v>
      </c>
      <c r="BW81" s="230">
        <v>-2032846</v>
      </c>
      <c r="BX81" s="229">
        <v>-0.31130000000000002</v>
      </c>
      <c r="BY81" s="230">
        <v>2295</v>
      </c>
      <c r="BZ81" s="230">
        <v>2229</v>
      </c>
      <c r="CA81" s="228">
        <v>66</v>
      </c>
      <c r="CB81" s="229">
        <v>2.9700000000000001E-2</v>
      </c>
      <c r="CC81" s="230">
        <v>2265</v>
      </c>
      <c r="CD81" s="230">
        <v>2204</v>
      </c>
      <c r="CE81" s="228">
        <v>61</v>
      </c>
      <c r="CF81" s="229">
        <v>2.75E-2</v>
      </c>
      <c r="CG81" s="228">
        <v>26</v>
      </c>
      <c r="CH81" s="228">
        <v>22</v>
      </c>
      <c r="CI81" s="228">
        <v>4</v>
      </c>
      <c r="CJ81" s="229">
        <v>0.17230000000000001</v>
      </c>
      <c r="CK81" s="228">
        <v>4</v>
      </c>
      <c r="CL81" s="228">
        <v>2</v>
      </c>
      <c r="CM81" s="228">
        <v>2</v>
      </c>
      <c r="CN81" s="229">
        <v>0.72</v>
      </c>
      <c r="CO81" s="228">
        <v>777</v>
      </c>
      <c r="CP81" s="228">
        <v>733</v>
      </c>
      <c r="CQ81" s="228">
        <v>44</v>
      </c>
      <c r="CR81" s="229">
        <v>6.0100000000000001E-2</v>
      </c>
      <c r="CS81" s="228">
        <v>438</v>
      </c>
      <c r="CT81" s="228">
        <v>393</v>
      </c>
      <c r="CU81" s="228">
        <v>45</v>
      </c>
      <c r="CV81" s="229">
        <v>0.1133</v>
      </c>
      <c r="CW81" s="230">
        <v>3509</v>
      </c>
      <c r="CX81" s="230">
        <v>3355</v>
      </c>
      <c r="CY81" s="228">
        <v>155</v>
      </c>
      <c r="CZ81" s="229">
        <v>4.6100000000000002E-2</v>
      </c>
      <c r="DA81" s="228">
        <v>32.159999999999997</v>
      </c>
      <c r="DB81" s="228">
        <v>30.38</v>
      </c>
      <c r="DC81" s="228">
        <v>1.78</v>
      </c>
      <c r="DD81" s="228">
        <v>1.78</v>
      </c>
      <c r="DE81" s="228">
        <v>41.34</v>
      </c>
      <c r="DF81" s="228">
        <v>41.33</v>
      </c>
      <c r="DG81" s="228">
        <v>-9.18</v>
      </c>
      <c r="DH81" s="228">
        <v>0.01</v>
      </c>
      <c r="DI81" s="228">
        <v>32.15</v>
      </c>
      <c r="DJ81" s="228">
        <v>30.43</v>
      </c>
      <c r="DK81" s="228">
        <v>1.72</v>
      </c>
      <c r="DL81" s="228">
        <v>1.72</v>
      </c>
      <c r="DM81" s="228">
        <v>32.17</v>
      </c>
      <c r="DN81" s="228">
        <v>30.27</v>
      </c>
      <c r="DO81" s="228">
        <v>1.9</v>
      </c>
      <c r="DP81" s="228">
        <v>1.9</v>
      </c>
      <c r="DQ81" s="228">
        <v>0.56000000000000005</v>
      </c>
      <c r="DR81" s="228">
        <v>0.54</v>
      </c>
      <c r="DS81" s="228">
        <v>0.02</v>
      </c>
      <c r="DT81" s="229">
        <v>3.6999999999999998E-2</v>
      </c>
      <c r="DU81" s="228">
        <v>500</v>
      </c>
      <c r="DV81" s="228">
        <v>440</v>
      </c>
      <c r="DW81" s="228">
        <v>0.48</v>
      </c>
      <c r="DX81" s="228">
        <v>0.44</v>
      </c>
      <c r="DY81" s="228">
        <v>0.04</v>
      </c>
      <c r="DZ81" s="229">
        <v>9.0899999999999995E-2</v>
      </c>
      <c r="EA81" s="229">
        <v>1.2999999999999999E-2</v>
      </c>
      <c r="EB81" s="230">
        <v>532575</v>
      </c>
      <c r="EC81" s="229">
        <v>3.5999999999999999E-3</v>
      </c>
      <c r="ED81" s="229">
        <v>1.2999999999999999E-2</v>
      </c>
      <c r="EE81" s="228">
        <v>-0.08</v>
      </c>
      <c r="EF81" s="229">
        <v>-2.0000000000000001E-4</v>
      </c>
      <c r="EG81" s="230">
        <v>1694485</v>
      </c>
      <c r="EH81" s="230">
        <v>3084180</v>
      </c>
      <c r="EI81" s="229">
        <v>-0.4506</v>
      </c>
      <c r="EJ81" s="229">
        <v>0.37680000000000002</v>
      </c>
      <c r="EK81" s="231">
        <v>2000.87</v>
      </c>
      <c r="EL81" s="228">
        <v>908.67</v>
      </c>
      <c r="EM81" s="228">
        <v>654.91</v>
      </c>
      <c r="EN81" s="228">
        <v>109.78</v>
      </c>
      <c r="EO81" s="231">
        <v>3564.44</v>
      </c>
      <c r="EP81" s="231">
        <v>2454.92</v>
      </c>
      <c r="EQ81" s="231">
        <v>1109.52</v>
      </c>
      <c r="ER81" s="229">
        <v>0.45200000000000001</v>
      </c>
      <c r="ES81" s="228">
        <v>787.29</v>
      </c>
      <c r="ET81" s="228">
        <v>404.43</v>
      </c>
      <c r="EU81" s="231">
        <v>2294.96</v>
      </c>
      <c r="EV81" s="231">
        <v>143933168</v>
      </c>
      <c r="EW81" s="231">
        <v>3486.68</v>
      </c>
      <c r="EX81" s="231">
        <v>3267.01</v>
      </c>
      <c r="EY81" s="228">
        <v>219.67</v>
      </c>
      <c r="EZ81" s="229">
        <v>6.7199999999999996E-2</v>
      </c>
      <c r="FA81" s="229">
        <v>0.53190000000000004</v>
      </c>
      <c r="FB81" s="227" t="s">
        <v>555</v>
      </c>
      <c r="FC81">
        <f t="shared" si="1"/>
        <v>30</v>
      </c>
    </row>
    <row r="82" spans="1:159" ht="17.25" thickBot="1" x14ac:dyDescent="0.3">
      <c r="A82" s="226">
        <v>45936</v>
      </c>
      <c r="B82" s="227" t="s">
        <v>168</v>
      </c>
      <c r="C82" s="227" t="s">
        <v>230</v>
      </c>
      <c r="D82" s="228">
        <v>300</v>
      </c>
      <c r="E82" s="228">
        <v>22</v>
      </c>
      <c r="F82" s="231">
        <v>2556.5</v>
      </c>
      <c r="G82" s="231">
        <v>2552.3000000000002</v>
      </c>
      <c r="H82" s="228">
        <v>4.2</v>
      </c>
      <c r="I82" s="229">
        <v>1.6000000000000001E-3</v>
      </c>
      <c r="J82" s="231">
        <v>2541.8000000000002</v>
      </c>
      <c r="K82" s="231">
        <v>2544.9</v>
      </c>
      <c r="L82" s="228">
        <v>-3.1</v>
      </c>
      <c r="M82" s="229">
        <v>-1.1999999999999999E-3</v>
      </c>
      <c r="N82" s="231">
        <v>2556.5</v>
      </c>
      <c r="O82" s="231">
        <v>2552.3000000000002</v>
      </c>
      <c r="P82" s="228">
        <v>4.2</v>
      </c>
      <c r="Q82" s="229">
        <v>1.6000000000000001E-3</v>
      </c>
      <c r="R82" s="231">
        <v>2549.8000000000002</v>
      </c>
      <c r="S82" s="231">
        <v>2544.4</v>
      </c>
      <c r="T82" s="228">
        <v>5.4</v>
      </c>
      <c r="U82" s="229">
        <v>2.0999999999999999E-3</v>
      </c>
      <c r="V82" s="231">
        <v>2561.4</v>
      </c>
      <c r="W82" s="231">
        <v>2561.1999999999998</v>
      </c>
      <c r="X82" s="228">
        <v>0.2</v>
      </c>
      <c r="Y82" s="229">
        <v>1E-4</v>
      </c>
      <c r="Z82" s="228">
        <v>14.7</v>
      </c>
      <c r="AA82" s="228">
        <v>7.4</v>
      </c>
      <c r="AB82" s="228">
        <v>7.3</v>
      </c>
      <c r="AC82" s="229">
        <v>5.7999999999999996E-3</v>
      </c>
      <c r="AD82" s="228">
        <v>14.7</v>
      </c>
      <c r="AE82" s="228">
        <v>7.4</v>
      </c>
      <c r="AF82" s="228">
        <v>7.3</v>
      </c>
      <c r="AG82" s="229">
        <v>5.7999999999999996E-3</v>
      </c>
      <c r="AH82" s="228">
        <v>8</v>
      </c>
      <c r="AI82" s="228">
        <v>-0.5</v>
      </c>
      <c r="AJ82" s="228">
        <v>8.5</v>
      </c>
      <c r="AK82" s="229">
        <v>3.0999999999999999E-3</v>
      </c>
      <c r="AL82" s="228">
        <v>19.600000000000001</v>
      </c>
      <c r="AM82" s="228">
        <v>16.3</v>
      </c>
      <c r="AN82" s="228">
        <v>3.3</v>
      </c>
      <c r="AO82" s="229">
        <v>7.7000000000000002E-3</v>
      </c>
      <c r="AP82" s="231">
        <v>2546.14</v>
      </c>
      <c r="AQ82" s="231">
        <v>2550.85</v>
      </c>
      <c r="AR82" s="228">
        <v>0</v>
      </c>
      <c r="AS82" s="228">
        <v>350</v>
      </c>
      <c r="AT82" s="228">
        <v>443</v>
      </c>
      <c r="AU82" s="228">
        <v>-92</v>
      </c>
      <c r="AV82" s="229">
        <v>-0.20860000000000001</v>
      </c>
      <c r="AW82" s="228">
        <v>326</v>
      </c>
      <c r="AX82" s="228">
        <v>432</v>
      </c>
      <c r="AY82" s="228">
        <v>-106</v>
      </c>
      <c r="AZ82" s="229">
        <v>-0.2457</v>
      </c>
      <c r="BA82" s="228">
        <v>23</v>
      </c>
      <c r="BB82" s="228">
        <v>10</v>
      </c>
      <c r="BC82" s="228">
        <v>14</v>
      </c>
      <c r="BD82" s="229">
        <v>1.4159999999999999</v>
      </c>
      <c r="BE82" s="228">
        <v>1</v>
      </c>
      <c r="BF82" s="228">
        <v>1</v>
      </c>
      <c r="BG82" s="228">
        <v>0</v>
      </c>
      <c r="BH82" s="229">
        <v>0.4</v>
      </c>
      <c r="BI82" s="228">
        <v>847</v>
      </c>
      <c r="BJ82" s="230">
        <v>1018</v>
      </c>
      <c r="BK82" s="228">
        <v>-171</v>
      </c>
      <c r="BL82" s="229">
        <v>-0.1681</v>
      </c>
      <c r="BM82" s="228">
        <v>556</v>
      </c>
      <c r="BN82" s="228">
        <v>768</v>
      </c>
      <c r="BO82" s="228">
        <v>-212</v>
      </c>
      <c r="BP82" s="229">
        <v>-0.2757</v>
      </c>
      <c r="BQ82" s="230">
        <v>1753</v>
      </c>
      <c r="BR82" s="230">
        <v>2228</v>
      </c>
      <c r="BS82" s="228">
        <v>-475</v>
      </c>
      <c r="BT82" s="229">
        <v>-0.2132</v>
      </c>
      <c r="BU82" s="230">
        <v>872380</v>
      </c>
      <c r="BV82" s="230">
        <v>1285039</v>
      </c>
      <c r="BW82" s="230">
        <v>-412659</v>
      </c>
      <c r="BX82" s="229">
        <v>-0.3211</v>
      </c>
      <c r="BY82" s="230">
        <v>3732</v>
      </c>
      <c r="BZ82" s="230">
        <v>3806</v>
      </c>
      <c r="CA82" s="228">
        <v>-74</v>
      </c>
      <c r="CB82" s="229">
        <v>-1.9400000000000001E-2</v>
      </c>
      <c r="CC82" s="230">
        <v>3642</v>
      </c>
      <c r="CD82" s="230">
        <v>3724</v>
      </c>
      <c r="CE82" s="228">
        <v>-82</v>
      </c>
      <c r="CF82" s="229">
        <v>-2.1999999999999999E-2</v>
      </c>
      <c r="CG82" s="228">
        <v>89</v>
      </c>
      <c r="CH82" s="228">
        <v>81</v>
      </c>
      <c r="CI82" s="228">
        <v>8</v>
      </c>
      <c r="CJ82" s="229">
        <v>9.2600000000000002E-2</v>
      </c>
      <c r="CK82" s="228">
        <v>1</v>
      </c>
      <c r="CL82" s="228">
        <v>1</v>
      </c>
      <c r="CM82" s="228">
        <v>1</v>
      </c>
      <c r="CN82" s="229">
        <v>0.9</v>
      </c>
      <c r="CO82" s="228">
        <v>920</v>
      </c>
      <c r="CP82" s="228">
        <v>936</v>
      </c>
      <c r="CQ82" s="228">
        <v>-15</v>
      </c>
      <c r="CR82" s="229">
        <v>-1.6299999999999999E-2</v>
      </c>
      <c r="CS82" s="228">
        <v>603</v>
      </c>
      <c r="CT82" s="228">
        <v>609</v>
      </c>
      <c r="CU82" s="228">
        <v>-7</v>
      </c>
      <c r="CV82" s="229">
        <v>-1.0699999999999999E-2</v>
      </c>
      <c r="CW82" s="230">
        <v>5255</v>
      </c>
      <c r="CX82" s="230">
        <v>5351</v>
      </c>
      <c r="CY82" s="228">
        <v>-95</v>
      </c>
      <c r="CZ82" s="229">
        <v>-1.78E-2</v>
      </c>
      <c r="DA82" s="228">
        <v>18.579999999999998</v>
      </c>
      <c r="DB82" s="228">
        <v>17.91</v>
      </c>
      <c r="DC82" s="228">
        <v>0.67</v>
      </c>
      <c r="DD82" s="228">
        <v>0.67</v>
      </c>
      <c r="DE82" s="228">
        <v>22.81</v>
      </c>
      <c r="DF82" s="228">
        <v>22.87</v>
      </c>
      <c r="DG82" s="228">
        <v>-4.2300000000000004</v>
      </c>
      <c r="DH82" s="228">
        <v>-0.06</v>
      </c>
      <c r="DI82" s="228">
        <v>18.489999999999998</v>
      </c>
      <c r="DJ82" s="228">
        <v>17.72</v>
      </c>
      <c r="DK82" s="228">
        <v>0.77</v>
      </c>
      <c r="DL82" s="228">
        <v>0.77</v>
      </c>
      <c r="DM82" s="228">
        <v>18.72</v>
      </c>
      <c r="DN82" s="228">
        <v>18.16</v>
      </c>
      <c r="DO82" s="228">
        <v>0.56000000000000005</v>
      </c>
      <c r="DP82" s="228">
        <v>0.56000000000000005</v>
      </c>
      <c r="DQ82" s="228">
        <v>0.65</v>
      </c>
      <c r="DR82" s="228">
        <v>0.65</v>
      </c>
      <c r="DS82" s="228">
        <v>0</v>
      </c>
      <c r="DT82" s="229">
        <v>0</v>
      </c>
      <c r="DU82" s="231">
        <v>2600</v>
      </c>
      <c r="DV82" s="231">
        <v>2500</v>
      </c>
      <c r="DW82" s="228">
        <v>0.66</v>
      </c>
      <c r="DX82" s="228">
        <v>0.75</v>
      </c>
      <c r="DY82" s="228">
        <v>-0.09</v>
      </c>
      <c r="DZ82" s="229">
        <v>-0.12</v>
      </c>
      <c r="EA82" s="229">
        <v>2.41E-2</v>
      </c>
      <c r="EB82" s="230">
        <v>320400</v>
      </c>
      <c r="EC82" s="229">
        <v>-2.5999999999999999E-3</v>
      </c>
      <c r="ED82" s="229">
        <v>2.41E-2</v>
      </c>
      <c r="EE82" s="228">
        <v>4.71</v>
      </c>
      <c r="EF82" s="229">
        <v>1.8E-3</v>
      </c>
      <c r="EG82" s="230">
        <v>546038</v>
      </c>
      <c r="EH82" s="230">
        <v>962482</v>
      </c>
      <c r="EI82" s="229">
        <v>-0.43269999999999997</v>
      </c>
      <c r="EJ82" s="229">
        <v>0.62590000000000001</v>
      </c>
      <c r="EK82" s="228">
        <v>871.48</v>
      </c>
      <c r="EL82" s="228">
        <v>549.47</v>
      </c>
      <c r="EM82" s="228">
        <v>348.97</v>
      </c>
      <c r="EN82" s="228">
        <v>159.69999999999999</v>
      </c>
      <c r="EO82" s="231">
        <v>1769.92</v>
      </c>
      <c r="EP82" s="231">
        <v>2245.6799999999998</v>
      </c>
      <c r="EQ82" s="228">
        <v>-475.75</v>
      </c>
      <c r="ER82" s="229">
        <v>-0.21190000000000001</v>
      </c>
      <c r="ES82" s="228">
        <v>954.01</v>
      </c>
      <c r="ET82" s="228">
        <v>584.15</v>
      </c>
      <c r="EU82" s="231">
        <v>3731.98</v>
      </c>
      <c r="EV82" s="231">
        <v>89517840</v>
      </c>
      <c r="EW82" s="231">
        <v>5270.14</v>
      </c>
      <c r="EX82" s="231">
        <v>5358.35</v>
      </c>
      <c r="EY82" s="228">
        <v>-88.21</v>
      </c>
      <c r="EZ82" s="229">
        <v>-1.6500000000000001E-2</v>
      </c>
      <c r="FA82" s="229">
        <v>0.2296</v>
      </c>
      <c r="FB82" s="227" t="s">
        <v>556</v>
      </c>
      <c r="FC82">
        <f t="shared" si="1"/>
        <v>90</v>
      </c>
    </row>
    <row r="83" spans="1:159" ht="17.25" thickBot="1" x14ac:dyDescent="0.3">
      <c r="A83" s="226">
        <v>45936</v>
      </c>
      <c r="B83" s="227" t="s">
        <v>227</v>
      </c>
      <c r="C83" s="227" t="s">
        <v>670</v>
      </c>
      <c r="D83" s="228">
        <v>1225</v>
      </c>
      <c r="E83" s="228">
        <v>22</v>
      </c>
      <c r="F83" s="228">
        <v>493.3</v>
      </c>
      <c r="G83" s="228">
        <v>494.5</v>
      </c>
      <c r="H83" s="228">
        <v>-1.2</v>
      </c>
      <c r="I83" s="229">
        <v>-2.3999999999999998E-3</v>
      </c>
      <c r="J83" s="228">
        <v>491.5</v>
      </c>
      <c r="K83" s="228">
        <v>491.5</v>
      </c>
      <c r="L83" s="228">
        <v>0</v>
      </c>
      <c r="M83" s="229">
        <v>0</v>
      </c>
      <c r="N83" s="228">
        <v>493.3</v>
      </c>
      <c r="O83" s="228">
        <v>494.5</v>
      </c>
      <c r="P83" s="228">
        <v>-1.2</v>
      </c>
      <c r="Q83" s="229">
        <v>-2.3999999999999998E-3</v>
      </c>
      <c r="R83" s="228">
        <v>496.4</v>
      </c>
      <c r="S83" s="228">
        <v>497.5</v>
      </c>
      <c r="T83" s="228">
        <v>-1.1000000000000001</v>
      </c>
      <c r="U83" s="229">
        <v>-2.2000000000000001E-3</v>
      </c>
      <c r="V83" s="228">
        <v>498.1</v>
      </c>
      <c r="W83" s="228">
        <v>500.15</v>
      </c>
      <c r="X83" s="228">
        <v>-2.0499999999999998</v>
      </c>
      <c r="Y83" s="229">
        <v>-4.1000000000000003E-3</v>
      </c>
      <c r="Z83" s="228">
        <v>1.8</v>
      </c>
      <c r="AA83" s="228">
        <v>3</v>
      </c>
      <c r="AB83" s="228">
        <v>-1.2</v>
      </c>
      <c r="AC83" s="229">
        <v>3.7000000000000002E-3</v>
      </c>
      <c r="AD83" s="228">
        <v>1.8</v>
      </c>
      <c r="AE83" s="228">
        <v>3</v>
      </c>
      <c r="AF83" s="228">
        <v>-1.2</v>
      </c>
      <c r="AG83" s="229">
        <v>3.7000000000000002E-3</v>
      </c>
      <c r="AH83" s="228">
        <v>4.9000000000000004</v>
      </c>
      <c r="AI83" s="228">
        <v>6</v>
      </c>
      <c r="AJ83" s="228">
        <v>-1.1000000000000001</v>
      </c>
      <c r="AK83" s="229">
        <v>0.01</v>
      </c>
      <c r="AL83" s="228">
        <v>6.6</v>
      </c>
      <c r="AM83" s="228">
        <v>8.65</v>
      </c>
      <c r="AN83" s="228">
        <v>-2.0499999999999998</v>
      </c>
      <c r="AO83" s="229">
        <v>1.34E-2</v>
      </c>
      <c r="AP83" s="228">
        <v>495.22</v>
      </c>
      <c r="AQ83" s="228">
        <v>497.33</v>
      </c>
      <c r="AR83" s="228">
        <v>0</v>
      </c>
      <c r="AS83" s="228">
        <v>311</v>
      </c>
      <c r="AT83" s="228">
        <v>610</v>
      </c>
      <c r="AU83" s="228">
        <v>-300</v>
      </c>
      <c r="AV83" s="229">
        <v>-0.49099999999999999</v>
      </c>
      <c r="AW83" s="228">
        <v>275</v>
      </c>
      <c r="AX83" s="228">
        <v>551</v>
      </c>
      <c r="AY83" s="228">
        <v>-276</v>
      </c>
      <c r="AZ83" s="229">
        <v>-0.50149999999999995</v>
      </c>
      <c r="BA83" s="228">
        <v>24</v>
      </c>
      <c r="BB83" s="228">
        <v>49</v>
      </c>
      <c r="BC83" s="228">
        <v>-26</v>
      </c>
      <c r="BD83" s="229">
        <v>-0.52090000000000003</v>
      </c>
      <c r="BE83" s="228">
        <v>12</v>
      </c>
      <c r="BF83" s="228">
        <v>10</v>
      </c>
      <c r="BG83" s="228">
        <v>2</v>
      </c>
      <c r="BH83" s="229">
        <v>0.22020000000000001</v>
      </c>
      <c r="BI83" s="228">
        <v>913</v>
      </c>
      <c r="BJ83" s="230">
        <v>2329</v>
      </c>
      <c r="BK83" s="230">
        <v>-1416</v>
      </c>
      <c r="BL83" s="229">
        <v>-0.6079</v>
      </c>
      <c r="BM83" s="228">
        <v>305</v>
      </c>
      <c r="BN83" s="228">
        <v>687</v>
      </c>
      <c r="BO83" s="228">
        <v>-382</v>
      </c>
      <c r="BP83" s="229">
        <v>-0.55620000000000003</v>
      </c>
      <c r="BQ83" s="230">
        <v>1529</v>
      </c>
      <c r="BR83" s="230">
        <v>3626</v>
      </c>
      <c r="BS83" s="230">
        <v>-2097</v>
      </c>
      <c r="BT83" s="229">
        <v>-0.57840000000000003</v>
      </c>
      <c r="BU83" s="230">
        <v>4594148</v>
      </c>
      <c r="BV83" s="230">
        <v>9446781</v>
      </c>
      <c r="BW83" s="230">
        <v>-4852633</v>
      </c>
      <c r="BX83" s="229">
        <v>-0.51370000000000005</v>
      </c>
      <c r="BY83" s="230">
        <v>1610</v>
      </c>
      <c r="BZ83" s="230">
        <v>1574</v>
      </c>
      <c r="CA83" s="228">
        <v>36</v>
      </c>
      <c r="CB83" s="229">
        <v>2.2599999999999999E-2</v>
      </c>
      <c r="CC83" s="230">
        <v>1535</v>
      </c>
      <c r="CD83" s="230">
        <v>1514</v>
      </c>
      <c r="CE83" s="228">
        <v>21</v>
      </c>
      <c r="CF83" s="229">
        <v>1.3599999999999999E-2</v>
      </c>
      <c r="CG83" s="228">
        <v>58</v>
      </c>
      <c r="CH83" s="228">
        <v>52</v>
      </c>
      <c r="CI83" s="228">
        <v>6</v>
      </c>
      <c r="CJ83" s="229">
        <v>0.1085</v>
      </c>
      <c r="CK83" s="228">
        <v>17</v>
      </c>
      <c r="CL83" s="228">
        <v>8</v>
      </c>
      <c r="CM83" s="228">
        <v>9</v>
      </c>
      <c r="CN83" s="229">
        <v>1.1832</v>
      </c>
      <c r="CO83" s="228">
        <v>769</v>
      </c>
      <c r="CP83" s="228">
        <v>690</v>
      </c>
      <c r="CQ83" s="228">
        <v>79</v>
      </c>
      <c r="CR83" s="229">
        <v>0.115</v>
      </c>
      <c r="CS83" s="228">
        <v>441</v>
      </c>
      <c r="CT83" s="228">
        <v>422</v>
      </c>
      <c r="CU83" s="228">
        <v>19</v>
      </c>
      <c r="CV83" s="229">
        <v>4.5699999999999998E-2</v>
      </c>
      <c r="CW83" s="230">
        <v>2820</v>
      </c>
      <c r="CX83" s="230">
        <v>2686</v>
      </c>
      <c r="CY83" s="228">
        <v>134</v>
      </c>
      <c r="CZ83" s="229">
        <v>0.05</v>
      </c>
      <c r="DA83" s="228">
        <v>34.130000000000003</v>
      </c>
      <c r="DB83" s="228">
        <v>32.200000000000003</v>
      </c>
      <c r="DC83" s="228">
        <v>1.93</v>
      </c>
      <c r="DD83" s="228">
        <v>1.93</v>
      </c>
      <c r="DE83" s="228">
        <v>44.73</v>
      </c>
      <c r="DF83" s="228">
        <v>44.84</v>
      </c>
      <c r="DG83" s="228">
        <v>-10.6</v>
      </c>
      <c r="DH83" s="228">
        <v>-0.11</v>
      </c>
      <c r="DI83" s="228">
        <v>34.340000000000003</v>
      </c>
      <c r="DJ83" s="228">
        <v>32.19</v>
      </c>
      <c r="DK83" s="228">
        <v>2.15</v>
      </c>
      <c r="DL83" s="228">
        <v>2.15</v>
      </c>
      <c r="DM83" s="228">
        <v>33.51</v>
      </c>
      <c r="DN83" s="228">
        <v>32.25</v>
      </c>
      <c r="DO83" s="228">
        <v>1.26</v>
      </c>
      <c r="DP83" s="228">
        <v>1.26</v>
      </c>
      <c r="DQ83" s="228">
        <v>0.56999999999999995</v>
      </c>
      <c r="DR83" s="228">
        <v>0.61</v>
      </c>
      <c r="DS83" s="228">
        <v>-0.04</v>
      </c>
      <c r="DT83" s="229">
        <v>-6.5600000000000006E-2</v>
      </c>
      <c r="DU83" s="228">
        <v>500</v>
      </c>
      <c r="DV83" s="228">
        <v>460</v>
      </c>
      <c r="DW83" s="228">
        <v>0.33</v>
      </c>
      <c r="DX83" s="228">
        <v>0.28999999999999998</v>
      </c>
      <c r="DY83" s="228">
        <v>0.04</v>
      </c>
      <c r="DZ83" s="229">
        <v>0.13789999999999999</v>
      </c>
      <c r="EA83" s="229">
        <v>4.6800000000000001E-2</v>
      </c>
      <c r="EB83" s="230">
        <v>1221325</v>
      </c>
      <c r="EC83" s="229">
        <v>6.3E-3</v>
      </c>
      <c r="ED83" s="229">
        <v>4.6800000000000001E-2</v>
      </c>
      <c r="EE83" s="228">
        <v>2.11</v>
      </c>
      <c r="EF83" s="229">
        <v>4.3E-3</v>
      </c>
      <c r="EG83" s="230">
        <v>1817268</v>
      </c>
      <c r="EH83" s="230">
        <v>2990040</v>
      </c>
      <c r="EI83" s="229">
        <v>-0.39219999999999999</v>
      </c>
      <c r="EJ83" s="229">
        <v>0.39560000000000001</v>
      </c>
      <c r="EK83" s="228">
        <v>962.26</v>
      </c>
      <c r="EL83" s="228">
        <v>301.25</v>
      </c>
      <c r="EM83" s="228">
        <v>312.05</v>
      </c>
      <c r="EN83" s="228">
        <v>166.79</v>
      </c>
      <c r="EO83" s="231">
        <v>1575.56</v>
      </c>
      <c r="EP83" s="231">
        <v>3730.97</v>
      </c>
      <c r="EQ83" s="231">
        <v>-2155.41</v>
      </c>
      <c r="ER83" s="229">
        <v>-0.57769999999999999</v>
      </c>
      <c r="ES83" s="228">
        <v>780.54</v>
      </c>
      <c r="ET83" s="228">
        <v>411.74</v>
      </c>
      <c r="EU83" s="231">
        <v>1610.61</v>
      </c>
      <c r="EV83" s="231">
        <v>167680340</v>
      </c>
      <c r="EW83" s="231">
        <v>2802.89</v>
      </c>
      <c r="EX83" s="231">
        <v>2669.56</v>
      </c>
      <c r="EY83" s="228">
        <v>133.33000000000001</v>
      </c>
      <c r="EZ83" s="229">
        <v>4.99E-2</v>
      </c>
      <c r="FA83" s="229">
        <v>0.34100000000000003</v>
      </c>
      <c r="FB83" s="227" t="s">
        <v>567</v>
      </c>
      <c r="FC83">
        <f t="shared" si="1"/>
        <v>75</v>
      </c>
    </row>
    <row r="84" spans="1:159" ht="17.25" thickBot="1" x14ac:dyDescent="0.3">
      <c r="A84" s="226">
        <v>45936</v>
      </c>
      <c r="B84" s="227" t="s">
        <v>206</v>
      </c>
      <c r="C84" s="227" t="s">
        <v>609</v>
      </c>
      <c r="D84" s="228">
        <v>2775</v>
      </c>
      <c r="E84" s="228">
        <v>22</v>
      </c>
      <c r="F84" s="228">
        <v>232.32</v>
      </c>
      <c r="G84" s="228">
        <v>235.36</v>
      </c>
      <c r="H84" s="228">
        <v>-3.04</v>
      </c>
      <c r="I84" s="229">
        <v>-1.29E-2</v>
      </c>
      <c r="J84" s="228">
        <v>230.91</v>
      </c>
      <c r="K84" s="228">
        <v>233.79</v>
      </c>
      <c r="L84" s="228">
        <v>-2.88</v>
      </c>
      <c r="M84" s="229">
        <v>-1.23E-2</v>
      </c>
      <c r="N84" s="228">
        <v>232.32</v>
      </c>
      <c r="O84" s="228">
        <v>235.36</v>
      </c>
      <c r="P84" s="228">
        <v>-3.04</v>
      </c>
      <c r="Q84" s="229">
        <v>-1.29E-2</v>
      </c>
      <c r="R84" s="228">
        <v>233.64</v>
      </c>
      <c r="S84" s="228">
        <v>236.57</v>
      </c>
      <c r="T84" s="228">
        <v>-2.93</v>
      </c>
      <c r="U84" s="229">
        <v>-1.24E-2</v>
      </c>
      <c r="V84" s="228">
        <v>234</v>
      </c>
      <c r="W84" s="228">
        <v>238.49</v>
      </c>
      <c r="X84" s="228">
        <v>-4.49</v>
      </c>
      <c r="Y84" s="229">
        <v>-1.8800000000000001E-2</v>
      </c>
      <c r="Z84" s="228">
        <v>1.41</v>
      </c>
      <c r="AA84" s="228">
        <v>1.57</v>
      </c>
      <c r="AB84" s="228">
        <v>-0.16</v>
      </c>
      <c r="AC84" s="229">
        <v>6.1000000000000004E-3</v>
      </c>
      <c r="AD84" s="228">
        <v>1.41</v>
      </c>
      <c r="AE84" s="228">
        <v>1.57</v>
      </c>
      <c r="AF84" s="228">
        <v>-0.16</v>
      </c>
      <c r="AG84" s="229">
        <v>6.1000000000000004E-3</v>
      </c>
      <c r="AH84" s="228">
        <v>2.73</v>
      </c>
      <c r="AI84" s="228">
        <v>2.78</v>
      </c>
      <c r="AJ84" s="228">
        <v>-0.05</v>
      </c>
      <c r="AK84" s="229">
        <v>1.18E-2</v>
      </c>
      <c r="AL84" s="228">
        <v>3.09</v>
      </c>
      <c r="AM84" s="228">
        <v>4.7</v>
      </c>
      <c r="AN84" s="228">
        <v>-1.61</v>
      </c>
      <c r="AO84" s="229">
        <v>1.34E-2</v>
      </c>
      <c r="AP84" s="228">
        <v>232.78</v>
      </c>
      <c r="AQ84" s="228">
        <v>234.44</v>
      </c>
      <c r="AR84" s="228">
        <v>0</v>
      </c>
      <c r="AS84" s="228">
        <v>100</v>
      </c>
      <c r="AT84" s="228">
        <v>159</v>
      </c>
      <c r="AU84" s="228">
        <v>-58</v>
      </c>
      <c r="AV84" s="229">
        <v>-0.36709999999999998</v>
      </c>
      <c r="AW84" s="228">
        <v>95</v>
      </c>
      <c r="AX84" s="228">
        <v>152</v>
      </c>
      <c r="AY84" s="228">
        <v>-56</v>
      </c>
      <c r="AZ84" s="229">
        <v>-0.372</v>
      </c>
      <c r="BA84" s="228">
        <v>5</v>
      </c>
      <c r="BB84" s="228">
        <v>6</v>
      </c>
      <c r="BC84" s="228">
        <v>-2</v>
      </c>
      <c r="BD84" s="229">
        <v>-0.2525</v>
      </c>
      <c r="BE84" s="228">
        <v>0</v>
      </c>
      <c r="BF84" s="228">
        <v>0</v>
      </c>
      <c r="BG84" s="228">
        <v>0</v>
      </c>
      <c r="BH84" s="229">
        <v>-0.33329999999999999</v>
      </c>
      <c r="BI84" s="228">
        <v>285</v>
      </c>
      <c r="BJ84" s="228">
        <v>459</v>
      </c>
      <c r="BK84" s="228">
        <v>-173</v>
      </c>
      <c r="BL84" s="229">
        <v>-0.3775</v>
      </c>
      <c r="BM84" s="228">
        <v>120</v>
      </c>
      <c r="BN84" s="228">
        <v>209</v>
      </c>
      <c r="BO84" s="228">
        <v>-88</v>
      </c>
      <c r="BP84" s="229">
        <v>-0.42259999999999998</v>
      </c>
      <c r="BQ84" s="228">
        <v>506</v>
      </c>
      <c r="BR84" s="228">
        <v>826</v>
      </c>
      <c r="BS84" s="228">
        <v>-320</v>
      </c>
      <c r="BT84" s="229">
        <v>-0.38690000000000002</v>
      </c>
      <c r="BU84" s="230">
        <v>2530228</v>
      </c>
      <c r="BV84" s="230">
        <v>6119631</v>
      </c>
      <c r="BW84" s="230">
        <v>-3589403</v>
      </c>
      <c r="BX84" s="229">
        <v>-0.58650000000000002</v>
      </c>
      <c r="BY84" s="228">
        <v>634</v>
      </c>
      <c r="BZ84" s="228">
        <v>632</v>
      </c>
      <c r="CA84" s="228">
        <v>1</v>
      </c>
      <c r="CB84" s="229">
        <v>2E-3</v>
      </c>
      <c r="CC84" s="228">
        <v>613</v>
      </c>
      <c r="CD84" s="228">
        <v>613</v>
      </c>
      <c r="CE84" s="228">
        <v>0</v>
      </c>
      <c r="CF84" s="229">
        <v>-2.0000000000000001E-4</v>
      </c>
      <c r="CG84" s="228">
        <v>19</v>
      </c>
      <c r="CH84" s="228">
        <v>18</v>
      </c>
      <c r="CI84" s="228">
        <v>1</v>
      </c>
      <c r="CJ84" s="229">
        <v>6.7400000000000002E-2</v>
      </c>
      <c r="CK84" s="228">
        <v>1</v>
      </c>
      <c r="CL84" s="228">
        <v>1</v>
      </c>
      <c r="CM84" s="228">
        <v>0</v>
      </c>
      <c r="CN84" s="229">
        <v>0.15</v>
      </c>
      <c r="CO84" s="228">
        <v>306</v>
      </c>
      <c r="CP84" s="228">
        <v>257</v>
      </c>
      <c r="CQ84" s="228">
        <v>49</v>
      </c>
      <c r="CR84" s="229">
        <v>0.19070000000000001</v>
      </c>
      <c r="CS84" s="228">
        <v>175</v>
      </c>
      <c r="CT84" s="228">
        <v>154</v>
      </c>
      <c r="CU84" s="228">
        <v>21</v>
      </c>
      <c r="CV84" s="229">
        <v>0.13800000000000001</v>
      </c>
      <c r="CW84" s="230">
        <v>1114</v>
      </c>
      <c r="CX84" s="230">
        <v>1043</v>
      </c>
      <c r="CY84" s="228">
        <v>71</v>
      </c>
      <c r="CZ84" s="229">
        <v>6.8500000000000005E-2</v>
      </c>
      <c r="DA84" s="228">
        <v>32.18</v>
      </c>
      <c r="DB84" s="228">
        <v>31.78</v>
      </c>
      <c r="DC84" s="228">
        <v>0.4</v>
      </c>
      <c r="DD84" s="228">
        <v>0.4</v>
      </c>
      <c r="DE84" s="228">
        <v>54.1</v>
      </c>
      <c r="DF84" s="228">
        <v>54.21</v>
      </c>
      <c r="DG84" s="228">
        <v>-21.92</v>
      </c>
      <c r="DH84" s="228">
        <v>-0.11</v>
      </c>
      <c r="DI84" s="228">
        <v>32.479999999999997</v>
      </c>
      <c r="DJ84" s="228">
        <v>31.96</v>
      </c>
      <c r="DK84" s="228">
        <v>0.52</v>
      </c>
      <c r="DL84" s="228">
        <v>0.52</v>
      </c>
      <c r="DM84" s="228">
        <v>31.47</v>
      </c>
      <c r="DN84" s="228">
        <v>31.38</v>
      </c>
      <c r="DO84" s="228">
        <v>0.09</v>
      </c>
      <c r="DP84" s="228">
        <v>0.09</v>
      </c>
      <c r="DQ84" s="228">
        <v>0.56999999999999995</v>
      </c>
      <c r="DR84" s="228">
        <v>0.6</v>
      </c>
      <c r="DS84" s="228">
        <v>-0.03</v>
      </c>
      <c r="DT84" s="229">
        <v>-0.05</v>
      </c>
      <c r="DU84" s="228">
        <v>240</v>
      </c>
      <c r="DV84" s="228">
        <v>230</v>
      </c>
      <c r="DW84" s="228">
        <v>0.42</v>
      </c>
      <c r="DX84" s="228">
        <v>0.46</v>
      </c>
      <c r="DY84" s="228">
        <v>-0.04</v>
      </c>
      <c r="DZ84" s="229">
        <v>-8.6999999999999994E-2</v>
      </c>
      <c r="EA84" s="229">
        <v>3.3000000000000002E-2</v>
      </c>
      <c r="EB84" s="230">
        <v>838050</v>
      </c>
      <c r="EC84" s="229">
        <v>5.7000000000000002E-3</v>
      </c>
      <c r="ED84" s="229">
        <v>3.3000000000000002E-2</v>
      </c>
      <c r="EE84" s="228">
        <v>1.66</v>
      </c>
      <c r="EF84" s="229">
        <v>7.1000000000000004E-3</v>
      </c>
      <c r="EG84" s="230">
        <v>971359</v>
      </c>
      <c r="EH84" s="230">
        <v>2486543</v>
      </c>
      <c r="EI84" s="229">
        <v>-0.60940000000000005</v>
      </c>
      <c r="EJ84" s="229">
        <v>0.38390000000000002</v>
      </c>
      <c r="EK84" s="228">
        <v>299.56</v>
      </c>
      <c r="EL84" s="228">
        <v>122.45</v>
      </c>
      <c r="EM84" s="228">
        <v>100.61</v>
      </c>
      <c r="EN84" s="228">
        <v>68.03</v>
      </c>
      <c r="EO84" s="228">
        <v>522.62</v>
      </c>
      <c r="EP84" s="228">
        <v>859.5</v>
      </c>
      <c r="EQ84" s="228">
        <v>-336.87</v>
      </c>
      <c r="ER84" s="229">
        <v>-0.39190000000000003</v>
      </c>
      <c r="ES84" s="228">
        <v>316.81</v>
      </c>
      <c r="ET84" s="228">
        <v>170.85</v>
      </c>
      <c r="EU84" s="228">
        <v>633.78</v>
      </c>
      <c r="EV84" s="231">
        <v>75071250</v>
      </c>
      <c r="EW84" s="231">
        <v>1121.44</v>
      </c>
      <c r="EX84" s="231">
        <v>1057.48</v>
      </c>
      <c r="EY84" s="228">
        <v>63.96</v>
      </c>
      <c r="EZ84" s="229">
        <v>6.0499999999999998E-2</v>
      </c>
      <c r="FA84" s="229">
        <v>0.63880000000000003</v>
      </c>
      <c r="FB84" s="227" t="s">
        <v>567</v>
      </c>
      <c r="FC84">
        <f t="shared" si="1"/>
        <v>21</v>
      </c>
    </row>
    <row r="85" spans="1:159" ht="17.25" thickBot="1" x14ac:dyDescent="0.3">
      <c r="A85" s="226">
        <v>45936</v>
      </c>
      <c r="B85" s="227" t="s">
        <v>172</v>
      </c>
      <c r="C85" s="227" t="s">
        <v>232</v>
      </c>
      <c r="D85" s="228">
        <v>700</v>
      </c>
      <c r="E85" s="228">
        <v>22</v>
      </c>
      <c r="F85" s="231">
        <v>1368.3</v>
      </c>
      <c r="G85" s="231">
        <v>1371</v>
      </c>
      <c r="H85" s="228">
        <v>-2.7</v>
      </c>
      <c r="I85" s="229">
        <v>-2E-3</v>
      </c>
      <c r="J85" s="231">
        <v>1363.4</v>
      </c>
      <c r="K85" s="231">
        <v>1365.2</v>
      </c>
      <c r="L85" s="228">
        <v>-1.8</v>
      </c>
      <c r="M85" s="229">
        <v>-1.2999999999999999E-3</v>
      </c>
      <c r="N85" s="231">
        <v>1368.3</v>
      </c>
      <c r="O85" s="231">
        <v>1371</v>
      </c>
      <c r="P85" s="228">
        <v>-2.7</v>
      </c>
      <c r="Q85" s="229">
        <v>-2E-3</v>
      </c>
      <c r="R85" s="231">
        <v>1375.6</v>
      </c>
      <c r="S85" s="231">
        <v>1378.3</v>
      </c>
      <c r="T85" s="228">
        <v>-2.7</v>
      </c>
      <c r="U85" s="229">
        <v>-2E-3</v>
      </c>
      <c r="V85" s="231">
        <v>1384.6</v>
      </c>
      <c r="W85" s="231">
        <v>1386.4</v>
      </c>
      <c r="X85" s="228">
        <v>-1.8</v>
      </c>
      <c r="Y85" s="229">
        <v>-1.2999999999999999E-3</v>
      </c>
      <c r="Z85" s="228">
        <v>4.9000000000000004</v>
      </c>
      <c r="AA85" s="228">
        <v>5.8</v>
      </c>
      <c r="AB85" s="228">
        <v>-0.9</v>
      </c>
      <c r="AC85" s="229">
        <v>3.5999999999999999E-3</v>
      </c>
      <c r="AD85" s="228">
        <v>4.9000000000000004</v>
      </c>
      <c r="AE85" s="228">
        <v>5.8</v>
      </c>
      <c r="AF85" s="228">
        <v>-0.9</v>
      </c>
      <c r="AG85" s="229">
        <v>3.5999999999999999E-3</v>
      </c>
      <c r="AH85" s="228">
        <v>12.2</v>
      </c>
      <c r="AI85" s="228">
        <v>13.1</v>
      </c>
      <c r="AJ85" s="228">
        <v>-0.9</v>
      </c>
      <c r="AK85" s="229">
        <v>8.8999999999999999E-3</v>
      </c>
      <c r="AL85" s="228">
        <v>21.2</v>
      </c>
      <c r="AM85" s="228">
        <v>21.2</v>
      </c>
      <c r="AN85" s="228">
        <v>0</v>
      </c>
      <c r="AO85" s="229">
        <v>1.55E-2</v>
      </c>
      <c r="AP85" s="231">
        <v>1370.48</v>
      </c>
      <c r="AQ85" s="231">
        <v>1377.48</v>
      </c>
      <c r="AR85" s="228">
        <v>0</v>
      </c>
      <c r="AS85" s="230">
        <v>1986</v>
      </c>
      <c r="AT85" s="230">
        <v>1932</v>
      </c>
      <c r="AU85" s="228">
        <v>54</v>
      </c>
      <c r="AV85" s="229">
        <v>2.7900000000000001E-2</v>
      </c>
      <c r="AW85" s="230">
        <v>1917</v>
      </c>
      <c r="AX85" s="230">
        <v>1787</v>
      </c>
      <c r="AY85" s="228">
        <v>129</v>
      </c>
      <c r="AZ85" s="229">
        <v>7.22E-2</v>
      </c>
      <c r="BA85" s="228">
        <v>63</v>
      </c>
      <c r="BB85" s="228">
        <v>44</v>
      </c>
      <c r="BC85" s="228">
        <v>18</v>
      </c>
      <c r="BD85" s="229">
        <v>0.41560000000000002</v>
      </c>
      <c r="BE85" s="228">
        <v>6</v>
      </c>
      <c r="BF85" s="228">
        <v>100</v>
      </c>
      <c r="BG85" s="228">
        <v>-94</v>
      </c>
      <c r="BH85" s="229">
        <v>-0.93589999999999995</v>
      </c>
      <c r="BI85" s="230">
        <v>4635</v>
      </c>
      <c r="BJ85" s="230">
        <v>3486</v>
      </c>
      <c r="BK85" s="230">
        <v>1149</v>
      </c>
      <c r="BL85" s="229">
        <v>0.32950000000000002</v>
      </c>
      <c r="BM85" s="230">
        <v>2576</v>
      </c>
      <c r="BN85" s="230">
        <v>2188</v>
      </c>
      <c r="BO85" s="228">
        <v>388</v>
      </c>
      <c r="BP85" s="229">
        <v>0.1772</v>
      </c>
      <c r="BQ85" s="230">
        <v>9197</v>
      </c>
      <c r="BR85" s="230">
        <v>7606</v>
      </c>
      <c r="BS85" s="230">
        <v>1590</v>
      </c>
      <c r="BT85" s="229">
        <v>0.20910000000000001</v>
      </c>
      <c r="BU85" s="230">
        <v>14532621</v>
      </c>
      <c r="BV85" s="230">
        <v>12873433</v>
      </c>
      <c r="BW85" s="230">
        <v>1659188</v>
      </c>
      <c r="BX85" s="229">
        <v>0.12889999999999999</v>
      </c>
      <c r="BY85" s="230">
        <v>16383</v>
      </c>
      <c r="BZ85" s="230">
        <v>16421</v>
      </c>
      <c r="CA85" s="228">
        <v>-39</v>
      </c>
      <c r="CB85" s="229">
        <v>-2.3999999999999998E-3</v>
      </c>
      <c r="CC85" s="230">
        <v>15854</v>
      </c>
      <c r="CD85" s="230">
        <v>15915</v>
      </c>
      <c r="CE85" s="228">
        <v>-61</v>
      </c>
      <c r="CF85" s="229">
        <v>-3.8E-3</v>
      </c>
      <c r="CG85" s="228">
        <v>422</v>
      </c>
      <c r="CH85" s="228">
        <v>406</v>
      </c>
      <c r="CI85" s="228">
        <v>17</v>
      </c>
      <c r="CJ85" s="229">
        <v>4.1799999999999997E-2</v>
      </c>
      <c r="CK85" s="228">
        <v>106</v>
      </c>
      <c r="CL85" s="228">
        <v>100</v>
      </c>
      <c r="CM85" s="228">
        <v>5</v>
      </c>
      <c r="CN85" s="229">
        <v>5.2400000000000002E-2</v>
      </c>
      <c r="CO85" s="230">
        <v>3101</v>
      </c>
      <c r="CP85" s="230">
        <v>2510</v>
      </c>
      <c r="CQ85" s="228">
        <v>590</v>
      </c>
      <c r="CR85" s="229">
        <v>0.2351</v>
      </c>
      <c r="CS85" s="230">
        <v>2318</v>
      </c>
      <c r="CT85" s="230">
        <v>1996</v>
      </c>
      <c r="CU85" s="228">
        <v>322</v>
      </c>
      <c r="CV85" s="229">
        <v>0.16120000000000001</v>
      </c>
      <c r="CW85" s="230">
        <v>21801</v>
      </c>
      <c r="CX85" s="230">
        <v>20928</v>
      </c>
      <c r="CY85" s="228">
        <v>873</v>
      </c>
      <c r="CZ85" s="229">
        <v>4.1700000000000001E-2</v>
      </c>
      <c r="DA85" s="228">
        <v>18.760000000000002</v>
      </c>
      <c r="DB85" s="228">
        <v>17.149999999999999</v>
      </c>
      <c r="DC85" s="228">
        <v>1.61</v>
      </c>
      <c r="DD85" s="228">
        <v>1.61</v>
      </c>
      <c r="DE85" s="228">
        <v>21.13</v>
      </c>
      <c r="DF85" s="228">
        <v>21.18</v>
      </c>
      <c r="DG85" s="228">
        <v>-2.37</v>
      </c>
      <c r="DH85" s="228">
        <v>-0.05</v>
      </c>
      <c r="DI85" s="228">
        <v>18.72</v>
      </c>
      <c r="DJ85" s="228">
        <v>17.010000000000002</v>
      </c>
      <c r="DK85" s="228">
        <v>1.71</v>
      </c>
      <c r="DL85" s="228">
        <v>1.71</v>
      </c>
      <c r="DM85" s="228">
        <v>18.84</v>
      </c>
      <c r="DN85" s="228">
        <v>17.38</v>
      </c>
      <c r="DO85" s="228">
        <v>1.46</v>
      </c>
      <c r="DP85" s="228">
        <v>1.46</v>
      </c>
      <c r="DQ85" s="228">
        <v>0.75</v>
      </c>
      <c r="DR85" s="228">
        <v>0.8</v>
      </c>
      <c r="DS85" s="228">
        <v>-0.05</v>
      </c>
      <c r="DT85" s="229">
        <v>-6.25E-2</v>
      </c>
      <c r="DU85" s="231">
        <v>1400</v>
      </c>
      <c r="DV85" s="231">
        <v>1400</v>
      </c>
      <c r="DW85" s="228">
        <v>0.56000000000000005</v>
      </c>
      <c r="DX85" s="228">
        <v>0.63</v>
      </c>
      <c r="DY85" s="228">
        <v>-7.0000000000000007E-2</v>
      </c>
      <c r="DZ85" s="229">
        <v>-0.1111</v>
      </c>
      <c r="EA85" s="229">
        <v>3.2199999999999999E-2</v>
      </c>
      <c r="EB85" s="230">
        <v>3698100</v>
      </c>
      <c r="EC85" s="229">
        <v>5.3E-3</v>
      </c>
      <c r="ED85" s="229">
        <v>3.2199999999999999E-2</v>
      </c>
      <c r="EE85" s="228">
        <v>7</v>
      </c>
      <c r="EF85" s="229">
        <v>5.1000000000000004E-3</v>
      </c>
      <c r="EG85" s="230">
        <v>9138682</v>
      </c>
      <c r="EH85" s="230">
        <v>8477249</v>
      </c>
      <c r="EI85" s="229">
        <v>7.8E-2</v>
      </c>
      <c r="EJ85" s="229">
        <v>0.62880000000000003</v>
      </c>
      <c r="EK85" s="231">
        <v>4776.8100000000004</v>
      </c>
      <c r="EL85" s="231">
        <v>2572.15</v>
      </c>
      <c r="EM85" s="231">
        <v>1989.18</v>
      </c>
      <c r="EN85" s="228">
        <v>472.14</v>
      </c>
      <c r="EO85" s="231">
        <v>9338.14</v>
      </c>
      <c r="EP85" s="231">
        <v>7729.7</v>
      </c>
      <c r="EQ85" s="231">
        <v>1608.44</v>
      </c>
      <c r="ER85" s="229">
        <v>0.20810000000000001</v>
      </c>
      <c r="ES85" s="231">
        <v>3191.21</v>
      </c>
      <c r="ET85" s="231">
        <v>2297.5100000000002</v>
      </c>
      <c r="EU85" s="231">
        <v>16386.09</v>
      </c>
      <c r="EV85" s="231">
        <v>579785172</v>
      </c>
      <c r="EW85" s="231">
        <v>21874.799999999999</v>
      </c>
      <c r="EX85" s="231">
        <v>21029.23</v>
      </c>
      <c r="EY85" s="228">
        <v>845.57</v>
      </c>
      <c r="EZ85" s="229">
        <v>4.02E-2</v>
      </c>
      <c r="FA85" s="229">
        <v>0.27479999999999999</v>
      </c>
      <c r="FB85" s="227" t="s">
        <v>568</v>
      </c>
      <c r="FC85">
        <f t="shared" si="1"/>
        <v>529</v>
      </c>
    </row>
    <row r="86" spans="1:159" ht="17.25" thickBot="1" x14ac:dyDescent="0.3">
      <c r="A86" s="226">
        <v>45936</v>
      </c>
      <c r="B86" s="227" t="s">
        <v>175</v>
      </c>
      <c r="C86" s="227" t="s">
        <v>472</v>
      </c>
      <c r="D86" s="228">
        <v>325</v>
      </c>
      <c r="E86" s="228">
        <v>22</v>
      </c>
      <c r="F86" s="231">
        <v>1931.7</v>
      </c>
      <c r="G86" s="231">
        <v>1918.1</v>
      </c>
      <c r="H86" s="228">
        <v>13.6</v>
      </c>
      <c r="I86" s="229">
        <v>7.1000000000000004E-3</v>
      </c>
      <c r="J86" s="231">
        <v>1925.8</v>
      </c>
      <c r="K86" s="231">
        <v>1911.6</v>
      </c>
      <c r="L86" s="228">
        <v>14.2</v>
      </c>
      <c r="M86" s="229">
        <v>7.4000000000000003E-3</v>
      </c>
      <c r="N86" s="231">
        <v>1931.7</v>
      </c>
      <c r="O86" s="231">
        <v>1918.1</v>
      </c>
      <c r="P86" s="228">
        <v>13.6</v>
      </c>
      <c r="Q86" s="229">
        <v>7.1000000000000004E-3</v>
      </c>
      <c r="R86" s="231">
        <v>1940.5</v>
      </c>
      <c r="S86" s="231">
        <v>1925.2</v>
      </c>
      <c r="T86" s="228">
        <v>15.3</v>
      </c>
      <c r="U86" s="229">
        <v>7.9000000000000008E-3</v>
      </c>
      <c r="V86" s="231">
        <v>1908.3</v>
      </c>
      <c r="W86" s="231">
        <v>1908.3</v>
      </c>
      <c r="X86" s="228">
        <v>0</v>
      </c>
      <c r="Y86" s="229">
        <v>0</v>
      </c>
      <c r="Z86" s="228">
        <v>5.9</v>
      </c>
      <c r="AA86" s="228">
        <v>6.5</v>
      </c>
      <c r="AB86" s="228">
        <v>-0.6</v>
      </c>
      <c r="AC86" s="229">
        <v>3.0999999999999999E-3</v>
      </c>
      <c r="AD86" s="228">
        <v>5.9</v>
      </c>
      <c r="AE86" s="228">
        <v>6.5</v>
      </c>
      <c r="AF86" s="228">
        <v>-0.6</v>
      </c>
      <c r="AG86" s="229">
        <v>3.0999999999999999E-3</v>
      </c>
      <c r="AH86" s="228">
        <v>14.7</v>
      </c>
      <c r="AI86" s="228">
        <v>13.6</v>
      </c>
      <c r="AJ86" s="228">
        <v>1.1000000000000001</v>
      </c>
      <c r="AK86" s="229">
        <v>7.6E-3</v>
      </c>
      <c r="AL86" s="228">
        <v>-17.5</v>
      </c>
      <c r="AM86" s="228">
        <v>-3.3</v>
      </c>
      <c r="AN86" s="228">
        <v>-14.2</v>
      </c>
      <c r="AO86" s="229">
        <v>-9.1000000000000004E-3</v>
      </c>
      <c r="AP86" s="231">
        <v>1927.93</v>
      </c>
      <c r="AQ86" s="231">
        <v>1936.31</v>
      </c>
      <c r="AR86" s="228">
        <v>0</v>
      </c>
      <c r="AS86" s="228">
        <v>89</v>
      </c>
      <c r="AT86" s="228">
        <v>86</v>
      </c>
      <c r="AU86" s="228">
        <v>3</v>
      </c>
      <c r="AV86" s="229">
        <v>3.5099999999999999E-2</v>
      </c>
      <c r="AW86" s="228">
        <v>86</v>
      </c>
      <c r="AX86" s="228">
        <v>85</v>
      </c>
      <c r="AY86" s="228">
        <v>2</v>
      </c>
      <c r="AZ86" s="229">
        <v>2.01E-2</v>
      </c>
      <c r="BA86" s="228">
        <v>3</v>
      </c>
      <c r="BB86" s="228">
        <v>1</v>
      </c>
      <c r="BC86" s="228">
        <v>1</v>
      </c>
      <c r="BD86" s="229">
        <v>0.95450000000000002</v>
      </c>
      <c r="BE86" s="228">
        <v>0</v>
      </c>
      <c r="BF86" s="228">
        <v>0</v>
      </c>
      <c r="BG86" s="228">
        <v>0</v>
      </c>
      <c r="BH86" s="229">
        <v>0</v>
      </c>
      <c r="BI86" s="228">
        <v>153</v>
      </c>
      <c r="BJ86" s="228">
        <v>138</v>
      </c>
      <c r="BK86" s="228">
        <v>15</v>
      </c>
      <c r="BL86" s="229">
        <v>0.1103</v>
      </c>
      <c r="BM86" s="228">
        <v>42</v>
      </c>
      <c r="BN86" s="228">
        <v>54</v>
      </c>
      <c r="BO86" s="228">
        <v>-12</v>
      </c>
      <c r="BP86" s="229">
        <v>-0.21990000000000001</v>
      </c>
      <c r="BQ86" s="228">
        <v>284</v>
      </c>
      <c r="BR86" s="228">
        <v>277</v>
      </c>
      <c r="BS86" s="228">
        <v>6</v>
      </c>
      <c r="BT86" s="229">
        <v>2.3099999999999999E-2</v>
      </c>
      <c r="BU86" s="230">
        <v>627106</v>
      </c>
      <c r="BV86" s="230">
        <v>605343</v>
      </c>
      <c r="BW86" s="230">
        <v>21763</v>
      </c>
      <c r="BX86" s="229">
        <v>3.5999999999999997E-2</v>
      </c>
      <c r="BY86" s="228">
        <v>994</v>
      </c>
      <c r="BZ86" s="228">
        <v>992</v>
      </c>
      <c r="CA86" s="228">
        <v>2</v>
      </c>
      <c r="CB86" s="229">
        <v>2.0999999999999999E-3</v>
      </c>
      <c r="CC86" s="228">
        <v>990</v>
      </c>
      <c r="CD86" s="228">
        <v>988</v>
      </c>
      <c r="CE86" s="228">
        <v>2</v>
      </c>
      <c r="CF86" s="229">
        <v>2.2000000000000001E-3</v>
      </c>
      <c r="CG86" s="228">
        <v>4</v>
      </c>
      <c r="CH86" s="228">
        <v>4</v>
      </c>
      <c r="CI86" s="228">
        <v>0</v>
      </c>
      <c r="CJ86" s="229">
        <v>-1.5599999999999999E-2</v>
      </c>
      <c r="CK86" s="228">
        <v>0</v>
      </c>
      <c r="CL86" s="228">
        <v>0</v>
      </c>
      <c r="CM86" s="228">
        <v>0</v>
      </c>
      <c r="CN86" s="229">
        <v>0</v>
      </c>
      <c r="CO86" s="228">
        <v>144</v>
      </c>
      <c r="CP86" s="228">
        <v>134</v>
      </c>
      <c r="CQ86" s="228">
        <v>9</v>
      </c>
      <c r="CR86" s="229">
        <v>6.9199999999999998E-2</v>
      </c>
      <c r="CS86" s="228">
        <v>111</v>
      </c>
      <c r="CT86" s="228">
        <v>106</v>
      </c>
      <c r="CU86" s="228">
        <v>5</v>
      </c>
      <c r="CV86" s="229">
        <v>5.0999999999999997E-2</v>
      </c>
      <c r="CW86" s="230">
        <v>1249</v>
      </c>
      <c r="CX86" s="230">
        <v>1232</v>
      </c>
      <c r="CY86" s="228">
        <v>17</v>
      </c>
      <c r="CZ86" s="229">
        <v>1.3599999999999999E-2</v>
      </c>
      <c r="DA86" s="228">
        <v>25.55</v>
      </c>
      <c r="DB86" s="228">
        <v>24.42</v>
      </c>
      <c r="DC86" s="228">
        <v>1.1299999999999999</v>
      </c>
      <c r="DD86" s="228">
        <v>1.1299999999999999</v>
      </c>
      <c r="DE86" s="228">
        <v>28.28</v>
      </c>
      <c r="DF86" s="228">
        <v>28.33</v>
      </c>
      <c r="DG86" s="228">
        <v>-2.73</v>
      </c>
      <c r="DH86" s="228">
        <v>-0.05</v>
      </c>
      <c r="DI86" s="228">
        <v>25.44</v>
      </c>
      <c r="DJ86" s="228">
        <v>24.26</v>
      </c>
      <c r="DK86" s="228">
        <v>1.18</v>
      </c>
      <c r="DL86" s="228">
        <v>1.18</v>
      </c>
      <c r="DM86" s="228">
        <v>25.94</v>
      </c>
      <c r="DN86" s="228">
        <v>24.85</v>
      </c>
      <c r="DO86" s="228">
        <v>1.0900000000000001</v>
      </c>
      <c r="DP86" s="228">
        <v>1.0900000000000001</v>
      </c>
      <c r="DQ86" s="228">
        <v>0.78</v>
      </c>
      <c r="DR86" s="228">
        <v>0.79</v>
      </c>
      <c r="DS86" s="228">
        <v>-0.01</v>
      </c>
      <c r="DT86" s="229">
        <v>-1.2699999999999999E-2</v>
      </c>
      <c r="DU86" s="231">
        <v>1900</v>
      </c>
      <c r="DV86" s="231">
        <v>1900</v>
      </c>
      <c r="DW86" s="228">
        <v>0.27</v>
      </c>
      <c r="DX86" s="228">
        <v>0.39</v>
      </c>
      <c r="DY86" s="228">
        <v>-0.12</v>
      </c>
      <c r="DZ86" s="229">
        <v>-0.30769999999999997</v>
      </c>
      <c r="EA86" s="229">
        <v>4.0000000000000001E-3</v>
      </c>
      <c r="EB86" s="230">
        <v>21125</v>
      </c>
      <c r="EC86" s="229">
        <v>4.5999999999999999E-3</v>
      </c>
      <c r="ED86" s="229">
        <v>4.0000000000000001E-3</v>
      </c>
      <c r="EE86" s="228">
        <v>8.3800000000000008</v>
      </c>
      <c r="EF86" s="229">
        <v>4.3E-3</v>
      </c>
      <c r="EG86" s="230">
        <v>447432</v>
      </c>
      <c r="EH86" s="230">
        <v>451574</v>
      </c>
      <c r="EI86" s="229">
        <v>-9.1999999999999998E-3</v>
      </c>
      <c r="EJ86" s="229">
        <v>0.71350000000000002</v>
      </c>
      <c r="EK86" s="228">
        <v>157.84</v>
      </c>
      <c r="EL86" s="228">
        <v>41.08</v>
      </c>
      <c r="EM86" s="228">
        <v>88.74</v>
      </c>
      <c r="EN86" s="228">
        <v>47.86</v>
      </c>
      <c r="EO86" s="228">
        <v>287.64999999999998</v>
      </c>
      <c r="EP86" s="228">
        <v>278.85000000000002</v>
      </c>
      <c r="EQ86" s="228">
        <v>8.7899999999999991</v>
      </c>
      <c r="ER86" s="229">
        <v>3.15E-2</v>
      </c>
      <c r="ES86" s="228">
        <v>146.29</v>
      </c>
      <c r="ET86" s="228">
        <v>107.24</v>
      </c>
      <c r="EU86" s="228">
        <v>993.95</v>
      </c>
      <c r="EV86" s="231">
        <v>26688038</v>
      </c>
      <c r="EW86" s="231">
        <v>1247.48</v>
      </c>
      <c r="EX86" s="231">
        <v>1223.47</v>
      </c>
      <c r="EY86" s="228">
        <v>24.01</v>
      </c>
      <c r="EZ86" s="229">
        <v>1.9599999999999999E-2</v>
      </c>
      <c r="FA86" s="229">
        <v>0.2422</v>
      </c>
      <c r="FB86" s="227" t="s">
        <v>555</v>
      </c>
      <c r="FC86">
        <f t="shared" si="1"/>
        <v>4</v>
      </c>
    </row>
    <row r="87" spans="1:159" ht="17.25" thickBot="1" x14ac:dyDescent="0.3">
      <c r="A87" s="226">
        <v>45936</v>
      </c>
      <c r="B87" s="227" t="s">
        <v>175</v>
      </c>
      <c r="C87" s="227" t="s">
        <v>233</v>
      </c>
      <c r="D87" s="228">
        <v>925</v>
      </c>
      <c r="E87" s="228">
        <v>22</v>
      </c>
      <c r="F87" s="228">
        <v>604.20000000000005</v>
      </c>
      <c r="G87" s="228">
        <v>605.04999999999995</v>
      </c>
      <c r="H87" s="228">
        <v>-0.85</v>
      </c>
      <c r="I87" s="229">
        <v>-1.4E-3</v>
      </c>
      <c r="J87" s="228">
        <v>600.45000000000005</v>
      </c>
      <c r="K87" s="228">
        <v>601.1</v>
      </c>
      <c r="L87" s="228">
        <v>-0.65</v>
      </c>
      <c r="M87" s="229">
        <v>-1.1000000000000001E-3</v>
      </c>
      <c r="N87" s="228">
        <v>604.20000000000005</v>
      </c>
      <c r="O87" s="228">
        <v>605.04999999999995</v>
      </c>
      <c r="P87" s="228">
        <v>-0.85</v>
      </c>
      <c r="Q87" s="229">
        <v>-1.4E-3</v>
      </c>
      <c r="R87" s="228">
        <v>607.65</v>
      </c>
      <c r="S87" s="228">
        <v>608.54999999999995</v>
      </c>
      <c r="T87" s="228">
        <v>-0.9</v>
      </c>
      <c r="U87" s="229">
        <v>-1.5E-3</v>
      </c>
      <c r="V87" s="228">
        <v>611.79999999999995</v>
      </c>
      <c r="W87" s="228">
        <v>607</v>
      </c>
      <c r="X87" s="228">
        <v>4.8</v>
      </c>
      <c r="Y87" s="229">
        <v>7.9000000000000008E-3</v>
      </c>
      <c r="Z87" s="228">
        <v>3.75</v>
      </c>
      <c r="AA87" s="228">
        <v>3.95</v>
      </c>
      <c r="AB87" s="228">
        <v>-0.2</v>
      </c>
      <c r="AC87" s="229">
        <v>6.1999999999999998E-3</v>
      </c>
      <c r="AD87" s="228">
        <v>3.75</v>
      </c>
      <c r="AE87" s="228">
        <v>3.95</v>
      </c>
      <c r="AF87" s="228">
        <v>-0.2</v>
      </c>
      <c r="AG87" s="229">
        <v>6.1999999999999998E-3</v>
      </c>
      <c r="AH87" s="228">
        <v>7.2</v>
      </c>
      <c r="AI87" s="228">
        <v>7.45</v>
      </c>
      <c r="AJ87" s="228">
        <v>-0.25</v>
      </c>
      <c r="AK87" s="229">
        <v>1.2E-2</v>
      </c>
      <c r="AL87" s="228">
        <v>11.35</v>
      </c>
      <c r="AM87" s="228">
        <v>5.9</v>
      </c>
      <c r="AN87" s="228">
        <v>5.45</v>
      </c>
      <c r="AO87" s="229">
        <v>1.89E-2</v>
      </c>
      <c r="AP87" s="228">
        <v>603.88</v>
      </c>
      <c r="AQ87" s="228">
        <v>607.72</v>
      </c>
      <c r="AR87" s="228">
        <v>0</v>
      </c>
      <c r="AS87" s="228">
        <v>72</v>
      </c>
      <c r="AT87" s="228">
        <v>114</v>
      </c>
      <c r="AU87" s="228">
        <v>-41</v>
      </c>
      <c r="AV87" s="229">
        <v>-0.36430000000000001</v>
      </c>
      <c r="AW87" s="228">
        <v>70</v>
      </c>
      <c r="AX87" s="228">
        <v>111</v>
      </c>
      <c r="AY87" s="228">
        <v>-41</v>
      </c>
      <c r="AZ87" s="229">
        <v>-0.36630000000000001</v>
      </c>
      <c r="BA87" s="228">
        <v>2</v>
      </c>
      <c r="BB87" s="228">
        <v>3</v>
      </c>
      <c r="BC87" s="228">
        <v>-1</v>
      </c>
      <c r="BD87" s="229">
        <v>-0.30769999999999997</v>
      </c>
      <c r="BE87" s="228">
        <v>0</v>
      </c>
      <c r="BF87" s="228">
        <v>0</v>
      </c>
      <c r="BG87" s="228">
        <v>0</v>
      </c>
      <c r="BH87" s="229">
        <v>-0.16669999999999999</v>
      </c>
      <c r="BI87" s="228">
        <v>69</v>
      </c>
      <c r="BJ87" s="228">
        <v>71</v>
      </c>
      <c r="BK87" s="228">
        <v>-2</v>
      </c>
      <c r="BL87" s="229">
        <v>-2.3599999999999999E-2</v>
      </c>
      <c r="BM87" s="228">
        <v>32</v>
      </c>
      <c r="BN87" s="228">
        <v>42</v>
      </c>
      <c r="BO87" s="228">
        <v>-10</v>
      </c>
      <c r="BP87" s="229">
        <v>-0.23669999999999999</v>
      </c>
      <c r="BQ87" s="228">
        <v>174</v>
      </c>
      <c r="BR87" s="228">
        <v>227</v>
      </c>
      <c r="BS87" s="228">
        <v>-53</v>
      </c>
      <c r="BT87" s="229">
        <v>-0.23400000000000001</v>
      </c>
      <c r="BU87" s="230">
        <v>858363</v>
      </c>
      <c r="BV87" s="230">
        <v>1390650</v>
      </c>
      <c r="BW87" s="230">
        <v>-532287</v>
      </c>
      <c r="BX87" s="229">
        <v>-0.38279999999999997</v>
      </c>
      <c r="BY87" s="228">
        <v>709</v>
      </c>
      <c r="BZ87" s="228">
        <v>712</v>
      </c>
      <c r="CA87" s="228">
        <v>-4</v>
      </c>
      <c r="CB87" s="229">
        <v>-5.1000000000000004E-3</v>
      </c>
      <c r="CC87" s="228">
        <v>696</v>
      </c>
      <c r="CD87" s="228">
        <v>701</v>
      </c>
      <c r="CE87" s="228">
        <v>-4</v>
      </c>
      <c r="CF87" s="229">
        <v>-6.0000000000000001E-3</v>
      </c>
      <c r="CG87" s="228">
        <v>12</v>
      </c>
      <c r="CH87" s="228">
        <v>11</v>
      </c>
      <c r="CI87" s="228">
        <v>0</v>
      </c>
      <c r="CJ87" s="229">
        <v>2.4500000000000001E-2</v>
      </c>
      <c r="CK87" s="228">
        <v>1</v>
      </c>
      <c r="CL87" s="228">
        <v>0</v>
      </c>
      <c r="CM87" s="228">
        <v>0</v>
      </c>
      <c r="CN87" s="229">
        <v>0.71430000000000005</v>
      </c>
      <c r="CO87" s="228">
        <v>136</v>
      </c>
      <c r="CP87" s="228">
        <v>127</v>
      </c>
      <c r="CQ87" s="228">
        <v>10</v>
      </c>
      <c r="CR87" s="229">
        <v>7.51E-2</v>
      </c>
      <c r="CS87" s="228">
        <v>109</v>
      </c>
      <c r="CT87" s="228">
        <v>105</v>
      </c>
      <c r="CU87" s="228">
        <v>3</v>
      </c>
      <c r="CV87" s="229">
        <v>3.0200000000000001E-2</v>
      </c>
      <c r="CW87" s="228">
        <v>953</v>
      </c>
      <c r="CX87" s="228">
        <v>944</v>
      </c>
      <c r="CY87" s="228">
        <v>9</v>
      </c>
      <c r="CZ87" s="229">
        <v>9.5999999999999992E-3</v>
      </c>
      <c r="DA87" s="228">
        <v>27.62</v>
      </c>
      <c r="DB87" s="228">
        <v>26.65</v>
      </c>
      <c r="DC87" s="228">
        <v>0.97</v>
      </c>
      <c r="DD87" s="228">
        <v>0.97</v>
      </c>
      <c r="DE87" s="228">
        <v>28.44</v>
      </c>
      <c r="DF87" s="228">
        <v>28.51</v>
      </c>
      <c r="DG87" s="228">
        <v>-0.82</v>
      </c>
      <c r="DH87" s="228">
        <v>-7.0000000000000007E-2</v>
      </c>
      <c r="DI87" s="228">
        <v>27.38</v>
      </c>
      <c r="DJ87" s="228">
        <v>26.41</v>
      </c>
      <c r="DK87" s="228">
        <v>0.97</v>
      </c>
      <c r="DL87" s="228">
        <v>0.97</v>
      </c>
      <c r="DM87" s="228">
        <v>28.12</v>
      </c>
      <c r="DN87" s="228">
        <v>27.05</v>
      </c>
      <c r="DO87" s="228">
        <v>1.07</v>
      </c>
      <c r="DP87" s="228">
        <v>1.07</v>
      </c>
      <c r="DQ87" s="228">
        <v>0.8</v>
      </c>
      <c r="DR87" s="228">
        <v>0.83</v>
      </c>
      <c r="DS87" s="228">
        <v>-0.03</v>
      </c>
      <c r="DT87" s="229">
        <v>-3.61E-2</v>
      </c>
      <c r="DU87" s="228">
        <v>620</v>
      </c>
      <c r="DV87" s="228">
        <v>600</v>
      </c>
      <c r="DW87" s="228">
        <v>0.46</v>
      </c>
      <c r="DX87" s="228">
        <v>0.59</v>
      </c>
      <c r="DY87" s="228">
        <v>-0.13</v>
      </c>
      <c r="DZ87" s="229">
        <v>-0.2203</v>
      </c>
      <c r="EA87" s="229">
        <v>1.7399999999999999E-2</v>
      </c>
      <c r="EB87" s="230">
        <v>195175</v>
      </c>
      <c r="EC87" s="229">
        <v>5.7000000000000002E-3</v>
      </c>
      <c r="ED87" s="229">
        <v>1.7399999999999999E-2</v>
      </c>
      <c r="EE87" s="228">
        <v>3.84</v>
      </c>
      <c r="EF87" s="229">
        <v>6.4000000000000003E-3</v>
      </c>
      <c r="EG87" s="230">
        <v>558340</v>
      </c>
      <c r="EH87" s="230">
        <v>976493</v>
      </c>
      <c r="EI87" s="229">
        <v>-0.42820000000000003</v>
      </c>
      <c r="EJ87" s="229">
        <v>0.65049999999999997</v>
      </c>
      <c r="EK87" s="228">
        <v>72.94</v>
      </c>
      <c r="EL87" s="228">
        <v>31.14</v>
      </c>
      <c r="EM87" s="228">
        <v>72.349999999999994</v>
      </c>
      <c r="EN87" s="228">
        <v>47.81</v>
      </c>
      <c r="EO87" s="228">
        <v>176.44</v>
      </c>
      <c r="EP87" s="228">
        <v>229.16</v>
      </c>
      <c r="EQ87" s="228">
        <v>-52.72</v>
      </c>
      <c r="ER87" s="229">
        <v>-0.2301</v>
      </c>
      <c r="ES87" s="228">
        <v>141.47</v>
      </c>
      <c r="ET87" s="228">
        <v>104.83</v>
      </c>
      <c r="EU87" s="228">
        <v>708.8</v>
      </c>
      <c r="EV87" s="231">
        <v>48653643</v>
      </c>
      <c r="EW87" s="228">
        <v>955.09</v>
      </c>
      <c r="EX87" s="228">
        <v>946.55</v>
      </c>
      <c r="EY87" s="228">
        <v>8.5399999999999991</v>
      </c>
      <c r="EZ87" s="229">
        <v>8.9999999999999993E-3</v>
      </c>
      <c r="FA87" s="229">
        <v>0.32429999999999998</v>
      </c>
      <c r="FB87" s="227" t="s">
        <v>568</v>
      </c>
      <c r="FC87">
        <f t="shared" si="1"/>
        <v>13</v>
      </c>
    </row>
    <row r="88" spans="1:159" ht="17.25" thickBot="1" x14ac:dyDescent="0.3">
      <c r="A88" s="226">
        <v>45936</v>
      </c>
      <c r="B88" s="227" t="s">
        <v>188</v>
      </c>
      <c r="C88" s="227" t="s">
        <v>234</v>
      </c>
      <c r="D88" s="228">
        <v>71475</v>
      </c>
      <c r="E88" s="228">
        <v>22</v>
      </c>
      <c r="F88" s="228">
        <v>8.51</v>
      </c>
      <c r="G88" s="228">
        <v>8.89</v>
      </c>
      <c r="H88" s="228">
        <v>-0.38</v>
      </c>
      <c r="I88" s="229">
        <v>-4.2700000000000002E-2</v>
      </c>
      <c r="J88" s="228">
        <v>8.4700000000000006</v>
      </c>
      <c r="K88" s="228">
        <v>8.82</v>
      </c>
      <c r="L88" s="228">
        <v>-0.35</v>
      </c>
      <c r="M88" s="229">
        <v>-3.9699999999999999E-2</v>
      </c>
      <c r="N88" s="228">
        <v>8.51</v>
      </c>
      <c r="O88" s="228">
        <v>8.89</v>
      </c>
      <c r="P88" s="228">
        <v>-0.38</v>
      </c>
      <c r="Q88" s="229">
        <v>-4.2700000000000002E-2</v>
      </c>
      <c r="R88" s="228">
        <v>8.56</v>
      </c>
      <c r="S88" s="228">
        <v>8.94</v>
      </c>
      <c r="T88" s="228">
        <v>-0.38</v>
      </c>
      <c r="U88" s="229">
        <v>-4.2500000000000003E-2</v>
      </c>
      <c r="V88" s="228">
        <v>8.6199999999999992</v>
      </c>
      <c r="W88" s="228">
        <v>8.98</v>
      </c>
      <c r="X88" s="228">
        <v>-0.36</v>
      </c>
      <c r="Y88" s="229">
        <v>-4.0099999999999997E-2</v>
      </c>
      <c r="Z88" s="228">
        <v>0.04</v>
      </c>
      <c r="AA88" s="228">
        <v>7.0000000000000007E-2</v>
      </c>
      <c r="AB88" s="228">
        <v>-0.03</v>
      </c>
      <c r="AC88" s="229">
        <v>4.7000000000000002E-3</v>
      </c>
      <c r="AD88" s="228">
        <v>0.04</v>
      </c>
      <c r="AE88" s="228">
        <v>7.0000000000000007E-2</v>
      </c>
      <c r="AF88" s="228">
        <v>-0.03</v>
      </c>
      <c r="AG88" s="229">
        <v>4.7000000000000002E-3</v>
      </c>
      <c r="AH88" s="228">
        <v>0.09</v>
      </c>
      <c r="AI88" s="228">
        <v>0.12</v>
      </c>
      <c r="AJ88" s="228">
        <v>-0.03</v>
      </c>
      <c r="AK88" s="229">
        <v>1.06E-2</v>
      </c>
      <c r="AL88" s="228">
        <v>0.15</v>
      </c>
      <c r="AM88" s="228">
        <v>0.16</v>
      </c>
      <c r="AN88" s="228">
        <v>-0.01</v>
      </c>
      <c r="AO88" s="229">
        <v>1.77E-2</v>
      </c>
      <c r="AP88" s="228">
        <v>8.6</v>
      </c>
      <c r="AQ88" s="228">
        <v>8.65</v>
      </c>
      <c r="AR88" s="228">
        <v>0</v>
      </c>
      <c r="AS88" s="230">
        <v>1601</v>
      </c>
      <c r="AT88" s="228">
        <v>780</v>
      </c>
      <c r="AU88" s="228">
        <v>820</v>
      </c>
      <c r="AV88" s="229">
        <v>1.0518000000000001</v>
      </c>
      <c r="AW88" s="230">
        <v>1411</v>
      </c>
      <c r="AX88" s="228">
        <v>656</v>
      </c>
      <c r="AY88" s="228">
        <v>755</v>
      </c>
      <c r="AZ88" s="229">
        <v>1.1519999999999999</v>
      </c>
      <c r="BA88" s="228">
        <v>150</v>
      </c>
      <c r="BB88" s="228">
        <v>97</v>
      </c>
      <c r="BC88" s="228">
        <v>53</v>
      </c>
      <c r="BD88" s="229">
        <v>0.54600000000000004</v>
      </c>
      <c r="BE88" s="228">
        <v>39</v>
      </c>
      <c r="BF88" s="228">
        <v>27</v>
      </c>
      <c r="BG88" s="228">
        <v>12</v>
      </c>
      <c r="BH88" s="229">
        <v>0.44519999999999998</v>
      </c>
      <c r="BI88" s="230">
        <v>3024</v>
      </c>
      <c r="BJ88" s="230">
        <v>1362</v>
      </c>
      <c r="BK88" s="230">
        <v>1662</v>
      </c>
      <c r="BL88" s="229">
        <v>1.2204999999999999</v>
      </c>
      <c r="BM88" s="228">
        <v>939</v>
      </c>
      <c r="BN88" s="228">
        <v>244</v>
      </c>
      <c r="BO88" s="228">
        <v>695</v>
      </c>
      <c r="BP88" s="229">
        <v>2.8530000000000002</v>
      </c>
      <c r="BQ88" s="230">
        <v>5563</v>
      </c>
      <c r="BR88" s="230">
        <v>2385</v>
      </c>
      <c r="BS88" s="230">
        <v>3178</v>
      </c>
      <c r="BT88" s="229">
        <v>1.3321000000000001</v>
      </c>
      <c r="BU88" s="230">
        <v>1374857548</v>
      </c>
      <c r="BV88" s="230">
        <v>792204025</v>
      </c>
      <c r="BW88" s="230">
        <v>582653523</v>
      </c>
      <c r="BX88" s="229">
        <v>0.73550000000000004</v>
      </c>
      <c r="BY88" s="230">
        <v>5289</v>
      </c>
      <c r="BZ88" s="230">
        <v>5111</v>
      </c>
      <c r="CA88" s="228">
        <v>178</v>
      </c>
      <c r="CB88" s="229">
        <v>3.49E-2</v>
      </c>
      <c r="CC88" s="230">
        <v>5034</v>
      </c>
      <c r="CD88" s="230">
        <v>4893</v>
      </c>
      <c r="CE88" s="228">
        <v>141</v>
      </c>
      <c r="CF88" s="229">
        <v>2.8799999999999999E-2</v>
      </c>
      <c r="CG88" s="228">
        <v>225</v>
      </c>
      <c r="CH88" s="228">
        <v>205</v>
      </c>
      <c r="CI88" s="228">
        <v>19</v>
      </c>
      <c r="CJ88" s="229">
        <v>9.4799999999999995E-2</v>
      </c>
      <c r="CK88" s="228">
        <v>30</v>
      </c>
      <c r="CL88" s="228">
        <v>12</v>
      </c>
      <c r="CM88" s="228">
        <v>18</v>
      </c>
      <c r="CN88" s="229">
        <v>1.48</v>
      </c>
      <c r="CO88" s="230">
        <v>1709</v>
      </c>
      <c r="CP88" s="230">
        <v>1390</v>
      </c>
      <c r="CQ88" s="228">
        <v>318</v>
      </c>
      <c r="CR88" s="229">
        <v>0.22889999999999999</v>
      </c>
      <c r="CS88" s="228">
        <v>870</v>
      </c>
      <c r="CT88" s="228">
        <v>754</v>
      </c>
      <c r="CU88" s="228">
        <v>116</v>
      </c>
      <c r="CV88" s="229">
        <v>0.15440000000000001</v>
      </c>
      <c r="CW88" s="230">
        <v>7868</v>
      </c>
      <c r="CX88" s="230">
        <v>7255</v>
      </c>
      <c r="CY88" s="228">
        <v>613</v>
      </c>
      <c r="CZ88" s="229">
        <v>8.4500000000000006E-2</v>
      </c>
      <c r="DA88" s="228">
        <v>83.96</v>
      </c>
      <c r="DB88" s="228">
        <v>78.2</v>
      </c>
      <c r="DC88" s="228">
        <v>5.76</v>
      </c>
      <c r="DD88" s="228">
        <v>5.76</v>
      </c>
      <c r="DE88" s="228">
        <v>68.040000000000006</v>
      </c>
      <c r="DF88" s="228">
        <v>67.959999999999994</v>
      </c>
      <c r="DG88" s="228">
        <v>15.92</v>
      </c>
      <c r="DH88" s="228">
        <v>0.08</v>
      </c>
      <c r="DI88" s="228">
        <v>84.72</v>
      </c>
      <c r="DJ88" s="228">
        <v>78.59</v>
      </c>
      <c r="DK88" s="228">
        <v>6.13</v>
      </c>
      <c r="DL88" s="228">
        <v>6.13</v>
      </c>
      <c r="DM88" s="228">
        <v>81.52</v>
      </c>
      <c r="DN88" s="228">
        <v>76.040000000000006</v>
      </c>
      <c r="DO88" s="228">
        <v>5.48</v>
      </c>
      <c r="DP88" s="228">
        <v>5.48</v>
      </c>
      <c r="DQ88" s="228">
        <v>0.51</v>
      </c>
      <c r="DR88" s="228">
        <v>0.54</v>
      </c>
      <c r="DS88" s="228">
        <v>-0.03</v>
      </c>
      <c r="DT88" s="229">
        <v>-5.5599999999999997E-2</v>
      </c>
      <c r="DU88" s="228">
        <v>10</v>
      </c>
      <c r="DV88" s="228">
        <v>6</v>
      </c>
      <c r="DW88" s="228">
        <v>0.31</v>
      </c>
      <c r="DX88" s="228">
        <v>0.18</v>
      </c>
      <c r="DY88" s="228">
        <v>0.13</v>
      </c>
      <c r="DZ88" s="229">
        <v>0.72219999999999995</v>
      </c>
      <c r="EA88" s="229">
        <v>4.82E-2</v>
      </c>
      <c r="EB88" s="230">
        <v>255666075</v>
      </c>
      <c r="EC88" s="229">
        <v>5.8999999999999999E-3</v>
      </c>
      <c r="ED88" s="229">
        <v>4.82E-2</v>
      </c>
      <c r="EE88" s="228">
        <v>0.05</v>
      </c>
      <c r="EF88" s="229">
        <v>5.7999999999999996E-3</v>
      </c>
      <c r="EG88" s="230">
        <v>240935299</v>
      </c>
      <c r="EH88" s="230">
        <v>221953764</v>
      </c>
      <c r="EI88" s="229">
        <v>8.5500000000000007E-2</v>
      </c>
      <c r="EJ88" s="229">
        <v>0.17519999999999999</v>
      </c>
      <c r="EK88" s="231">
        <v>3650.64</v>
      </c>
      <c r="EL88" s="228">
        <v>922.73</v>
      </c>
      <c r="EM88" s="231">
        <v>1618.81</v>
      </c>
      <c r="EN88" s="228">
        <v>281.51</v>
      </c>
      <c r="EO88" s="231">
        <v>6192.18</v>
      </c>
      <c r="EP88" s="231">
        <v>2675.72</v>
      </c>
      <c r="EQ88" s="231">
        <v>3516.46</v>
      </c>
      <c r="ER88" s="229">
        <v>1.3142</v>
      </c>
      <c r="ES88" s="231">
        <v>1993.72</v>
      </c>
      <c r="ET88" s="228">
        <v>762.66</v>
      </c>
      <c r="EU88" s="231">
        <v>5291.13</v>
      </c>
      <c r="EV88" s="231">
        <v>8713529091</v>
      </c>
      <c r="EW88" s="231">
        <v>8047.51</v>
      </c>
      <c r="EX88" s="231">
        <v>7600.14</v>
      </c>
      <c r="EY88" s="228">
        <v>447.37</v>
      </c>
      <c r="EZ88" s="229">
        <v>5.8900000000000001E-2</v>
      </c>
      <c r="FA88" s="229">
        <v>1.0610999999999999</v>
      </c>
      <c r="FB88" s="227" t="s">
        <v>567</v>
      </c>
      <c r="FC88">
        <f t="shared" si="1"/>
        <v>255</v>
      </c>
    </row>
    <row r="89" spans="1:159" ht="17.25" thickBot="1" x14ac:dyDescent="0.3">
      <c r="A89" s="226">
        <v>45936</v>
      </c>
      <c r="B89" s="227" t="s">
        <v>172</v>
      </c>
      <c r="C89" s="227" t="s">
        <v>235</v>
      </c>
      <c r="D89" s="228">
        <v>9275</v>
      </c>
      <c r="E89" s="228">
        <v>22</v>
      </c>
      <c r="F89" s="228">
        <v>71.47</v>
      </c>
      <c r="G89" s="228">
        <v>69.430000000000007</v>
      </c>
      <c r="H89" s="228">
        <v>2.04</v>
      </c>
      <c r="I89" s="229">
        <v>2.9399999999999999E-2</v>
      </c>
      <c r="J89" s="228">
        <v>71.09</v>
      </c>
      <c r="K89" s="228">
        <v>69.040000000000006</v>
      </c>
      <c r="L89" s="228">
        <v>2.0499999999999998</v>
      </c>
      <c r="M89" s="229">
        <v>2.9700000000000001E-2</v>
      </c>
      <c r="N89" s="228">
        <v>71.47</v>
      </c>
      <c r="O89" s="228">
        <v>69.430000000000007</v>
      </c>
      <c r="P89" s="228">
        <v>2.04</v>
      </c>
      <c r="Q89" s="229">
        <v>2.9399999999999999E-2</v>
      </c>
      <c r="R89" s="228">
        <v>71.86</v>
      </c>
      <c r="S89" s="228">
        <v>69.849999999999994</v>
      </c>
      <c r="T89" s="228">
        <v>2.0099999999999998</v>
      </c>
      <c r="U89" s="229">
        <v>2.8799999999999999E-2</v>
      </c>
      <c r="V89" s="228">
        <v>72.28</v>
      </c>
      <c r="W89" s="228">
        <v>70.22</v>
      </c>
      <c r="X89" s="228">
        <v>2.06</v>
      </c>
      <c r="Y89" s="229">
        <v>2.93E-2</v>
      </c>
      <c r="Z89" s="228">
        <v>0.38</v>
      </c>
      <c r="AA89" s="228">
        <v>0.39</v>
      </c>
      <c r="AB89" s="228">
        <v>-0.01</v>
      </c>
      <c r="AC89" s="229">
        <v>5.3E-3</v>
      </c>
      <c r="AD89" s="228">
        <v>0.38</v>
      </c>
      <c r="AE89" s="228">
        <v>0.39</v>
      </c>
      <c r="AF89" s="228">
        <v>-0.01</v>
      </c>
      <c r="AG89" s="229">
        <v>5.3E-3</v>
      </c>
      <c r="AH89" s="228">
        <v>0.77</v>
      </c>
      <c r="AI89" s="228">
        <v>0.81</v>
      </c>
      <c r="AJ89" s="228">
        <v>-0.04</v>
      </c>
      <c r="AK89" s="229">
        <v>1.0800000000000001E-2</v>
      </c>
      <c r="AL89" s="228">
        <v>1.19</v>
      </c>
      <c r="AM89" s="228">
        <v>1.18</v>
      </c>
      <c r="AN89" s="228">
        <v>0.01</v>
      </c>
      <c r="AO89" s="229">
        <v>1.67E-2</v>
      </c>
      <c r="AP89" s="228">
        <v>70.81</v>
      </c>
      <c r="AQ89" s="228">
        <v>71.25</v>
      </c>
      <c r="AR89" s="228">
        <v>0</v>
      </c>
      <c r="AS89" s="228">
        <v>619</v>
      </c>
      <c r="AT89" s="228">
        <v>212</v>
      </c>
      <c r="AU89" s="228">
        <v>408</v>
      </c>
      <c r="AV89" s="229">
        <v>1.9242999999999999</v>
      </c>
      <c r="AW89" s="228">
        <v>569</v>
      </c>
      <c r="AX89" s="228">
        <v>191</v>
      </c>
      <c r="AY89" s="228">
        <v>378</v>
      </c>
      <c r="AZ89" s="229">
        <v>1.9809000000000001</v>
      </c>
      <c r="BA89" s="228">
        <v>42</v>
      </c>
      <c r="BB89" s="228">
        <v>17</v>
      </c>
      <c r="BC89" s="228">
        <v>24</v>
      </c>
      <c r="BD89" s="229">
        <v>1.3839999999999999</v>
      </c>
      <c r="BE89" s="228">
        <v>9</v>
      </c>
      <c r="BF89" s="228">
        <v>4</v>
      </c>
      <c r="BG89" s="228">
        <v>5</v>
      </c>
      <c r="BH89" s="229">
        <v>1.5283</v>
      </c>
      <c r="BI89" s="230">
        <v>1217</v>
      </c>
      <c r="BJ89" s="228">
        <v>551</v>
      </c>
      <c r="BK89" s="228">
        <v>666</v>
      </c>
      <c r="BL89" s="229">
        <v>1.2102999999999999</v>
      </c>
      <c r="BM89" s="228">
        <v>590</v>
      </c>
      <c r="BN89" s="228">
        <v>213</v>
      </c>
      <c r="BO89" s="228">
        <v>376</v>
      </c>
      <c r="BP89" s="229">
        <v>1.7669999999999999</v>
      </c>
      <c r="BQ89" s="230">
        <v>2426</v>
      </c>
      <c r="BR89" s="228">
        <v>975</v>
      </c>
      <c r="BS89" s="230">
        <v>1450</v>
      </c>
      <c r="BT89" s="229">
        <v>1.4869000000000001</v>
      </c>
      <c r="BU89" s="230">
        <v>25884731</v>
      </c>
      <c r="BV89" s="230">
        <v>12910773</v>
      </c>
      <c r="BW89" s="230">
        <v>12973958</v>
      </c>
      <c r="BX89" s="229">
        <v>1.0048999999999999</v>
      </c>
      <c r="BY89" s="230">
        <v>2896</v>
      </c>
      <c r="BZ89" s="230">
        <v>2950</v>
      </c>
      <c r="CA89" s="228">
        <v>-54</v>
      </c>
      <c r="CB89" s="229">
        <v>-1.83E-2</v>
      </c>
      <c r="CC89" s="230">
        <v>2747</v>
      </c>
      <c r="CD89" s="230">
        <v>2800</v>
      </c>
      <c r="CE89" s="228">
        <v>-53</v>
      </c>
      <c r="CF89" s="229">
        <v>-1.9E-2</v>
      </c>
      <c r="CG89" s="228">
        <v>141</v>
      </c>
      <c r="CH89" s="228">
        <v>142</v>
      </c>
      <c r="CI89" s="228">
        <v>-1</v>
      </c>
      <c r="CJ89" s="229">
        <v>-6.4999999999999997E-3</v>
      </c>
      <c r="CK89" s="228">
        <v>8</v>
      </c>
      <c r="CL89" s="228">
        <v>8</v>
      </c>
      <c r="CM89" s="228">
        <v>0</v>
      </c>
      <c r="CN89" s="229">
        <v>0</v>
      </c>
      <c r="CO89" s="228">
        <v>891</v>
      </c>
      <c r="CP89" s="228">
        <v>863</v>
      </c>
      <c r="CQ89" s="228">
        <v>27</v>
      </c>
      <c r="CR89" s="229">
        <v>3.1800000000000002E-2</v>
      </c>
      <c r="CS89" s="228">
        <v>531</v>
      </c>
      <c r="CT89" s="228">
        <v>497</v>
      </c>
      <c r="CU89" s="228">
        <v>35</v>
      </c>
      <c r="CV89" s="229">
        <v>6.9800000000000001E-2</v>
      </c>
      <c r="CW89" s="230">
        <v>4318</v>
      </c>
      <c r="CX89" s="230">
        <v>4310</v>
      </c>
      <c r="CY89" s="228">
        <v>8</v>
      </c>
      <c r="CZ89" s="229">
        <v>1.9E-3</v>
      </c>
      <c r="DA89" s="228">
        <v>29.27</v>
      </c>
      <c r="DB89" s="228">
        <v>27.58</v>
      </c>
      <c r="DC89" s="228">
        <v>1.69</v>
      </c>
      <c r="DD89" s="228">
        <v>1.69</v>
      </c>
      <c r="DE89" s="228">
        <v>34.07</v>
      </c>
      <c r="DF89" s="228">
        <v>33.93</v>
      </c>
      <c r="DG89" s="228">
        <v>-4.8</v>
      </c>
      <c r="DH89" s="228">
        <v>0.14000000000000001</v>
      </c>
      <c r="DI89" s="228">
        <v>28.95</v>
      </c>
      <c r="DJ89" s="228">
        <v>27.69</v>
      </c>
      <c r="DK89" s="228">
        <v>1.26</v>
      </c>
      <c r="DL89" s="228">
        <v>1.26</v>
      </c>
      <c r="DM89" s="228">
        <v>29.93</v>
      </c>
      <c r="DN89" s="228">
        <v>27.3</v>
      </c>
      <c r="DO89" s="228">
        <v>2.63</v>
      </c>
      <c r="DP89" s="228">
        <v>2.63</v>
      </c>
      <c r="DQ89" s="228">
        <v>0.6</v>
      </c>
      <c r="DR89" s="228">
        <v>0.57999999999999996</v>
      </c>
      <c r="DS89" s="228">
        <v>0.02</v>
      </c>
      <c r="DT89" s="229">
        <v>3.4500000000000003E-2</v>
      </c>
      <c r="DU89" s="228">
        <v>82</v>
      </c>
      <c r="DV89" s="228">
        <v>70</v>
      </c>
      <c r="DW89" s="228">
        <v>0.48</v>
      </c>
      <c r="DX89" s="228">
        <v>0.39</v>
      </c>
      <c r="DY89" s="228">
        <v>0.09</v>
      </c>
      <c r="DZ89" s="229">
        <v>0.23080000000000001</v>
      </c>
      <c r="EA89" s="229">
        <v>5.1499999999999997E-2</v>
      </c>
      <c r="EB89" s="230">
        <v>20989325</v>
      </c>
      <c r="EC89" s="229">
        <v>5.4999999999999997E-3</v>
      </c>
      <c r="ED89" s="229">
        <v>5.1499999999999997E-2</v>
      </c>
      <c r="EE89" s="228">
        <v>0.44</v>
      </c>
      <c r="EF89" s="229">
        <v>6.1999999999999998E-3</v>
      </c>
      <c r="EG89" s="230">
        <v>10079879</v>
      </c>
      <c r="EH89" s="230">
        <v>6124257</v>
      </c>
      <c r="EI89" s="229">
        <v>0.64590000000000003</v>
      </c>
      <c r="EJ89" s="229">
        <v>0.38940000000000002</v>
      </c>
      <c r="EK89" s="231">
        <v>1263.3599999999999</v>
      </c>
      <c r="EL89" s="228">
        <v>572.53</v>
      </c>
      <c r="EM89" s="228">
        <v>613.95000000000005</v>
      </c>
      <c r="EN89" s="228">
        <v>116.78</v>
      </c>
      <c r="EO89" s="231">
        <v>2449.84</v>
      </c>
      <c r="EP89" s="228">
        <v>977.65</v>
      </c>
      <c r="EQ89" s="231">
        <v>1472.19</v>
      </c>
      <c r="ER89" s="229">
        <v>1.5058</v>
      </c>
      <c r="ES89" s="228">
        <v>935.09</v>
      </c>
      <c r="ET89" s="228">
        <v>513.27</v>
      </c>
      <c r="EU89" s="231">
        <v>2897.27</v>
      </c>
      <c r="EV89" s="231">
        <v>761294821</v>
      </c>
      <c r="EW89" s="231">
        <v>4345.63</v>
      </c>
      <c r="EX89" s="231">
        <v>4251.49</v>
      </c>
      <c r="EY89" s="228">
        <v>94.14</v>
      </c>
      <c r="EZ89" s="229">
        <v>2.2100000000000002E-2</v>
      </c>
      <c r="FA89" s="229">
        <v>0.79369999999999996</v>
      </c>
      <c r="FB89" s="227" t="s">
        <v>556</v>
      </c>
      <c r="FC89">
        <f t="shared" si="1"/>
        <v>149</v>
      </c>
    </row>
    <row r="90" spans="1:159" ht="17.25" thickBot="1" x14ac:dyDescent="0.3">
      <c r="A90" s="226">
        <v>45936</v>
      </c>
      <c r="B90" s="227" t="s">
        <v>161</v>
      </c>
      <c r="C90" s="227" t="s">
        <v>514</v>
      </c>
      <c r="D90" s="228">
        <v>3750</v>
      </c>
      <c r="E90" s="228">
        <v>22</v>
      </c>
      <c r="F90" s="228">
        <v>143.38</v>
      </c>
      <c r="G90" s="228">
        <v>144.55000000000001</v>
      </c>
      <c r="H90" s="228">
        <v>-1.17</v>
      </c>
      <c r="I90" s="229">
        <v>-8.0999999999999996E-3</v>
      </c>
      <c r="J90" s="228">
        <v>142.55000000000001</v>
      </c>
      <c r="K90" s="228">
        <v>143.59</v>
      </c>
      <c r="L90" s="228">
        <v>-1.04</v>
      </c>
      <c r="M90" s="229">
        <v>-7.1999999999999998E-3</v>
      </c>
      <c r="N90" s="228">
        <v>143.38</v>
      </c>
      <c r="O90" s="228">
        <v>144.55000000000001</v>
      </c>
      <c r="P90" s="228">
        <v>-1.17</v>
      </c>
      <c r="Q90" s="229">
        <v>-8.0999999999999996E-3</v>
      </c>
      <c r="R90" s="228">
        <v>144.16</v>
      </c>
      <c r="S90" s="228">
        <v>145.24</v>
      </c>
      <c r="T90" s="228">
        <v>-1.08</v>
      </c>
      <c r="U90" s="229">
        <v>-7.4000000000000003E-3</v>
      </c>
      <c r="V90" s="228">
        <v>144.6</v>
      </c>
      <c r="W90" s="228">
        <v>146.15</v>
      </c>
      <c r="X90" s="228">
        <v>-1.55</v>
      </c>
      <c r="Y90" s="229">
        <v>-1.06E-2</v>
      </c>
      <c r="Z90" s="228">
        <v>0.83</v>
      </c>
      <c r="AA90" s="228">
        <v>0.96</v>
      </c>
      <c r="AB90" s="228">
        <v>-0.13</v>
      </c>
      <c r="AC90" s="229">
        <v>5.7999999999999996E-3</v>
      </c>
      <c r="AD90" s="228">
        <v>0.83</v>
      </c>
      <c r="AE90" s="228">
        <v>0.96</v>
      </c>
      <c r="AF90" s="228">
        <v>-0.13</v>
      </c>
      <c r="AG90" s="229">
        <v>5.7999999999999996E-3</v>
      </c>
      <c r="AH90" s="228">
        <v>1.61</v>
      </c>
      <c r="AI90" s="228">
        <v>1.65</v>
      </c>
      <c r="AJ90" s="228">
        <v>-0.04</v>
      </c>
      <c r="AK90" s="229">
        <v>1.1299999999999999E-2</v>
      </c>
      <c r="AL90" s="228">
        <v>2.0499999999999998</v>
      </c>
      <c r="AM90" s="228">
        <v>2.56</v>
      </c>
      <c r="AN90" s="228">
        <v>-0.51</v>
      </c>
      <c r="AO90" s="229">
        <v>1.44E-2</v>
      </c>
      <c r="AP90" s="228">
        <v>143.54</v>
      </c>
      <c r="AQ90" s="228">
        <v>144.53</v>
      </c>
      <c r="AR90" s="228">
        <v>0</v>
      </c>
      <c r="AS90" s="228">
        <v>72</v>
      </c>
      <c r="AT90" s="228">
        <v>149</v>
      </c>
      <c r="AU90" s="228">
        <v>-77</v>
      </c>
      <c r="AV90" s="229">
        <v>-0.51659999999999995</v>
      </c>
      <c r="AW90" s="228">
        <v>62</v>
      </c>
      <c r="AX90" s="228">
        <v>124</v>
      </c>
      <c r="AY90" s="228">
        <v>-62</v>
      </c>
      <c r="AZ90" s="229">
        <v>-0.49780000000000002</v>
      </c>
      <c r="BA90" s="228">
        <v>8</v>
      </c>
      <c r="BB90" s="228">
        <v>25</v>
      </c>
      <c r="BC90" s="228">
        <v>-17</v>
      </c>
      <c r="BD90" s="229">
        <v>-0.68179999999999996</v>
      </c>
      <c r="BE90" s="228">
        <v>2</v>
      </c>
      <c r="BF90" s="228">
        <v>1</v>
      </c>
      <c r="BG90" s="228">
        <v>1</v>
      </c>
      <c r="BH90" s="229">
        <v>1.5625</v>
      </c>
      <c r="BI90" s="228">
        <v>258</v>
      </c>
      <c r="BJ90" s="228">
        <v>553</v>
      </c>
      <c r="BK90" s="228">
        <v>-295</v>
      </c>
      <c r="BL90" s="229">
        <v>-0.5333</v>
      </c>
      <c r="BM90" s="228">
        <v>100</v>
      </c>
      <c r="BN90" s="228">
        <v>262</v>
      </c>
      <c r="BO90" s="228">
        <v>-163</v>
      </c>
      <c r="BP90" s="229">
        <v>-0.62029999999999996</v>
      </c>
      <c r="BQ90" s="228">
        <v>430</v>
      </c>
      <c r="BR90" s="228">
        <v>964</v>
      </c>
      <c r="BS90" s="228">
        <v>-535</v>
      </c>
      <c r="BT90" s="229">
        <v>-0.5544</v>
      </c>
      <c r="BU90" s="230">
        <v>2961470</v>
      </c>
      <c r="BV90" s="230">
        <v>7257943</v>
      </c>
      <c r="BW90" s="230">
        <v>-4296473</v>
      </c>
      <c r="BX90" s="229">
        <v>-0.59199999999999997</v>
      </c>
      <c r="BY90" s="228">
        <v>766</v>
      </c>
      <c r="BZ90" s="228">
        <v>755</v>
      </c>
      <c r="CA90" s="228">
        <v>12</v>
      </c>
      <c r="CB90" s="229">
        <v>1.5299999999999999E-2</v>
      </c>
      <c r="CC90" s="228">
        <v>725</v>
      </c>
      <c r="CD90" s="228">
        <v>718</v>
      </c>
      <c r="CE90" s="228">
        <v>7</v>
      </c>
      <c r="CF90" s="229">
        <v>9.4000000000000004E-3</v>
      </c>
      <c r="CG90" s="228">
        <v>39</v>
      </c>
      <c r="CH90" s="228">
        <v>36</v>
      </c>
      <c r="CI90" s="228">
        <v>3</v>
      </c>
      <c r="CJ90" s="229">
        <v>7.9799999999999996E-2</v>
      </c>
      <c r="CK90" s="228">
        <v>3</v>
      </c>
      <c r="CL90" s="228">
        <v>1</v>
      </c>
      <c r="CM90" s="228">
        <v>2</v>
      </c>
      <c r="CN90" s="229">
        <v>2</v>
      </c>
      <c r="CO90" s="228">
        <v>319</v>
      </c>
      <c r="CP90" s="228">
        <v>292</v>
      </c>
      <c r="CQ90" s="228">
        <v>27</v>
      </c>
      <c r="CR90" s="229">
        <v>9.3100000000000002E-2</v>
      </c>
      <c r="CS90" s="228">
        <v>256</v>
      </c>
      <c r="CT90" s="228">
        <v>247</v>
      </c>
      <c r="CU90" s="228">
        <v>8</v>
      </c>
      <c r="CV90" s="229">
        <v>3.2800000000000003E-2</v>
      </c>
      <c r="CW90" s="230">
        <v>1340</v>
      </c>
      <c r="CX90" s="230">
        <v>1294</v>
      </c>
      <c r="CY90" s="228">
        <v>47</v>
      </c>
      <c r="CZ90" s="229">
        <v>3.6200000000000003E-2</v>
      </c>
      <c r="DA90" s="228">
        <v>31.67</v>
      </c>
      <c r="DB90" s="228">
        <v>32.049999999999997</v>
      </c>
      <c r="DC90" s="228">
        <v>-0.38</v>
      </c>
      <c r="DD90" s="228">
        <v>-0.38</v>
      </c>
      <c r="DE90" s="228">
        <v>58.16</v>
      </c>
      <c r="DF90" s="228">
        <v>58.29</v>
      </c>
      <c r="DG90" s="228">
        <v>-26.49</v>
      </c>
      <c r="DH90" s="228">
        <v>-0.13</v>
      </c>
      <c r="DI90" s="228">
        <v>31.44</v>
      </c>
      <c r="DJ90" s="228">
        <v>31.66</v>
      </c>
      <c r="DK90" s="228">
        <v>-0.22</v>
      </c>
      <c r="DL90" s="228">
        <v>-0.22</v>
      </c>
      <c r="DM90" s="228">
        <v>32.270000000000003</v>
      </c>
      <c r="DN90" s="228">
        <v>32.86</v>
      </c>
      <c r="DO90" s="228">
        <v>-0.59</v>
      </c>
      <c r="DP90" s="228">
        <v>-0.59</v>
      </c>
      <c r="DQ90" s="228">
        <v>0.8</v>
      </c>
      <c r="DR90" s="228">
        <v>0.85</v>
      </c>
      <c r="DS90" s="228">
        <v>-0.05</v>
      </c>
      <c r="DT90" s="229">
        <v>-5.8799999999999998E-2</v>
      </c>
      <c r="DU90" s="228">
        <v>150</v>
      </c>
      <c r="DV90" s="228">
        <v>140</v>
      </c>
      <c r="DW90" s="228">
        <v>0.39</v>
      </c>
      <c r="DX90" s="228">
        <v>0.47</v>
      </c>
      <c r="DY90" s="228">
        <v>-0.08</v>
      </c>
      <c r="DZ90" s="229">
        <v>-0.17019999999999999</v>
      </c>
      <c r="EA90" s="229">
        <v>5.4100000000000002E-2</v>
      </c>
      <c r="EB90" s="230">
        <v>2557500</v>
      </c>
      <c r="EC90" s="229">
        <v>5.4000000000000003E-3</v>
      </c>
      <c r="ED90" s="229">
        <v>5.4100000000000002E-2</v>
      </c>
      <c r="EE90" s="228">
        <v>0.99</v>
      </c>
      <c r="EF90" s="229">
        <v>6.8999999999999999E-3</v>
      </c>
      <c r="EG90" s="230">
        <v>1161854</v>
      </c>
      <c r="EH90" s="230">
        <v>3693114</v>
      </c>
      <c r="EI90" s="229">
        <v>-0.68540000000000001</v>
      </c>
      <c r="EJ90" s="229">
        <v>0.39229999999999998</v>
      </c>
      <c r="EK90" s="228">
        <v>273.68</v>
      </c>
      <c r="EL90" s="228">
        <v>99.49</v>
      </c>
      <c r="EM90" s="228">
        <v>72.31</v>
      </c>
      <c r="EN90" s="228">
        <v>53.44</v>
      </c>
      <c r="EO90" s="228">
        <v>445.47</v>
      </c>
      <c r="EP90" s="228">
        <v>996.77</v>
      </c>
      <c r="EQ90" s="228">
        <v>-551.29999999999995</v>
      </c>
      <c r="ER90" s="229">
        <v>-0.55310000000000004</v>
      </c>
      <c r="ES90" s="228">
        <v>336.42</v>
      </c>
      <c r="ET90" s="228">
        <v>253.68</v>
      </c>
      <c r="EU90" s="228">
        <v>766.37</v>
      </c>
      <c r="EV90" s="231">
        <v>133395043</v>
      </c>
      <c r="EW90" s="231">
        <v>1356.47</v>
      </c>
      <c r="EX90" s="231">
        <v>1314.23</v>
      </c>
      <c r="EY90" s="228">
        <v>42.24</v>
      </c>
      <c r="EZ90" s="229">
        <v>3.2099999999999997E-2</v>
      </c>
      <c r="FA90" s="229">
        <v>0.70089999999999997</v>
      </c>
      <c r="FB90" s="227" t="s">
        <v>567</v>
      </c>
      <c r="FC90">
        <f t="shared" si="1"/>
        <v>41</v>
      </c>
    </row>
    <row r="91" spans="1:159" ht="17.25" thickBot="1" x14ac:dyDescent="0.3">
      <c r="A91" s="226">
        <v>45936</v>
      </c>
      <c r="B91" s="227" t="s">
        <v>193</v>
      </c>
      <c r="C91" s="227" t="s">
        <v>236</v>
      </c>
      <c r="D91" s="228">
        <v>2750</v>
      </c>
      <c r="E91" s="228">
        <v>22</v>
      </c>
      <c r="F91" s="228">
        <v>209.27</v>
      </c>
      <c r="G91" s="228">
        <v>210.45</v>
      </c>
      <c r="H91" s="228">
        <v>-1.18</v>
      </c>
      <c r="I91" s="229">
        <v>-5.5999999999999999E-3</v>
      </c>
      <c r="J91" s="228">
        <v>208.06</v>
      </c>
      <c r="K91" s="228">
        <v>209.03</v>
      </c>
      <c r="L91" s="228">
        <v>-0.97</v>
      </c>
      <c r="M91" s="229">
        <v>-4.5999999999999999E-3</v>
      </c>
      <c r="N91" s="228">
        <v>209.27</v>
      </c>
      <c r="O91" s="228">
        <v>210.45</v>
      </c>
      <c r="P91" s="228">
        <v>-1.18</v>
      </c>
      <c r="Q91" s="229">
        <v>-5.5999999999999999E-3</v>
      </c>
      <c r="R91" s="228">
        <v>208.55</v>
      </c>
      <c r="S91" s="228">
        <v>210.38</v>
      </c>
      <c r="T91" s="228">
        <v>-1.83</v>
      </c>
      <c r="U91" s="229">
        <v>-8.6999999999999994E-3</v>
      </c>
      <c r="V91" s="228">
        <v>0</v>
      </c>
      <c r="W91" s="228">
        <v>0</v>
      </c>
      <c r="X91" s="228">
        <v>0</v>
      </c>
      <c r="Y91" s="229">
        <v>0</v>
      </c>
      <c r="Z91" s="228">
        <v>1.21</v>
      </c>
      <c r="AA91" s="228">
        <v>1.42</v>
      </c>
      <c r="AB91" s="228">
        <v>-0.21</v>
      </c>
      <c r="AC91" s="229">
        <v>5.7999999999999996E-3</v>
      </c>
      <c r="AD91" s="228">
        <v>1.21</v>
      </c>
      <c r="AE91" s="228">
        <v>1.42</v>
      </c>
      <c r="AF91" s="228">
        <v>-0.21</v>
      </c>
      <c r="AG91" s="229">
        <v>5.7999999999999996E-3</v>
      </c>
      <c r="AH91" s="228">
        <v>0.49</v>
      </c>
      <c r="AI91" s="228">
        <v>1.35</v>
      </c>
      <c r="AJ91" s="228">
        <v>-0.86</v>
      </c>
      <c r="AK91" s="229">
        <v>2.3999999999999998E-3</v>
      </c>
      <c r="AL91" s="228">
        <v>0</v>
      </c>
      <c r="AM91" s="228">
        <v>0</v>
      </c>
      <c r="AN91" s="228">
        <v>0</v>
      </c>
      <c r="AO91" s="229">
        <v>0</v>
      </c>
      <c r="AP91" s="228">
        <v>209.04</v>
      </c>
      <c r="AQ91" s="228">
        <v>208.26</v>
      </c>
      <c r="AR91" s="228">
        <v>0</v>
      </c>
      <c r="AS91" s="228">
        <v>73</v>
      </c>
      <c r="AT91" s="228">
        <v>103</v>
      </c>
      <c r="AU91" s="228">
        <v>-30</v>
      </c>
      <c r="AV91" s="229">
        <v>-0.2883</v>
      </c>
      <c r="AW91" s="228">
        <v>65</v>
      </c>
      <c r="AX91" s="228">
        <v>90</v>
      </c>
      <c r="AY91" s="228">
        <v>-24</v>
      </c>
      <c r="AZ91" s="229">
        <v>-0.27</v>
      </c>
      <c r="BA91" s="228">
        <v>8</v>
      </c>
      <c r="BB91" s="228">
        <v>13</v>
      </c>
      <c r="BC91" s="228">
        <v>-5</v>
      </c>
      <c r="BD91" s="229">
        <v>-0.41520000000000001</v>
      </c>
      <c r="BE91" s="228">
        <v>0</v>
      </c>
      <c r="BF91" s="228">
        <v>0</v>
      </c>
      <c r="BG91" s="228">
        <v>0</v>
      </c>
      <c r="BH91" s="229">
        <v>0</v>
      </c>
      <c r="BI91" s="228">
        <v>84</v>
      </c>
      <c r="BJ91" s="228">
        <v>123</v>
      </c>
      <c r="BK91" s="228">
        <v>-40</v>
      </c>
      <c r="BL91" s="229">
        <v>-0.3231</v>
      </c>
      <c r="BM91" s="228">
        <v>41</v>
      </c>
      <c r="BN91" s="228">
        <v>69</v>
      </c>
      <c r="BO91" s="228">
        <v>-28</v>
      </c>
      <c r="BP91" s="229">
        <v>-0.40620000000000001</v>
      </c>
      <c r="BQ91" s="228">
        <v>197</v>
      </c>
      <c r="BR91" s="228">
        <v>295</v>
      </c>
      <c r="BS91" s="228">
        <v>-97</v>
      </c>
      <c r="BT91" s="229">
        <v>-0.33029999999999998</v>
      </c>
      <c r="BU91" s="230">
        <v>1609436</v>
      </c>
      <c r="BV91" s="230">
        <v>2399772</v>
      </c>
      <c r="BW91" s="230">
        <v>-790336</v>
      </c>
      <c r="BX91" s="229">
        <v>-0.32929999999999998</v>
      </c>
      <c r="BY91" s="228">
        <v>322</v>
      </c>
      <c r="BZ91" s="228">
        <v>304</v>
      </c>
      <c r="CA91" s="228">
        <v>18</v>
      </c>
      <c r="CB91" s="229">
        <v>5.8099999999999999E-2</v>
      </c>
      <c r="CC91" s="228">
        <v>299</v>
      </c>
      <c r="CD91" s="228">
        <v>283</v>
      </c>
      <c r="CE91" s="228">
        <v>16</v>
      </c>
      <c r="CF91" s="229">
        <v>5.6099999999999997E-2</v>
      </c>
      <c r="CG91" s="228">
        <v>23</v>
      </c>
      <c r="CH91" s="228">
        <v>21</v>
      </c>
      <c r="CI91" s="228">
        <v>2</v>
      </c>
      <c r="CJ91" s="229">
        <v>8.5599999999999996E-2</v>
      </c>
      <c r="CK91" s="228">
        <v>0</v>
      </c>
      <c r="CL91" s="228">
        <v>0</v>
      </c>
      <c r="CM91" s="228">
        <v>0</v>
      </c>
      <c r="CN91" s="229">
        <v>0</v>
      </c>
      <c r="CO91" s="228">
        <v>156</v>
      </c>
      <c r="CP91" s="228">
        <v>144</v>
      </c>
      <c r="CQ91" s="228">
        <v>12</v>
      </c>
      <c r="CR91" s="229">
        <v>8.5999999999999993E-2</v>
      </c>
      <c r="CS91" s="228">
        <v>104</v>
      </c>
      <c r="CT91" s="228">
        <v>93</v>
      </c>
      <c r="CU91" s="228">
        <v>11</v>
      </c>
      <c r="CV91" s="229">
        <v>0.11899999999999999</v>
      </c>
      <c r="CW91" s="228">
        <v>582</v>
      </c>
      <c r="CX91" s="228">
        <v>541</v>
      </c>
      <c r="CY91" s="228">
        <v>41</v>
      </c>
      <c r="CZ91" s="229">
        <v>7.5999999999999998E-2</v>
      </c>
      <c r="DA91" s="228">
        <v>28.41</v>
      </c>
      <c r="DB91" s="228">
        <v>27.39</v>
      </c>
      <c r="DC91" s="228">
        <v>1.02</v>
      </c>
      <c r="DD91" s="228">
        <v>1.02</v>
      </c>
      <c r="DE91" s="228">
        <v>41.91</v>
      </c>
      <c r="DF91" s="228">
        <v>42.01</v>
      </c>
      <c r="DG91" s="228">
        <v>-13.5</v>
      </c>
      <c r="DH91" s="228">
        <v>-0.1</v>
      </c>
      <c r="DI91" s="228">
        <v>28.22</v>
      </c>
      <c r="DJ91" s="228">
        <v>27.12</v>
      </c>
      <c r="DK91" s="228">
        <v>1.1000000000000001</v>
      </c>
      <c r="DL91" s="228">
        <v>1.1000000000000001</v>
      </c>
      <c r="DM91" s="228">
        <v>28.8</v>
      </c>
      <c r="DN91" s="228">
        <v>27.88</v>
      </c>
      <c r="DO91" s="228">
        <v>0.92</v>
      </c>
      <c r="DP91" s="228">
        <v>0.92</v>
      </c>
      <c r="DQ91" s="228">
        <v>0.67</v>
      </c>
      <c r="DR91" s="228">
        <v>0.65</v>
      </c>
      <c r="DS91" s="228">
        <v>0.02</v>
      </c>
      <c r="DT91" s="229">
        <v>3.0800000000000001E-2</v>
      </c>
      <c r="DU91" s="228">
        <v>210</v>
      </c>
      <c r="DV91" s="228">
        <v>200</v>
      </c>
      <c r="DW91" s="228">
        <v>0.49</v>
      </c>
      <c r="DX91" s="228">
        <v>0.56000000000000005</v>
      </c>
      <c r="DY91" s="228">
        <v>-7.0000000000000007E-2</v>
      </c>
      <c r="DZ91" s="229">
        <v>-0.125</v>
      </c>
      <c r="EA91" s="229">
        <v>7.0300000000000001E-2</v>
      </c>
      <c r="EB91" s="230">
        <v>995500</v>
      </c>
      <c r="EC91" s="229">
        <v>-3.3999999999999998E-3</v>
      </c>
      <c r="ED91" s="229">
        <v>7.0300000000000001E-2</v>
      </c>
      <c r="EE91" s="228">
        <v>-0.78</v>
      </c>
      <c r="EF91" s="229">
        <v>-3.7000000000000002E-3</v>
      </c>
      <c r="EG91" s="230">
        <v>868077</v>
      </c>
      <c r="EH91" s="230">
        <v>1145615</v>
      </c>
      <c r="EI91" s="229">
        <v>-0.24229999999999999</v>
      </c>
      <c r="EJ91" s="229">
        <v>0.53939999999999999</v>
      </c>
      <c r="EK91" s="228">
        <v>87.31</v>
      </c>
      <c r="EL91" s="228">
        <v>41.27</v>
      </c>
      <c r="EM91" s="228">
        <v>72.92</v>
      </c>
      <c r="EN91" s="228">
        <v>29.22</v>
      </c>
      <c r="EO91" s="228">
        <v>201.5</v>
      </c>
      <c r="EP91" s="228">
        <v>299.25</v>
      </c>
      <c r="EQ91" s="228">
        <v>-97.75</v>
      </c>
      <c r="ER91" s="229">
        <v>-0.32669999999999999</v>
      </c>
      <c r="ES91" s="228">
        <v>163.41999999999999</v>
      </c>
      <c r="ET91" s="228">
        <v>101.09</v>
      </c>
      <c r="EU91" s="228">
        <v>321.51</v>
      </c>
      <c r="EV91" s="231">
        <v>94000476</v>
      </c>
      <c r="EW91" s="228">
        <v>586.01</v>
      </c>
      <c r="EX91" s="228">
        <v>546.51</v>
      </c>
      <c r="EY91" s="228">
        <v>39.5</v>
      </c>
      <c r="EZ91" s="229">
        <v>7.2300000000000003E-2</v>
      </c>
      <c r="FA91" s="229">
        <v>0.29570000000000002</v>
      </c>
      <c r="FB91" s="227" t="s">
        <v>567</v>
      </c>
      <c r="FC91">
        <f t="shared" si="1"/>
        <v>23</v>
      </c>
    </row>
    <row r="92" spans="1:159" ht="17.25" thickBot="1" x14ac:dyDescent="0.3">
      <c r="A92" s="226">
        <v>45936</v>
      </c>
      <c r="B92" s="227" t="s">
        <v>175</v>
      </c>
      <c r="C92" s="227" t="s">
        <v>668</v>
      </c>
      <c r="D92" s="228">
        <v>1650</v>
      </c>
      <c r="E92" s="228">
        <v>22</v>
      </c>
      <c r="F92" s="228">
        <v>472.6</v>
      </c>
      <c r="G92" s="228">
        <v>459.3</v>
      </c>
      <c r="H92" s="228">
        <v>13.3</v>
      </c>
      <c r="I92" s="229">
        <v>2.9000000000000001E-2</v>
      </c>
      <c r="J92" s="228">
        <v>469.5</v>
      </c>
      <c r="K92" s="228">
        <v>457.2</v>
      </c>
      <c r="L92" s="228">
        <v>12.3</v>
      </c>
      <c r="M92" s="229">
        <v>2.69E-2</v>
      </c>
      <c r="N92" s="228">
        <v>472.6</v>
      </c>
      <c r="O92" s="228">
        <v>459.3</v>
      </c>
      <c r="P92" s="228">
        <v>13.3</v>
      </c>
      <c r="Q92" s="229">
        <v>2.9000000000000001E-2</v>
      </c>
      <c r="R92" s="228">
        <v>474.8</v>
      </c>
      <c r="S92" s="228">
        <v>462.85</v>
      </c>
      <c r="T92" s="228">
        <v>11.95</v>
      </c>
      <c r="U92" s="229">
        <v>2.58E-2</v>
      </c>
      <c r="V92" s="228">
        <v>479.15</v>
      </c>
      <c r="W92" s="228">
        <v>464</v>
      </c>
      <c r="X92" s="228">
        <v>15.15</v>
      </c>
      <c r="Y92" s="229">
        <v>3.27E-2</v>
      </c>
      <c r="Z92" s="228">
        <v>3.1</v>
      </c>
      <c r="AA92" s="228">
        <v>2.1</v>
      </c>
      <c r="AB92" s="228">
        <v>1</v>
      </c>
      <c r="AC92" s="229">
        <v>6.6E-3</v>
      </c>
      <c r="AD92" s="228">
        <v>3.1</v>
      </c>
      <c r="AE92" s="228">
        <v>2.1</v>
      </c>
      <c r="AF92" s="228">
        <v>1</v>
      </c>
      <c r="AG92" s="229">
        <v>6.6E-3</v>
      </c>
      <c r="AH92" s="228">
        <v>5.3</v>
      </c>
      <c r="AI92" s="228">
        <v>5.65</v>
      </c>
      <c r="AJ92" s="228">
        <v>-0.35</v>
      </c>
      <c r="AK92" s="229">
        <v>1.1299999999999999E-2</v>
      </c>
      <c r="AL92" s="228">
        <v>9.65</v>
      </c>
      <c r="AM92" s="228">
        <v>6.8</v>
      </c>
      <c r="AN92" s="228">
        <v>2.85</v>
      </c>
      <c r="AO92" s="229">
        <v>2.06E-2</v>
      </c>
      <c r="AP92" s="228">
        <v>466.98</v>
      </c>
      <c r="AQ92" s="228">
        <v>469.93</v>
      </c>
      <c r="AR92" s="228">
        <v>0</v>
      </c>
      <c r="AS92" s="228">
        <v>201</v>
      </c>
      <c r="AT92" s="228">
        <v>223</v>
      </c>
      <c r="AU92" s="228">
        <v>-23</v>
      </c>
      <c r="AV92" s="229">
        <v>-0.1016</v>
      </c>
      <c r="AW92" s="228">
        <v>192</v>
      </c>
      <c r="AX92" s="228">
        <v>216</v>
      </c>
      <c r="AY92" s="228">
        <v>-24</v>
      </c>
      <c r="AZ92" s="229">
        <v>-0.1129</v>
      </c>
      <c r="BA92" s="228">
        <v>8</v>
      </c>
      <c r="BB92" s="228">
        <v>7</v>
      </c>
      <c r="BC92" s="228">
        <v>1</v>
      </c>
      <c r="BD92" s="229">
        <v>0.2</v>
      </c>
      <c r="BE92" s="228">
        <v>1</v>
      </c>
      <c r="BF92" s="228">
        <v>0</v>
      </c>
      <c r="BG92" s="228">
        <v>0</v>
      </c>
      <c r="BH92" s="229">
        <v>0.83330000000000004</v>
      </c>
      <c r="BI92" s="228">
        <v>459</v>
      </c>
      <c r="BJ92" s="228">
        <v>823</v>
      </c>
      <c r="BK92" s="228">
        <v>-364</v>
      </c>
      <c r="BL92" s="229">
        <v>-0.44209999999999999</v>
      </c>
      <c r="BM92" s="228">
        <v>90</v>
      </c>
      <c r="BN92" s="228">
        <v>206</v>
      </c>
      <c r="BO92" s="228">
        <v>-116</v>
      </c>
      <c r="BP92" s="229">
        <v>-0.56240000000000001</v>
      </c>
      <c r="BQ92" s="228">
        <v>750</v>
      </c>
      <c r="BR92" s="230">
        <v>1252</v>
      </c>
      <c r="BS92" s="228">
        <v>-502</v>
      </c>
      <c r="BT92" s="229">
        <v>-0.4012</v>
      </c>
      <c r="BU92" s="230">
        <v>1391947</v>
      </c>
      <c r="BV92" s="230">
        <v>2257505</v>
      </c>
      <c r="BW92" s="230">
        <v>-865558</v>
      </c>
      <c r="BX92" s="229">
        <v>-0.38340000000000002</v>
      </c>
      <c r="BY92" s="228">
        <v>733</v>
      </c>
      <c r="BZ92" s="228">
        <v>711</v>
      </c>
      <c r="CA92" s="228">
        <v>22</v>
      </c>
      <c r="CB92" s="229">
        <v>3.1099999999999999E-2</v>
      </c>
      <c r="CC92" s="228">
        <v>724</v>
      </c>
      <c r="CD92" s="228">
        <v>703</v>
      </c>
      <c r="CE92" s="228">
        <v>21</v>
      </c>
      <c r="CF92" s="229">
        <v>2.9700000000000001E-2</v>
      </c>
      <c r="CG92" s="228">
        <v>8</v>
      </c>
      <c r="CH92" s="228">
        <v>8</v>
      </c>
      <c r="CI92" s="228">
        <v>1</v>
      </c>
      <c r="CJ92" s="229">
        <v>7.1400000000000005E-2</v>
      </c>
      <c r="CK92" s="228">
        <v>1</v>
      </c>
      <c r="CL92" s="228">
        <v>0</v>
      </c>
      <c r="CM92" s="228">
        <v>1</v>
      </c>
      <c r="CN92" s="229">
        <v>1.5</v>
      </c>
      <c r="CO92" s="228">
        <v>185</v>
      </c>
      <c r="CP92" s="228">
        <v>177</v>
      </c>
      <c r="CQ92" s="228">
        <v>8</v>
      </c>
      <c r="CR92" s="229">
        <v>4.7199999999999999E-2</v>
      </c>
      <c r="CS92" s="228">
        <v>85</v>
      </c>
      <c r="CT92" s="228">
        <v>81</v>
      </c>
      <c r="CU92" s="228">
        <v>4</v>
      </c>
      <c r="CV92" s="229">
        <v>5.4100000000000002E-2</v>
      </c>
      <c r="CW92" s="230">
        <v>1004</v>
      </c>
      <c r="CX92" s="228">
        <v>969</v>
      </c>
      <c r="CY92" s="228">
        <v>35</v>
      </c>
      <c r="CZ92" s="229">
        <v>3.5999999999999997E-2</v>
      </c>
      <c r="DA92" s="228">
        <v>34.950000000000003</v>
      </c>
      <c r="DB92" s="228">
        <v>34.270000000000003</v>
      </c>
      <c r="DC92" s="228">
        <v>0.68</v>
      </c>
      <c r="DD92" s="228">
        <v>0.68</v>
      </c>
      <c r="DE92" s="228">
        <v>52.96</v>
      </c>
      <c r="DF92" s="228">
        <v>52.95</v>
      </c>
      <c r="DG92" s="228">
        <v>-18.010000000000002</v>
      </c>
      <c r="DH92" s="228">
        <v>0.01</v>
      </c>
      <c r="DI92" s="228">
        <v>34.619999999999997</v>
      </c>
      <c r="DJ92" s="228">
        <v>34.159999999999997</v>
      </c>
      <c r="DK92" s="228">
        <v>0.46</v>
      </c>
      <c r="DL92" s="228">
        <v>0.46</v>
      </c>
      <c r="DM92" s="228">
        <v>36.630000000000003</v>
      </c>
      <c r="DN92" s="228">
        <v>34.71</v>
      </c>
      <c r="DO92" s="228">
        <v>1.92</v>
      </c>
      <c r="DP92" s="228">
        <v>1.92</v>
      </c>
      <c r="DQ92" s="228">
        <v>0.46</v>
      </c>
      <c r="DR92" s="228">
        <v>0.46</v>
      </c>
      <c r="DS92" s="228">
        <v>0</v>
      </c>
      <c r="DT92" s="229">
        <v>0</v>
      </c>
      <c r="DU92" s="228">
        <v>470</v>
      </c>
      <c r="DV92" s="228">
        <v>440</v>
      </c>
      <c r="DW92" s="228">
        <v>0.2</v>
      </c>
      <c r="DX92" s="228">
        <v>0.25</v>
      </c>
      <c r="DY92" s="228">
        <v>-0.05</v>
      </c>
      <c r="DZ92" s="229">
        <v>-0.2</v>
      </c>
      <c r="EA92" s="229">
        <v>1.2800000000000001E-2</v>
      </c>
      <c r="EB92" s="230">
        <v>171600</v>
      </c>
      <c r="EC92" s="229">
        <v>4.7000000000000002E-3</v>
      </c>
      <c r="ED92" s="229">
        <v>1.2800000000000001E-2</v>
      </c>
      <c r="EE92" s="228">
        <v>2.95</v>
      </c>
      <c r="EF92" s="229">
        <v>6.3E-3</v>
      </c>
      <c r="EG92" s="230">
        <v>607910</v>
      </c>
      <c r="EH92" s="230">
        <v>645582</v>
      </c>
      <c r="EI92" s="229">
        <v>-5.8400000000000001E-2</v>
      </c>
      <c r="EJ92" s="229">
        <v>0.43669999999999998</v>
      </c>
      <c r="EK92" s="228">
        <v>479.8</v>
      </c>
      <c r="EL92" s="228">
        <v>88.03</v>
      </c>
      <c r="EM92" s="228">
        <v>198.32</v>
      </c>
      <c r="EN92" s="228">
        <v>48.47</v>
      </c>
      <c r="EO92" s="228">
        <v>766.15</v>
      </c>
      <c r="EP92" s="231">
        <v>1269.6300000000001</v>
      </c>
      <c r="EQ92" s="228">
        <v>-503.49</v>
      </c>
      <c r="ER92" s="229">
        <v>-0.39660000000000001</v>
      </c>
      <c r="ES92" s="228">
        <v>189.59</v>
      </c>
      <c r="ET92" s="228">
        <v>78.790000000000006</v>
      </c>
      <c r="EU92" s="228">
        <v>733.37</v>
      </c>
      <c r="EV92" s="231">
        <v>47888370</v>
      </c>
      <c r="EW92" s="231">
        <v>1001.75</v>
      </c>
      <c r="EX92" s="228">
        <v>944.64</v>
      </c>
      <c r="EY92" s="228">
        <v>57.11</v>
      </c>
      <c r="EZ92" s="229">
        <v>6.0499999999999998E-2</v>
      </c>
      <c r="FA92" s="229">
        <v>0.44340000000000002</v>
      </c>
      <c r="FB92" s="227" t="s">
        <v>555</v>
      </c>
      <c r="FC92">
        <f t="shared" si="1"/>
        <v>9</v>
      </c>
    </row>
    <row r="93" spans="1:159" ht="17.25" thickBot="1" x14ac:dyDescent="0.3">
      <c r="A93" s="226">
        <v>45936</v>
      </c>
      <c r="B93" s="227" t="s">
        <v>206</v>
      </c>
      <c r="C93" s="227" t="s">
        <v>501</v>
      </c>
      <c r="D93" s="228">
        <v>1000</v>
      </c>
      <c r="E93" s="228">
        <v>22</v>
      </c>
      <c r="F93" s="228">
        <v>727.8</v>
      </c>
      <c r="G93" s="228">
        <v>729</v>
      </c>
      <c r="H93" s="228">
        <v>-1.2</v>
      </c>
      <c r="I93" s="229">
        <v>-1.6000000000000001E-3</v>
      </c>
      <c r="J93" s="228">
        <v>723.55</v>
      </c>
      <c r="K93" s="228">
        <v>724.45</v>
      </c>
      <c r="L93" s="228">
        <v>-0.9</v>
      </c>
      <c r="M93" s="229">
        <v>-1.1999999999999999E-3</v>
      </c>
      <c r="N93" s="228">
        <v>727.8</v>
      </c>
      <c r="O93" s="228">
        <v>729</v>
      </c>
      <c r="P93" s="228">
        <v>-1.2</v>
      </c>
      <c r="Q93" s="229">
        <v>-1.6000000000000001E-3</v>
      </c>
      <c r="R93" s="228">
        <v>731.6</v>
      </c>
      <c r="S93" s="228">
        <v>733.85</v>
      </c>
      <c r="T93" s="228">
        <v>-2.25</v>
      </c>
      <c r="U93" s="229">
        <v>-3.0999999999999999E-3</v>
      </c>
      <c r="V93" s="228">
        <v>736.35</v>
      </c>
      <c r="W93" s="228">
        <v>737.6</v>
      </c>
      <c r="X93" s="228">
        <v>-1.25</v>
      </c>
      <c r="Y93" s="229">
        <v>-1.6999999999999999E-3</v>
      </c>
      <c r="Z93" s="228">
        <v>4.25</v>
      </c>
      <c r="AA93" s="228">
        <v>4.55</v>
      </c>
      <c r="AB93" s="228">
        <v>-0.3</v>
      </c>
      <c r="AC93" s="229">
        <v>5.8999999999999999E-3</v>
      </c>
      <c r="AD93" s="228">
        <v>4.25</v>
      </c>
      <c r="AE93" s="228">
        <v>4.55</v>
      </c>
      <c r="AF93" s="228">
        <v>-0.3</v>
      </c>
      <c r="AG93" s="229">
        <v>5.8999999999999999E-3</v>
      </c>
      <c r="AH93" s="228">
        <v>8.0500000000000007</v>
      </c>
      <c r="AI93" s="228">
        <v>9.4</v>
      </c>
      <c r="AJ93" s="228">
        <v>-1.35</v>
      </c>
      <c r="AK93" s="229">
        <v>1.11E-2</v>
      </c>
      <c r="AL93" s="228">
        <v>12.8</v>
      </c>
      <c r="AM93" s="228">
        <v>13.15</v>
      </c>
      <c r="AN93" s="228">
        <v>-0.35</v>
      </c>
      <c r="AO93" s="229">
        <v>1.77E-2</v>
      </c>
      <c r="AP93" s="228">
        <v>726.73</v>
      </c>
      <c r="AQ93" s="228">
        <v>730.83</v>
      </c>
      <c r="AR93" s="228">
        <v>0</v>
      </c>
      <c r="AS93" s="228">
        <v>178</v>
      </c>
      <c r="AT93" s="228">
        <v>152</v>
      </c>
      <c r="AU93" s="228">
        <v>26</v>
      </c>
      <c r="AV93" s="229">
        <v>0.17480000000000001</v>
      </c>
      <c r="AW93" s="228">
        <v>163</v>
      </c>
      <c r="AX93" s="228">
        <v>140</v>
      </c>
      <c r="AY93" s="228">
        <v>23</v>
      </c>
      <c r="AZ93" s="229">
        <v>0.16470000000000001</v>
      </c>
      <c r="BA93" s="228">
        <v>13</v>
      </c>
      <c r="BB93" s="228">
        <v>11</v>
      </c>
      <c r="BC93" s="228">
        <v>2</v>
      </c>
      <c r="BD93" s="229">
        <v>0.2092</v>
      </c>
      <c r="BE93" s="228">
        <v>2</v>
      </c>
      <c r="BF93" s="228">
        <v>1</v>
      </c>
      <c r="BG93" s="228">
        <v>1</v>
      </c>
      <c r="BH93" s="229">
        <v>1.6</v>
      </c>
      <c r="BI93" s="228">
        <v>504</v>
      </c>
      <c r="BJ93" s="228">
        <v>389</v>
      </c>
      <c r="BK93" s="228">
        <v>115</v>
      </c>
      <c r="BL93" s="229">
        <v>0.29520000000000002</v>
      </c>
      <c r="BM93" s="228">
        <v>109</v>
      </c>
      <c r="BN93" s="228">
        <v>152</v>
      </c>
      <c r="BO93" s="228">
        <v>-43</v>
      </c>
      <c r="BP93" s="229">
        <v>-0.28179999999999999</v>
      </c>
      <c r="BQ93" s="228">
        <v>790</v>
      </c>
      <c r="BR93" s="228">
        <v>692</v>
      </c>
      <c r="BS93" s="228">
        <v>99</v>
      </c>
      <c r="BT93" s="229">
        <v>0.1424</v>
      </c>
      <c r="BU93" s="230">
        <v>2854504</v>
      </c>
      <c r="BV93" s="230">
        <v>1945218</v>
      </c>
      <c r="BW93" s="230">
        <v>909286</v>
      </c>
      <c r="BX93" s="229">
        <v>0.46739999999999998</v>
      </c>
      <c r="BY93" s="230">
        <v>2034</v>
      </c>
      <c r="BZ93" s="230">
        <v>1972</v>
      </c>
      <c r="CA93" s="228">
        <v>62</v>
      </c>
      <c r="CB93" s="229">
        <v>3.15E-2</v>
      </c>
      <c r="CC93" s="230">
        <v>1959</v>
      </c>
      <c r="CD93" s="230">
        <v>1904</v>
      </c>
      <c r="CE93" s="228">
        <v>56</v>
      </c>
      <c r="CF93" s="229">
        <v>2.9399999999999999E-2</v>
      </c>
      <c r="CG93" s="228">
        <v>72</v>
      </c>
      <c r="CH93" s="228">
        <v>67</v>
      </c>
      <c r="CI93" s="228">
        <v>5</v>
      </c>
      <c r="CJ93" s="229">
        <v>7.8100000000000003E-2</v>
      </c>
      <c r="CK93" s="228">
        <v>3</v>
      </c>
      <c r="CL93" s="228">
        <v>2</v>
      </c>
      <c r="CM93" s="228">
        <v>1</v>
      </c>
      <c r="CN93" s="229">
        <v>0.56520000000000004</v>
      </c>
      <c r="CO93" s="228">
        <v>799</v>
      </c>
      <c r="CP93" s="228">
        <v>724</v>
      </c>
      <c r="CQ93" s="228">
        <v>76</v>
      </c>
      <c r="CR93" s="229">
        <v>0.1047</v>
      </c>
      <c r="CS93" s="228">
        <v>457</v>
      </c>
      <c r="CT93" s="228">
        <v>441</v>
      </c>
      <c r="CU93" s="228">
        <v>16</v>
      </c>
      <c r="CV93" s="229">
        <v>3.73E-2</v>
      </c>
      <c r="CW93" s="230">
        <v>3291</v>
      </c>
      <c r="CX93" s="230">
        <v>3137</v>
      </c>
      <c r="CY93" s="228">
        <v>154</v>
      </c>
      <c r="CZ93" s="229">
        <v>4.9200000000000001E-2</v>
      </c>
      <c r="DA93" s="228">
        <v>24.55</v>
      </c>
      <c r="DB93" s="228">
        <v>23.67</v>
      </c>
      <c r="DC93" s="228">
        <v>0.88</v>
      </c>
      <c r="DD93" s="228">
        <v>0.88</v>
      </c>
      <c r="DE93" s="228">
        <v>36.07</v>
      </c>
      <c r="DF93" s="228">
        <v>36.159999999999997</v>
      </c>
      <c r="DG93" s="228">
        <v>-11.52</v>
      </c>
      <c r="DH93" s="228">
        <v>-0.09</v>
      </c>
      <c r="DI93" s="228">
        <v>24.77</v>
      </c>
      <c r="DJ93" s="228">
        <v>23.82</v>
      </c>
      <c r="DK93" s="228">
        <v>0.95</v>
      </c>
      <c r="DL93" s="228">
        <v>0.95</v>
      </c>
      <c r="DM93" s="228">
        <v>23.53</v>
      </c>
      <c r="DN93" s="228">
        <v>23.3</v>
      </c>
      <c r="DO93" s="228">
        <v>0.23</v>
      </c>
      <c r="DP93" s="228">
        <v>0.23</v>
      </c>
      <c r="DQ93" s="228">
        <v>0.56999999999999995</v>
      </c>
      <c r="DR93" s="228">
        <v>0.61</v>
      </c>
      <c r="DS93" s="228">
        <v>-0.04</v>
      </c>
      <c r="DT93" s="229">
        <v>-6.5600000000000006E-2</v>
      </c>
      <c r="DU93" s="228">
        <v>800</v>
      </c>
      <c r="DV93" s="228">
        <v>720</v>
      </c>
      <c r="DW93" s="228">
        <v>0.22</v>
      </c>
      <c r="DX93" s="228">
        <v>0.39</v>
      </c>
      <c r="DY93" s="228">
        <v>-0.17</v>
      </c>
      <c r="DZ93" s="229">
        <v>-0.43590000000000001</v>
      </c>
      <c r="EA93" s="229">
        <v>3.6799999999999999E-2</v>
      </c>
      <c r="EB93" s="230">
        <v>945000</v>
      </c>
      <c r="EC93" s="229">
        <v>5.1999999999999998E-3</v>
      </c>
      <c r="ED93" s="229">
        <v>3.6799999999999999E-2</v>
      </c>
      <c r="EE93" s="228">
        <v>4.0999999999999996</v>
      </c>
      <c r="EF93" s="229">
        <v>5.5999999999999999E-3</v>
      </c>
      <c r="EG93" s="230">
        <v>2037800</v>
      </c>
      <c r="EH93" s="230">
        <v>1303300</v>
      </c>
      <c r="EI93" s="229">
        <v>0.56359999999999999</v>
      </c>
      <c r="EJ93" s="229">
        <v>0.71389999999999998</v>
      </c>
      <c r="EK93" s="228">
        <v>530.75</v>
      </c>
      <c r="EL93" s="228">
        <v>107.99</v>
      </c>
      <c r="EM93" s="228">
        <v>177.86</v>
      </c>
      <c r="EN93" s="228">
        <v>80.8</v>
      </c>
      <c r="EO93" s="228">
        <v>816.59</v>
      </c>
      <c r="EP93" s="228">
        <v>710.03</v>
      </c>
      <c r="EQ93" s="228">
        <v>106.56</v>
      </c>
      <c r="ER93" s="229">
        <v>0.15010000000000001</v>
      </c>
      <c r="ES93" s="228">
        <v>849.04</v>
      </c>
      <c r="ET93" s="228">
        <v>459.65</v>
      </c>
      <c r="EU93" s="231">
        <v>2034.83</v>
      </c>
      <c r="EV93" s="231">
        <v>111956321</v>
      </c>
      <c r="EW93" s="231">
        <v>3343.52</v>
      </c>
      <c r="EX93" s="231">
        <v>3188.08</v>
      </c>
      <c r="EY93" s="228">
        <v>155.44</v>
      </c>
      <c r="EZ93" s="229">
        <v>4.8800000000000003E-2</v>
      </c>
      <c r="FA93" s="229">
        <v>0.40389999999999998</v>
      </c>
      <c r="FB93" s="227" t="s">
        <v>567</v>
      </c>
      <c r="FC93">
        <f t="shared" si="1"/>
        <v>75</v>
      </c>
    </row>
    <row r="94" spans="1:159" ht="17.25" thickBot="1" x14ac:dyDescent="0.3">
      <c r="A94" s="226">
        <v>45936</v>
      </c>
      <c r="B94" s="227" t="s">
        <v>172</v>
      </c>
      <c r="C94" s="227" t="s">
        <v>579</v>
      </c>
      <c r="D94" s="228">
        <v>1000</v>
      </c>
      <c r="E94" s="228">
        <v>22</v>
      </c>
      <c r="F94" s="228">
        <v>759.3</v>
      </c>
      <c r="G94" s="228">
        <v>755.4</v>
      </c>
      <c r="H94" s="228">
        <v>3.9</v>
      </c>
      <c r="I94" s="229">
        <v>5.1999999999999998E-3</v>
      </c>
      <c r="J94" s="228">
        <v>758.05</v>
      </c>
      <c r="K94" s="228">
        <v>765.95</v>
      </c>
      <c r="L94" s="228">
        <v>-7.9</v>
      </c>
      <c r="M94" s="229">
        <v>-1.03E-2</v>
      </c>
      <c r="N94" s="228">
        <v>759.3</v>
      </c>
      <c r="O94" s="228">
        <v>755.4</v>
      </c>
      <c r="P94" s="228">
        <v>3.9</v>
      </c>
      <c r="Q94" s="229">
        <v>5.1999999999999998E-3</v>
      </c>
      <c r="R94" s="228">
        <v>756.45</v>
      </c>
      <c r="S94" s="228">
        <v>752.1</v>
      </c>
      <c r="T94" s="228">
        <v>4.3499999999999996</v>
      </c>
      <c r="U94" s="229">
        <v>5.7999999999999996E-3</v>
      </c>
      <c r="V94" s="228">
        <v>751</v>
      </c>
      <c r="W94" s="228">
        <v>751</v>
      </c>
      <c r="X94" s="228">
        <v>0</v>
      </c>
      <c r="Y94" s="229">
        <v>0</v>
      </c>
      <c r="Z94" s="228">
        <v>1.25</v>
      </c>
      <c r="AA94" s="228">
        <v>-10.55</v>
      </c>
      <c r="AB94" s="228">
        <v>11.8</v>
      </c>
      <c r="AC94" s="229">
        <v>1.6000000000000001E-3</v>
      </c>
      <c r="AD94" s="228">
        <v>1.25</v>
      </c>
      <c r="AE94" s="228">
        <v>-10.55</v>
      </c>
      <c r="AF94" s="228">
        <v>11.8</v>
      </c>
      <c r="AG94" s="229">
        <v>1.6000000000000001E-3</v>
      </c>
      <c r="AH94" s="228">
        <v>-1.6</v>
      </c>
      <c r="AI94" s="228">
        <v>-13.85</v>
      </c>
      <c r="AJ94" s="228">
        <v>12.25</v>
      </c>
      <c r="AK94" s="229">
        <v>-2.0999999999999999E-3</v>
      </c>
      <c r="AL94" s="228">
        <v>-7.05</v>
      </c>
      <c r="AM94" s="228">
        <v>-14.95</v>
      </c>
      <c r="AN94" s="228">
        <v>7.9</v>
      </c>
      <c r="AO94" s="229">
        <v>-9.2999999999999992E-3</v>
      </c>
      <c r="AP94" s="228">
        <v>759.75</v>
      </c>
      <c r="AQ94" s="228">
        <v>755.41</v>
      </c>
      <c r="AR94" s="228">
        <v>0</v>
      </c>
      <c r="AS94" s="228">
        <v>190</v>
      </c>
      <c r="AT94" s="228">
        <v>303</v>
      </c>
      <c r="AU94" s="228">
        <v>-114</v>
      </c>
      <c r="AV94" s="229">
        <v>-0.37459999999999999</v>
      </c>
      <c r="AW94" s="228">
        <v>181</v>
      </c>
      <c r="AX94" s="228">
        <v>293</v>
      </c>
      <c r="AY94" s="228">
        <v>-113</v>
      </c>
      <c r="AZ94" s="229">
        <v>-0.38429999999999997</v>
      </c>
      <c r="BA94" s="228">
        <v>9</v>
      </c>
      <c r="BB94" s="228">
        <v>10</v>
      </c>
      <c r="BC94" s="228">
        <v>-1</v>
      </c>
      <c r="BD94" s="229">
        <v>-0.1085</v>
      </c>
      <c r="BE94" s="228">
        <v>0</v>
      </c>
      <c r="BF94" s="228">
        <v>0</v>
      </c>
      <c r="BG94" s="228">
        <v>0</v>
      </c>
      <c r="BH94" s="229">
        <v>3</v>
      </c>
      <c r="BI94" s="228">
        <v>449</v>
      </c>
      <c r="BJ94" s="228">
        <v>757</v>
      </c>
      <c r="BK94" s="228">
        <v>-308</v>
      </c>
      <c r="BL94" s="229">
        <v>-0.40710000000000002</v>
      </c>
      <c r="BM94" s="228">
        <v>171</v>
      </c>
      <c r="BN94" s="228">
        <v>261</v>
      </c>
      <c r="BO94" s="228">
        <v>-90</v>
      </c>
      <c r="BP94" s="229">
        <v>-0.34410000000000002</v>
      </c>
      <c r="BQ94" s="228">
        <v>810</v>
      </c>
      <c r="BR94" s="230">
        <v>1321</v>
      </c>
      <c r="BS94" s="228">
        <v>-512</v>
      </c>
      <c r="BT94" s="229">
        <v>-0.38719999999999999</v>
      </c>
      <c r="BU94" s="230">
        <v>2077905</v>
      </c>
      <c r="BV94" s="230">
        <v>2878864</v>
      </c>
      <c r="BW94" s="230">
        <v>-800959</v>
      </c>
      <c r="BX94" s="229">
        <v>-0.2782</v>
      </c>
      <c r="BY94" s="228">
        <v>581</v>
      </c>
      <c r="BZ94" s="228">
        <v>571</v>
      </c>
      <c r="CA94" s="228">
        <v>10</v>
      </c>
      <c r="CB94" s="229">
        <v>1.7600000000000001E-2</v>
      </c>
      <c r="CC94" s="228">
        <v>569</v>
      </c>
      <c r="CD94" s="228">
        <v>562</v>
      </c>
      <c r="CE94" s="228">
        <v>8</v>
      </c>
      <c r="CF94" s="229">
        <v>1.37E-2</v>
      </c>
      <c r="CG94" s="228">
        <v>11</v>
      </c>
      <c r="CH94" s="228">
        <v>9</v>
      </c>
      <c r="CI94" s="228">
        <v>2</v>
      </c>
      <c r="CJ94" s="229">
        <v>0.2195</v>
      </c>
      <c r="CK94" s="228">
        <v>0</v>
      </c>
      <c r="CL94" s="228">
        <v>0</v>
      </c>
      <c r="CM94" s="228">
        <v>0</v>
      </c>
      <c r="CN94" s="229">
        <v>2</v>
      </c>
      <c r="CO94" s="228">
        <v>203</v>
      </c>
      <c r="CP94" s="228">
        <v>191</v>
      </c>
      <c r="CQ94" s="228">
        <v>12</v>
      </c>
      <c r="CR94" s="229">
        <v>6.4799999999999996E-2</v>
      </c>
      <c r="CS94" s="228">
        <v>181</v>
      </c>
      <c r="CT94" s="228">
        <v>173</v>
      </c>
      <c r="CU94" s="228">
        <v>8</v>
      </c>
      <c r="CV94" s="229">
        <v>4.87E-2</v>
      </c>
      <c r="CW94" s="228">
        <v>966</v>
      </c>
      <c r="CX94" s="228">
        <v>935</v>
      </c>
      <c r="CY94" s="228">
        <v>31</v>
      </c>
      <c r="CZ94" s="229">
        <v>3.3000000000000002E-2</v>
      </c>
      <c r="DA94" s="228">
        <v>28.37</v>
      </c>
      <c r="DB94" s="228">
        <v>28.71</v>
      </c>
      <c r="DC94" s="228">
        <v>-0.34</v>
      </c>
      <c r="DD94" s="228">
        <v>-0.34</v>
      </c>
      <c r="DE94" s="228">
        <v>38.799999999999997</v>
      </c>
      <c r="DF94" s="228">
        <v>38.869999999999997</v>
      </c>
      <c r="DG94" s="228">
        <v>-10.43</v>
      </c>
      <c r="DH94" s="228">
        <v>-7.0000000000000007E-2</v>
      </c>
      <c r="DI94" s="228">
        <v>28.2</v>
      </c>
      <c r="DJ94" s="228">
        <v>28.56</v>
      </c>
      <c r="DK94" s="228">
        <v>-0.36</v>
      </c>
      <c r="DL94" s="228">
        <v>-0.36</v>
      </c>
      <c r="DM94" s="228">
        <v>28.83</v>
      </c>
      <c r="DN94" s="228">
        <v>29.14</v>
      </c>
      <c r="DO94" s="228">
        <v>-0.31</v>
      </c>
      <c r="DP94" s="228">
        <v>-0.31</v>
      </c>
      <c r="DQ94" s="228">
        <v>0.89</v>
      </c>
      <c r="DR94" s="228">
        <v>0.91</v>
      </c>
      <c r="DS94" s="228">
        <v>-0.02</v>
      </c>
      <c r="DT94" s="229">
        <v>-2.1999999999999999E-2</v>
      </c>
      <c r="DU94" s="228">
        <v>770</v>
      </c>
      <c r="DV94" s="228">
        <v>700</v>
      </c>
      <c r="DW94" s="228">
        <v>0.38</v>
      </c>
      <c r="DX94" s="228">
        <v>0.34</v>
      </c>
      <c r="DY94" s="228">
        <v>0.04</v>
      </c>
      <c r="DZ94" s="229">
        <v>0.1176</v>
      </c>
      <c r="EA94" s="229">
        <v>2.0400000000000001E-2</v>
      </c>
      <c r="EB94" s="230">
        <v>125000</v>
      </c>
      <c r="EC94" s="229">
        <v>-3.8E-3</v>
      </c>
      <c r="ED94" s="229">
        <v>2.0400000000000001E-2</v>
      </c>
      <c r="EE94" s="228">
        <v>-4.34</v>
      </c>
      <c r="EF94" s="229">
        <v>-5.7000000000000002E-3</v>
      </c>
      <c r="EG94" s="230">
        <v>846361</v>
      </c>
      <c r="EH94" s="230">
        <v>1068930</v>
      </c>
      <c r="EI94" s="229">
        <v>-0.2082</v>
      </c>
      <c r="EJ94" s="229">
        <v>0.4073</v>
      </c>
      <c r="EK94" s="228">
        <v>471.3</v>
      </c>
      <c r="EL94" s="228">
        <v>167.95</v>
      </c>
      <c r="EM94" s="228">
        <v>189.73</v>
      </c>
      <c r="EN94" s="228">
        <v>48.5</v>
      </c>
      <c r="EO94" s="228">
        <v>828.98</v>
      </c>
      <c r="EP94" s="231">
        <v>1336.54</v>
      </c>
      <c r="EQ94" s="228">
        <v>-507.56</v>
      </c>
      <c r="ER94" s="229">
        <v>-0.37980000000000003</v>
      </c>
      <c r="ES94" s="228">
        <v>205.32</v>
      </c>
      <c r="ET94" s="228">
        <v>168.76</v>
      </c>
      <c r="EU94" s="228">
        <v>581.04</v>
      </c>
      <c r="EV94" s="231">
        <v>52862157</v>
      </c>
      <c r="EW94" s="228">
        <v>955.12</v>
      </c>
      <c r="EX94" s="228">
        <v>920.5</v>
      </c>
      <c r="EY94" s="228">
        <v>34.619999999999997</v>
      </c>
      <c r="EZ94" s="229">
        <v>3.7600000000000001E-2</v>
      </c>
      <c r="FA94" s="229">
        <v>0.2407</v>
      </c>
      <c r="FB94" s="227" t="s">
        <v>555</v>
      </c>
      <c r="FC94">
        <f t="shared" si="1"/>
        <v>12</v>
      </c>
    </row>
    <row r="95" spans="1:159" ht="17.25" thickBot="1" x14ac:dyDescent="0.3">
      <c r="A95" s="226">
        <v>45936</v>
      </c>
      <c r="B95" s="227" t="s">
        <v>181</v>
      </c>
      <c r="C95" s="227" t="s">
        <v>570</v>
      </c>
      <c r="D95" s="228">
        <v>1</v>
      </c>
      <c r="E95" s="228">
        <v>22</v>
      </c>
      <c r="F95" s="228">
        <v>10.19</v>
      </c>
      <c r="G95" s="228">
        <v>10.06</v>
      </c>
      <c r="H95" s="228">
        <v>0.13</v>
      </c>
      <c r="I95" s="229">
        <v>1.32E-2</v>
      </c>
      <c r="J95" s="228">
        <v>10.19</v>
      </c>
      <c r="K95" s="228">
        <v>10.06</v>
      </c>
      <c r="L95" s="228">
        <v>0.13</v>
      </c>
      <c r="M95" s="229">
        <v>1.32E-2</v>
      </c>
      <c r="N95" s="228">
        <v>0</v>
      </c>
      <c r="O95" s="228">
        <v>0</v>
      </c>
      <c r="P95" s="228">
        <v>0</v>
      </c>
      <c r="Q95" s="229">
        <v>0</v>
      </c>
      <c r="R95" s="228">
        <v>0</v>
      </c>
      <c r="S95" s="228">
        <v>0</v>
      </c>
      <c r="T95" s="228">
        <v>0</v>
      </c>
      <c r="U95" s="229">
        <v>0</v>
      </c>
      <c r="V95" s="228">
        <v>0</v>
      </c>
      <c r="W95" s="228">
        <v>0</v>
      </c>
      <c r="X95" s="228">
        <v>0</v>
      </c>
      <c r="Y95" s="229">
        <v>0</v>
      </c>
      <c r="Z95" s="228">
        <v>0</v>
      </c>
      <c r="AA95" s="228">
        <v>0</v>
      </c>
      <c r="AB95" s="228">
        <v>0</v>
      </c>
      <c r="AC95" s="229">
        <v>0</v>
      </c>
      <c r="AD95" s="228">
        <v>0</v>
      </c>
      <c r="AE95" s="228">
        <v>0</v>
      </c>
      <c r="AF95" s="228">
        <v>0</v>
      </c>
      <c r="AG95" s="229">
        <v>0</v>
      </c>
      <c r="AH95" s="228">
        <v>0</v>
      </c>
      <c r="AI95" s="228">
        <v>0</v>
      </c>
      <c r="AJ95" s="228">
        <v>0</v>
      </c>
      <c r="AK95" s="229">
        <v>0</v>
      </c>
      <c r="AL95" s="228">
        <v>0</v>
      </c>
      <c r="AM95" s="228">
        <v>0</v>
      </c>
      <c r="AN95" s="228">
        <v>0</v>
      </c>
      <c r="AO95" s="229">
        <v>0</v>
      </c>
      <c r="AP95" s="228">
        <v>0</v>
      </c>
      <c r="AQ95" s="228">
        <v>0</v>
      </c>
      <c r="AR95" s="228">
        <v>0</v>
      </c>
      <c r="AS95" s="228">
        <v>0</v>
      </c>
      <c r="AT95" s="228">
        <v>0</v>
      </c>
      <c r="AU95" s="228">
        <v>0</v>
      </c>
      <c r="AV95" s="229">
        <v>0</v>
      </c>
      <c r="AW95" s="228">
        <v>0</v>
      </c>
      <c r="AX95" s="228">
        <v>0</v>
      </c>
      <c r="AY95" s="228">
        <v>0</v>
      </c>
      <c r="AZ95" s="229">
        <v>0</v>
      </c>
      <c r="BA95" s="228">
        <v>0</v>
      </c>
      <c r="BB95" s="228">
        <v>0</v>
      </c>
      <c r="BC95" s="228">
        <v>0</v>
      </c>
      <c r="BD95" s="229">
        <v>0</v>
      </c>
      <c r="BE95" s="228">
        <v>0</v>
      </c>
      <c r="BF95" s="228">
        <v>0</v>
      </c>
      <c r="BG95" s="228">
        <v>0</v>
      </c>
      <c r="BH95" s="229">
        <v>0</v>
      </c>
      <c r="BI95" s="228">
        <v>0</v>
      </c>
      <c r="BJ95" s="228">
        <v>0</v>
      </c>
      <c r="BK95" s="228">
        <v>0</v>
      </c>
      <c r="BL95" s="229">
        <v>0</v>
      </c>
      <c r="BM95" s="228">
        <v>0</v>
      </c>
      <c r="BN95" s="228">
        <v>0</v>
      </c>
      <c r="BO95" s="228">
        <v>0</v>
      </c>
      <c r="BP95" s="229">
        <v>0</v>
      </c>
      <c r="BQ95" s="228">
        <v>0</v>
      </c>
      <c r="BR95" s="228">
        <v>0</v>
      </c>
      <c r="BS95" s="228">
        <v>0</v>
      </c>
      <c r="BT95" s="229">
        <v>0</v>
      </c>
      <c r="BU95" s="228">
        <v>0</v>
      </c>
      <c r="BV95" s="228">
        <v>0</v>
      </c>
      <c r="BW95" s="228">
        <v>0</v>
      </c>
      <c r="BX95" s="229">
        <v>0</v>
      </c>
      <c r="BY95" s="228">
        <v>0</v>
      </c>
      <c r="BZ95" s="228">
        <v>0</v>
      </c>
      <c r="CA95" s="228">
        <v>0</v>
      </c>
      <c r="CB95" s="229">
        <v>0</v>
      </c>
      <c r="CC95" s="228">
        <v>0</v>
      </c>
      <c r="CD95" s="228">
        <v>0</v>
      </c>
      <c r="CE95" s="228">
        <v>0</v>
      </c>
      <c r="CF95" s="229">
        <v>0</v>
      </c>
      <c r="CG95" s="228">
        <v>0</v>
      </c>
      <c r="CH95" s="228">
        <v>0</v>
      </c>
      <c r="CI95" s="228">
        <v>0</v>
      </c>
      <c r="CJ95" s="229">
        <v>0</v>
      </c>
      <c r="CK95" s="228">
        <v>0</v>
      </c>
      <c r="CL95" s="228">
        <v>0</v>
      </c>
      <c r="CM95" s="228">
        <v>0</v>
      </c>
      <c r="CN95" s="229">
        <v>0</v>
      </c>
      <c r="CO95" s="228">
        <v>0</v>
      </c>
      <c r="CP95" s="228">
        <v>0</v>
      </c>
      <c r="CQ95" s="228">
        <v>0</v>
      </c>
      <c r="CR95" s="229">
        <v>0</v>
      </c>
      <c r="CS95" s="228">
        <v>0</v>
      </c>
      <c r="CT95" s="228">
        <v>0</v>
      </c>
      <c r="CU95" s="228">
        <v>0</v>
      </c>
      <c r="CV95" s="229">
        <v>0</v>
      </c>
      <c r="CW95" s="228">
        <v>0</v>
      </c>
      <c r="CX95" s="228">
        <v>0</v>
      </c>
      <c r="CY95" s="228">
        <v>0</v>
      </c>
      <c r="CZ95" s="229">
        <v>0</v>
      </c>
      <c r="DA95" s="228">
        <v>0</v>
      </c>
      <c r="DB95" s="228">
        <v>0</v>
      </c>
      <c r="DC95" s="228">
        <v>0</v>
      </c>
      <c r="DD95" s="228">
        <v>0</v>
      </c>
      <c r="DE95" s="228">
        <v>0</v>
      </c>
      <c r="DF95" s="228">
        <v>0</v>
      </c>
      <c r="DG95" s="228">
        <v>0</v>
      </c>
      <c r="DH95" s="228">
        <v>0</v>
      </c>
      <c r="DI95" s="228">
        <v>0</v>
      </c>
      <c r="DJ95" s="228">
        <v>0</v>
      </c>
      <c r="DK95" s="228">
        <v>0</v>
      </c>
      <c r="DL95" s="228">
        <v>0</v>
      </c>
      <c r="DM95" s="228">
        <v>0</v>
      </c>
      <c r="DN95" s="228">
        <v>0</v>
      </c>
      <c r="DO95" s="228">
        <v>0</v>
      </c>
      <c r="DP95" s="228">
        <v>0</v>
      </c>
      <c r="DQ95" s="228">
        <v>0</v>
      </c>
      <c r="DR95" s="228">
        <v>0</v>
      </c>
      <c r="DS95" s="228">
        <v>0</v>
      </c>
      <c r="DT95" s="229">
        <v>0</v>
      </c>
      <c r="DU95" s="228">
        <v>0</v>
      </c>
      <c r="DV95" s="228">
        <v>0</v>
      </c>
      <c r="DW95" s="228">
        <v>0</v>
      </c>
      <c r="DX95" s="228">
        <v>0</v>
      </c>
      <c r="DY95" s="228">
        <v>0</v>
      </c>
      <c r="DZ95" s="229">
        <v>0</v>
      </c>
      <c r="EA95" s="229">
        <v>0</v>
      </c>
      <c r="EB95" s="228">
        <v>0</v>
      </c>
      <c r="EC95" s="229">
        <v>0</v>
      </c>
      <c r="ED95" s="229">
        <v>0</v>
      </c>
      <c r="EE95" s="228">
        <v>0</v>
      </c>
      <c r="EF95" s="229">
        <v>0</v>
      </c>
      <c r="EG95" s="228">
        <v>0</v>
      </c>
      <c r="EH95" s="228">
        <v>0</v>
      </c>
      <c r="EI95" s="229">
        <v>0</v>
      </c>
      <c r="EJ95" s="229">
        <v>0</v>
      </c>
      <c r="EK95" s="228">
        <v>0</v>
      </c>
      <c r="EL95" s="228">
        <v>0</v>
      </c>
      <c r="EM95" s="228">
        <v>0</v>
      </c>
      <c r="EN95" s="228">
        <v>0</v>
      </c>
      <c r="EO95" s="228">
        <v>0</v>
      </c>
      <c r="EP95" s="228">
        <v>0</v>
      </c>
      <c r="EQ95" s="228">
        <v>0</v>
      </c>
      <c r="ER95" s="229">
        <v>0</v>
      </c>
      <c r="ES95" s="228">
        <v>0</v>
      </c>
      <c r="ET95" s="228">
        <v>0</v>
      </c>
      <c r="EU95" s="228">
        <v>0</v>
      </c>
      <c r="EV95" s="228">
        <v>0</v>
      </c>
      <c r="EW95" s="228">
        <v>0</v>
      </c>
      <c r="EX95" s="228">
        <v>0</v>
      </c>
      <c r="EY95" s="228">
        <v>0</v>
      </c>
      <c r="EZ95" s="229">
        <v>0</v>
      </c>
      <c r="FA95" s="229">
        <v>0</v>
      </c>
      <c r="FB95" s="227" t="s">
        <v>237</v>
      </c>
      <c r="FC95">
        <f t="shared" si="1"/>
        <v>0</v>
      </c>
    </row>
    <row r="96" spans="1:159" ht="17.25" thickBot="1" x14ac:dyDescent="0.3">
      <c r="A96" s="226">
        <v>45936</v>
      </c>
      <c r="B96" s="227" t="s">
        <v>215</v>
      </c>
      <c r="C96" s="227" t="s">
        <v>238</v>
      </c>
      <c r="D96" s="228">
        <v>150</v>
      </c>
      <c r="E96" s="228">
        <v>22</v>
      </c>
      <c r="F96" s="231">
        <v>5715</v>
      </c>
      <c r="G96" s="231">
        <v>5684.5</v>
      </c>
      <c r="H96" s="228">
        <v>30.5</v>
      </c>
      <c r="I96" s="229">
        <v>5.4000000000000003E-3</v>
      </c>
      <c r="J96" s="231">
        <v>5694.5</v>
      </c>
      <c r="K96" s="231">
        <v>5657</v>
      </c>
      <c r="L96" s="228">
        <v>37.5</v>
      </c>
      <c r="M96" s="229">
        <v>6.6E-3</v>
      </c>
      <c r="N96" s="231">
        <v>5715</v>
      </c>
      <c r="O96" s="231">
        <v>5684.5</v>
      </c>
      <c r="P96" s="228">
        <v>30.5</v>
      </c>
      <c r="Q96" s="229">
        <v>5.4000000000000003E-3</v>
      </c>
      <c r="R96" s="231">
        <v>5735</v>
      </c>
      <c r="S96" s="231">
        <v>5704</v>
      </c>
      <c r="T96" s="228">
        <v>31</v>
      </c>
      <c r="U96" s="229">
        <v>5.4000000000000003E-3</v>
      </c>
      <c r="V96" s="231">
        <v>5764</v>
      </c>
      <c r="W96" s="231">
        <v>5731</v>
      </c>
      <c r="X96" s="228">
        <v>33</v>
      </c>
      <c r="Y96" s="229">
        <v>5.7999999999999996E-3</v>
      </c>
      <c r="Z96" s="228">
        <v>20.5</v>
      </c>
      <c r="AA96" s="228">
        <v>27.5</v>
      </c>
      <c r="AB96" s="228">
        <v>-7</v>
      </c>
      <c r="AC96" s="229">
        <v>3.5999999999999999E-3</v>
      </c>
      <c r="AD96" s="228">
        <v>20.5</v>
      </c>
      <c r="AE96" s="228">
        <v>27.5</v>
      </c>
      <c r="AF96" s="228">
        <v>-7</v>
      </c>
      <c r="AG96" s="229">
        <v>3.5999999999999999E-3</v>
      </c>
      <c r="AH96" s="228">
        <v>40.5</v>
      </c>
      <c r="AI96" s="228">
        <v>47</v>
      </c>
      <c r="AJ96" s="228">
        <v>-6.5</v>
      </c>
      <c r="AK96" s="229">
        <v>7.1000000000000004E-3</v>
      </c>
      <c r="AL96" s="228">
        <v>69.5</v>
      </c>
      <c r="AM96" s="228">
        <v>74</v>
      </c>
      <c r="AN96" s="228">
        <v>-4.5</v>
      </c>
      <c r="AO96" s="229">
        <v>1.2200000000000001E-2</v>
      </c>
      <c r="AP96" s="231">
        <v>5681.26</v>
      </c>
      <c r="AQ96" s="231">
        <v>5706.21</v>
      </c>
      <c r="AR96" s="228">
        <v>0</v>
      </c>
      <c r="AS96" s="228">
        <v>385</v>
      </c>
      <c r="AT96" s="228">
        <v>429</v>
      </c>
      <c r="AU96" s="228">
        <v>-43</v>
      </c>
      <c r="AV96" s="229">
        <v>-0.1012</v>
      </c>
      <c r="AW96" s="228">
        <v>369</v>
      </c>
      <c r="AX96" s="228">
        <v>402</v>
      </c>
      <c r="AY96" s="228">
        <v>-33</v>
      </c>
      <c r="AZ96" s="229">
        <v>-8.2100000000000006E-2</v>
      </c>
      <c r="BA96" s="228">
        <v>15</v>
      </c>
      <c r="BB96" s="228">
        <v>23</v>
      </c>
      <c r="BC96" s="228">
        <v>-8</v>
      </c>
      <c r="BD96" s="229">
        <v>-0.34699999999999998</v>
      </c>
      <c r="BE96" s="228">
        <v>1</v>
      </c>
      <c r="BF96" s="228">
        <v>4</v>
      </c>
      <c r="BG96" s="228">
        <v>-2</v>
      </c>
      <c r="BH96" s="229">
        <v>-0.63639999999999997</v>
      </c>
      <c r="BI96" s="230">
        <v>1117</v>
      </c>
      <c r="BJ96" s="230">
        <v>1552</v>
      </c>
      <c r="BK96" s="228">
        <v>-435</v>
      </c>
      <c r="BL96" s="229">
        <v>-0.2802</v>
      </c>
      <c r="BM96" s="228">
        <v>541</v>
      </c>
      <c r="BN96" s="228">
        <v>510</v>
      </c>
      <c r="BO96" s="228">
        <v>31</v>
      </c>
      <c r="BP96" s="229">
        <v>0.06</v>
      </c>
      <c r="BQ96" s="230">
        <v>2044</v>
      </c>
      <c r="BR96" s="230">
        <v>2491</v>
      </c>
      <c r="BS96" s="228">
        <v>-448</v>
      </c>
      <c r="BT96" s="229">
        <v>-0.1797</v>
      </c>
      <c r="BU96" s="230">
        <v>652323</v>
      </c>
      <c r="BV96" s="230">
        <v>873570</v>
      </c>
      <c r="BW96" s="230">
        <v>-221247</v>
      </c>
      <c r="BX96" s="229">
        <v>-0.25330000000000003</v>
      </c>
      <c r="BY96" s="230">
        <v>4685</v>
      </c>
      <c r="BZ96" s="230">
        <v>4738</v>
      </c>
      <c r="CA96" s="228">
        <v>-52</v>
      </c>
      <c r="CB96" s="229">
        <v>-1.11E-2</v>
      </c>
      <c r="CC96" s="230">
        <v>4622</v>
      </c>
      <c r="CD96" s="230">
        <v>4677</v>
      </c>
      <c r="CE96" s="228">
        <v>-54</v>
      </c>
      <c r="CF96" s="229">
        <v>-1.1599999999999999E-2</v>
      </c>
      <c r="CG96" s="228">
        <v>58</v>
      </c>
      <c r="CH96" s="228">
        <v>57</v>
      </c>
      <c r="CI96" s="228">
        <v>2</v>
      </c>
      <c r="CJ96" s="229">
        <v>2.7199999999999998E-2</v>
      </c>
      <c r="CK96" s="228">
        <v>5</v>
      </c>
      <c r="CL96" s="228">
        <v>4</v>
      </c>
      <c r="CM96" s="228">
        <v>0</v>
      </c>
      <c r="CN96" s="229">
        <v>0.08</v>
      </c>
      <c r="CO96" s="228">
        <v>976</v>
      </c>
      <c r="CP96" s="228">
        <v>947</v>
      </c>
      <c r="CQ96" s="228">
        <v>29</v>
      </c>
      <c r="CR96" s="229">
        <v>3.0200000000000001E-2</v>
      </c>
      <c r="CS96" s="228">
        <v>699</v>
      </c>
      <c r="CT96" s="228">
        <v>676</v>
      </c>
      <c r="CU96" s="228">
        <v>23</v>
      </c>
      <c r="CV96" s="229">
        <v>3.3599999999999998E-2</v>
      </c>
      <c r="CW96" s="230">
        <v>6360</v>
      </c>
      <c r="CX96" s="230">
        <v>6361</v>
      </c>
      <c r="CY96" s="228">
        <v>-1</v>
      </c>
      <c r="CZ96" s="229">
        <v>-2.0000000000000001E-4</v>
      </c>
      <c r="DA96" s="228">
        <v>20.41</v>
      </c>
      <c r="DB96" s="228">
        <v>19.829999999999998</v>
      </c>
      <c r="DC96" s="228">
        <v>0.57999999999999996</v>
      </c>
      <c r="DD96" s="228">
        <v>0.57999999999999996</v>
      </c>
      <c r="DE96" s="228">
        <v>33.15</v>
      </c>
      <c r="DF96" s="228">
        <v>33.22</v>
      </c>
      <c r="DG96" s="228">
        <v>-12.74</v>
      </c>
      <c r="DH96" s="228">
        <v>-7.0000000000000007E-2</v>
      </c>
      <c r="DI96" s="228">
        <v>19.82</v>
      </c>
      <c r="DJ96" s="228">
        <v>19.559999999999999</v>
      </c>
      <c r="DK96" s="228">
        <v>0.26</v>
      </c>
      <c r="DL96" s="228">
        <v>0.26</v>
      </c>
      <c r="DM96" s="228">
        <v>21.64</v>
      </c>
      <c r="DN96" s="228">
        <v>20.68</v>
      </c>
      <c r="DO96" s="228">
        <v>0.96</v>
      </c>
      <c r="DP96" s="228">
        <v>0.96</v>
      </c>
      <c r="DQ96" s="228">
        <v>0.72</v>
      </c>
      <c r="DR96" s="228">
        <v>0.71</v>
      </c>
      <c r="DS96" s="228">
        <v>0.01</v>
      </c>
      <c r="DT96" s="229">
        <v>1.41E-2</v>
      </c>
      <c r="DU96" s="231">
        <v>6000</v>
      </c>
      <c r="DV96" s="231">
        <v>5500</v>
      </c>
      <c r="DW96" s="228">
        <v>0.48</v>
      </c>
      <c r="DX96" s="228">
        <v>0.33</v>
      </c>
      <c r="DY96" s="228">
        <v>0.15</v>
      </c>
      <c r="DZ96" s="229">
        <v>0.45450000000000002</v>
      </c>
      <c r="EA96" s="229">
        <v>1.34E-2</v>
      </c>
      <c r="EB96" s="230">
        <v>106800</v>
      </c>
      <c r="EC96" s="229">
        <v>3.5000000000000001E-3</v>
      </c>
      <c r="ED96" s="229">
        <v>1.34E-2</v>
      </c>
      <c r="EE96" s="228">
        <v>24.95</v>
      </c>
      <c r="EF96" s="229">
        <v>4.4000000000000003E-3</v>
      </c>
      <c r="EG96" s="230">
        <v>390617</v>
      </c>
      <c r="EH96" s="230">
        <v>605126</v>
      </c>
      <c r="EI96" s="229">
        <v>-0.35449999999999998</v>
      </c>
      <c r="EJ96" s="229">
        <v>0.5988</v>
      </c>
      <c r="EK96" s="231">
        <v>1148.01</v>
      </c>
      <c r="EL96" s="228">
        <v>527.69000000000005</v>
      </c>
      <c r="EM96" s="228">
        <v>383.05</v>
      </c>
      <c r="EN96" s="228">
        <v>308.14</v>
      </c>
      <c r="EO96" s="231">
        <v>2058.75</v>
      </c>
      <c r="EP96" s="231">
        <v>2520.88</v>
      </c>
      <c r="EQ96" s="228">
        <v>-462.14</v>
      </c>
      <c r="ER96" s="229">
        <v>-0.18329999999999999</v>
      </c>
      <c r="ES96" s="231">
        <v>1001.27</v>
      </c>
      <c r="ET96" s="228">
        <v>686.71</v>
      </c>
      <c r="EU96" s="231">
        <v>4685.63</v>
      </c>
      <c r="EV96" s="231">
        <v>32732860</v>
      </c>
      <c r="EW96" s="231">
        <v>6373.6</v>
      </c>
      <c r="EX96" s="231">
        <v>6348.87</v>
      </c>
      <c r="EY96" s="228">
        <v>24.73</v>
      </c>
      <c r="EZ96" s="229">
        <v>3.8999999999999998E-3</v>
      </c>
      <c r="FA96" s="229">
        <v>0.34</v>
      </c>
      <c r="FB96" s="227" t="s">
        <v>556</v>
      </c>
      <c r="FC96">
        <f t="shared" si="1"/>
        <v>63</v>
      </c>
    </row>
    <row r="97" spans="1:159" ht="17.25" thickBot="1" x14ac:dyDescent="0.3">
      <c r="A97" s="226">
        <v>45936</v>
      </c>
      <c r="B97" s="227" t="s">
        <v>172</v>
      </c>
      <c r="C97" s="227" t="s">
        <v>239</v>
      </c>
      <c r="D97" s="228">
        <v>700</v>
      </c>
      <c r="E97" s="228">
        <v>22</v>
      </c>
      <c r="F97" s="228">
        <v>743.8</v>
      </c>
      <c r="G97" s="228">
        <v>752.3</v>
      </c>
      <c r="H97" s="228">
        <v>-8.5</v>
      </c>
      <c r="I97" s="229">
        <v>-1.1299999999999999E-2</v>
      </c>
      <c r="J97" s="228">
        <v>739.3</v>
      </c>
      <c r="K97" s="228">
        <v>747.4</v>
      </c>
      <c r="L97" s="228">
        <v>-8.1</v>
      </c>
      <c r="M97" s="229">
        <v>-1.0800000000000001E-2</v>
      </c>
      <c r="N97" s="228">
        <v>743.8</v>
      </c>
      <c r="O97" s="228">
        <v>752.3</v>
      </c>
      <c r="P97" s="228">
        <v>-8.5</v>
      </c>
      <c r="Q97" s="229">
        <v>-1.1299999999999999E-2</v>
      </c>
      <c r="R97" s="228">
        <v>747.9</v>
      </c>
      <c r="S97" s="228">
        <v>756.35</v>
      </c>
      <c r="T97" s="228">
        <v>-8.4499999999999993</v>
      </c>
      <c r="U97" s="229">
        <v>-1.12E-2</v>
      </c>
      <c r="V97" s="228">
        <v>752.5</v>
      </c>
      <c r="W97" s="228">
        <v>761.75</v>
      </c>
      <c r="X97" s="228">
        <v>-9.25</v>
      </c>
      <c r="Y97" s="229">
        <v>-1.21E-2</v>
      </c>
      <c r="Z97" s="228">
        <v>4.5</v>
      </c>
      <c r="AA97" s="228">
        <v>4.9000000000000004</v>
      </c>
      <c r="AB97" s="228">
        <v>-0.4</v>
      </c>
      <c r="AC97" s="229">
        <v>6.1000000000000004E-3</v>
      </c>
      <c r="AD97" s="228">
        <v>4.5</v>
      </c>
      <c r="AE97" s="228">
        <v>4.9000000000000004</v>
      </c>
      <c r="AF97" s="228">
        <v>-0.4</v>
      </c>
      <c r="AG97" s="229">
        <v>6.1000000000000004E-3</v>
      </c>
      <c r="AH97" s="228">
        <v>8.6</v>
      </c>
      <c r="AI97" s="228">
        <v>8.9499999999999993</v>
      </c>
      <c r="AJ97" s="228">
        <v>-0.35</v>
      </c>
      <c r="AK97" s="229">
        <v>1.1599999999999999E-2</v>
      </c>
      <c r="AL97" s="228">
        <v>13.2</v>
      </c>
      <c r="AM97" s="228">
        <v>14.35</v>
      </c>
      <c r="AN97" s="228">
        <v>-1.1499999999999999</v>
      </c>
      <c r="AO97" s="229">
        <v>1.7899999999999999E-2</v>
      </c>
      <c r="AP97" s="228">
        <v>748.42</v>
      </c>
      <c r="AQ97" s="228">
        <v>752.85</v>
      </c>
      <c r="AR97" s="228">
        <v>0</v>
      </c>
      <c r="AS97" s="228">
        <v>624</v>
      </c>
      <c r="AT97" s="228">
        <v>487</v>
      </c>
      <c r="AU97" s="228">
        <v>138</v>
      </c>
      <c r="AV97" s="229">
        <v>0.28260000000000002</v>
      </c>
      <c r="AW97" s="228">
        <v>589</v>
      </c>
      <c r="AX97" s="228">
        <v>463</v>
      </c>
      <c r="AY97" s="228">
        <v>125</v>
      </c>
      <c r="AZ97" s="229">
        <v>0.27039999999999997</v>
      </c>
      <c r="BA97" s="228">
        <v>29</v>
      </c>
      <c r="BB97" s="228">
        <v>22</v>
      </c>
      <c r="BC97" s="228">
        <v>7</v>
      </c>
      <c r="BD97" s="229">
        <v>0.3261</v>
      </c>
      <c r="BE97" s="228">
        <v>6</v>
      </c>
      <c r="BF97" s="228">
        <v>1</v>
      </c>
      <c r="BG97" s="228">
        <v>5</v>
      </c>
      <c r="BH97" s="229">
        <v>3.7692000000000001</v>
      </c>
      <c r="BI97" s="230">
        <v>1134</v>
      </c>
      <c r="BJ97" s="228">
        <v>992</v>
      </c>
      <c r="BK97" s="228">
        <v>142</v>
      </c>
      <c r="BL97" s="229">
        <v>0.1431</v>
      </c>
      <c r="BM97" s="228">
        <v>778</v>
      </c>
      <c r="BN97" s="228">
        <v>447</v>
      </c>
      <c r="BO97" s="228">
        <v>331</v>
      </c>
      <c r="BP97" s="229">
        <v>0.74039999999999995</v>
      </c>
      <c r="BQ97" s="230">
        <v>2536</v>
      </c>
      <c r="BR97" s="230">
        <v>1926</v>
      </c>
      <c r="BS97" s="228">
        <v>611</v>
      </c>
      <c r="BT97" s="229">
        <v>0.31709999999999999</v>
      </c>
      <c r="BU97" s="230">
        <v>5277490</v>
      </c>
      <c r="BV97" s="230">
        <v>4254356</v>
      </c>
      <c r="BW97" s="230">
        <v>1023134</v>
      </c>
      <c r="BX97" s="229">
        <v>0.24049999999999999</v>
      </c>
      <c r="BY97" s="230">
        <v>4056</v>
      </c>
      <c r="BZ97" s="230">
        <v>4043</v>
      </c>
      <c r="CA97" s="228">
        <v>13</v>
      </c>
      <c r="CB97" s="229">
        <v>3.3E-3</v>
      </c>
      <c r="CC97" s="230">
        <v>3942</v>
      </c>
      <c r="CD97" s="230">
        <v>3935</v>
      </c>
      <c r="CE97" s="228">
        <v>6</v>
      </c>
      <c r="CF97" s="229">
        <v>1.6000000000000001E-3</v>
      </c>
      <c r="CG97" s="228">
        <v>108</v>
      </c>
      <c r="CH97" s="228">
        <v>105</v>
      </c>
      <c r="CI97" s="228">
        <v>2</v>
      </c>
      <c r="CJ97" s="229">
        <v>2.1299999999999999E-2</v>
      </c>
      <c r="CK97" s="228">
        <v>7</v>
      </c>
      <c r="CL97" s="228">
        <v>2</v>
      </c>
      <c r="CM97" s="228">
        <v>5</v>
      </c>
      <c r="CN97" s="229">
        <v>1.9348000000000001</v>
      </c>
      <c r="CO97" s="228">
        <v>778</v>
      </c>
      <c r="CP97" s="228">
        <v>698</v>
      </c>
      <c r="CQ97" s="228">
        <v>80</v>
      </c>
      <c r="CR97" s="229">
        <v>0.1147</v>
      </c>
      <c r="CS97" s="228">
        <v>768</v>
      </c>
      <c r="CT97" s="228">
        <v>765</v>
      </c>
      <c r="CU97" s="228">
        <v>3</v>
      </c>
      <c r="CV97" s="229">
        <v>4.4000000000000003E-3</v>
      </c>
      <c r="CW97" s="230">
        <v>5603</v>
      </c>
      <c r="CX97" s="230">
        <v>5506</v>
      </c>
      <c r="CY97" s="228">
        <v>97</v>
      </c>
      <c r="CZ97" s="229">
        <v>1.7600000000000001E-2</v>
      </c>
      <c r="DA97" s="228">
        <v>28.97</v>
      </c>
      <c r="DB97" s="228">
        <v>28.26</v>
      </c>
      <c r="DC97" s="228">
        <v>0.71</v>
      </c>
      <c r="DD97" s="228">
        <v>0.71</v>
      </c>
      <c r="DE97" s="228">
        <v>47.94</v>
      </c>
      <c r="DF97" s="228">
        <v>48.03</v>
      </c>
      <c r="DG97" s="228">
        <v>-18.97</v>
      </c>
      <c r="DH97" s="228">
        <v>-0.09</v>
      </c>
      <c r="DI97" s="228">
        <v>28.96</v>
      </c>
      <c r="DJ97" s="228">
        <v>28.16</v>
      </c>
      <c r="DK97" s="228">
        <v>0.8</v>
      </c>
      <c r="DL97" s="228">
        <v>0.8</v>
      </c>
      <c r="DM97" s="228">
        <v>28.98</v>
      </c>
      <c r="DN97" s="228">
        <v>28.49</v>
      </c>
      <c r="DO97" s="228">
        <v>0.49</v>
      </c>
      <c r="DP97" s="228">
        <v>0.49</v>
      </c>
      <c r="DQ97" s="228">
        <v>0.99</v>
      </c>
      <c r="DR97" s="228">
        <v>1.1000000000000001</v>
      </c>
      <c r="DS97" s="228">
        <v>-0.11</v>
      </c>
      <c r="DT97" s="229">
        <v>-0.1</v>
      </c>
      <c r="DU97" s="228">
        <v>750</v>
      </c>
      <c r="DV97" s="228">
        <v>700</v>
      </c>
      <c r="DW97" s="228">
        <v>0.69</v>
      </c>
      <c r="DX97" s="228">
        <v>0.45</v>
      </c>
      <c r="DY97" s="228">
        <v>0.24</v>
      </c>
      <c r="DZ97" s="229">
        <v>0.5333</v>
      </c>
      <c r="EA97" s="229">
        <v>2.8199999999999999E-2</v>
      </c>
      <c r="EB97" s="230">
        <v>1447600</v>
      </c>
      <c r="EC97" s="229">
        <v>5.4999999999999997E-3</v>
      </c>
      <c r="ED97" s="229">
        <v>2.8199999999999999E-2</v>
      </c>
      <c r="EE97" s="228">
        <v>4.43</v>
      </c>
      <c r="EF97" s="229">
        <v>5.8999999999999999E-3</v>
      </c>
      <c r="EG97" s="230">
        <v>2393105</v>
      </c>
      <c r="EH97" s="230">
        <v>2172256</v>
      </c>
      <c r="EI97" s="229">
        <v>0.1017</v>
      </c>
      <c r="EJ97" s="229">
        <v>0.45350000000000001</v>
      </c>
      <c r="EK97" s="231">
        <v>1197.02</v>
      </c>
      <c r="EL97" s="228">
        <v>780.22</v>
      </c>
      <c r="EM97" s="228">
        <v>628.12</v>
      </c>
      <c r="EN97" s="228">
        <v>292.06</v>
      </c>
      <c r="EO97" s="231">
        <v>2605.36</v>
      </c>
      <c r="EP97" s="231">
        <v>1993.21</v>
      </c>
      <c r="EQ97" s="228">
        <v>612.15</v>
      </c>
      <c r="ER97" s="229">
        <v>0.30709999999999998</v>
      </c>
      <c r="ES97" s="228">
        <v>812.63</v>
      </c>
      <c r="ET97" s="228">
        <v>762.52</v>
      </c>
      <c r="EU97" s="231">
        <v>4056.93</v>
      </c>
      <c r="EV97" s="231">
        <v>93805784</v>
      </c>
      <c r="EW97" s="231">
        <v>5632.07</v>
      </c>
      <c r="EX97" s="231">
        <v>5578.32</v>
      </c>
      <c r="EY97" s="228">
        <v>53.75</v>
      </c>
      <c r="EZ97" s="229">
        <v>9.5999999999999992E-3</v>
      </c>
      <c r="FA97" s="229">
        <v>0.80300000000000005</v>
      </c>
      <c r="FB97" s="227" t="s">
        <v>567</v>
      </c>
      <c r="FC97">
        <f t="shared" si="1"/>
        <v>114</v>
      </c>
    </row>
    <row r="98" spans="1:159" ht="17.25" thickBot="1" x14ac:dyDescent="0.3">
      <c r="A98" s="226">
        <v>45936</v>
      </c>
      <c r="B98" s="227" t="s">
        <v>188</v>
      </c>
      <c r="C98" s="227" t="s">
        <v>473</v>
      </c>
      <c r="D98" s="228">
        <v>1700</v>
      </c>
      <c r="E98" s="228">
        <v>22</v>
      </c>
      <c r="F98" s="228">
        <v>355.35</v>
      </c>
      <c r="G98" s="228">
        <v>356</v>
      </c>
      <c r="H98" s="228">
        <v>-0.65</v>
      </c>
      <c r="I98" s="229">
        <v>-1.8E-3</v>
      </c>
      <c r="J98" s="228">
        <v>353.65</v>
      </c>
      <c r="K98" s="228">
        <v>353.1</v>
      </c>
      <c r="L98" s="228">
        <v>0.55000000000000004</v>
      </c>
      <c r="M98" s="229">
        <v>1.6000000000000001E-3</v>
      </c>
      <c r="N98" s="228">
        <v>355.35</v>
      </c>
      <c r="O98" s="228">
        <v>356</v>
      </c>
      <c r="P98" s="228">
        <v>-0.65</v>
      </c>
      <c r="Q98" s="229">
        <v>-1.8E-3</v>
      </c>
      <c r="R98" s="228">
        <v>357.15</v>
      </c>
      <c r="S98" s="228">
        <v>358.9</v>
      </c>
      <c r="T98" s="228">
        <v>-1.75</v>
      </c>
      <c r="U98" s="229">
        <v>-4.8999999999999998E-3</v>
      </c>
      <c r="V98" s="228">
        <v>358.8</v>
      </c>
      <c r="W98" s="228">
        <v>360.85</v>
      </c>
      <c r="X98" s="228">
        <v>-2.0499999999999998</v>
      </c>
      <c r="Y98" s="229">
        <v>-5.7000000000000002E-3</v>
      </c>
      <c r="Z98" s="228">
        <v>1.7</v>
      </c>
      <c r="AA98" s="228">
        <v>2.9</v>
      </c>
      <c r="AB98" s="228">
        <v>-1.2</v>
      </c>
      <c r="AC98" s="229">
        <v>4.7999999999999996E-3</v>
      </c>
      <c r="AD98" s="228">
        <v>1.7</v>
      </c>
      <c r="AE98" s="228">
        <v>2.9</v>
      </c>
      <c r="AF98" s="228">
        <v>-1.2</v>
      </c>
      <c r="AG98" s="229">
        <v>4.7999999999999996E-3</v>
      </c>
      <c r="AH98" s="228">
        <v>3.5</v>
      </c>
      <c r="AI98" s="228">
        <v>5.8</v>
      </c>
      <c r="AJ98" s="228">
        <v>-2.2999999999999998</v>
      </c>
      <c r="AK98" s="229">
        <v>9.9000000000000008E-3</v>
      </c>
      <c r="AL98" s="228">
        <v>5.15</v>
      </c>
      <c r="AM98" s="228">
        <v>7.75</v>
      </c>
      <c r="AN98" s="228">
        <v>-2.6</v>
      </c>
      <c r="AO98" s="229">
        <v>1.46E-2</v>
      </c>
      <c r="AP98" s="228">
        <v>354.25</v>
      </c>
      <c r="AQ98" s="228">
        <v>356.11</v>
      </c>
      <c r="AR98" s="228">
        <v>0</v>
      </c>
      <c r="AS98" s="228">
        <v>343</v>
      </c>
      <c r="AT98" s="228">
        <v>244</v>
      </c>
      <c r="AU98" s="228">
        <v>99</v>
      </c>
      <c r="AV98" s="229">
        <v>0.40799999999999997</v>
      </c>
      <c r="AW98" s="228">
        <v>329</v>
      </c>
      <c r="AX98" s="228">
        <v>234</v>
      </c>
      <c r="AY98" s="228">
        <v>95</v>
      </c>
      <c r="AZ98" s="229">
        <v>0.40510000000000002</v>
      </c>
      <c r="BA98" s="228">
        <v>12</v>
      </c>
      <c r="BB98" s="228">
        <v>9</v>
      </c>
      <c r="BC98" s="228">
        <v>3</v>
      </c>
      <c r="BD98" s="229">
        <v>0.32650000000000001</v>
      </c>
      <c r="BE98" s="228">
        <v>2</v>
      </c>
      <c r="BF98" s="228">
        <v>1</v>
      </c>
      <c r="BG98" s="228">
        <v>2</v>
      </c>
      <c r="BH98" s="229">
        <v>2.3332999999999999</v>
      </c>
      <c r="BI98" s="228">
        <v>865</v>
      </c>
      <c r="BJ98" s="228">
        <v>492</v>
      </c>
      <c r="BK98" s="228">
        <v>373</v>
      </c>
      <c r="BL98" s="229">
        <v>0.75760000000000005</v>
      </c>
      <c r="BM98" s="228">
        <v>348</v>
      </c>
      <c r="BN98" s="228">
        <v>232</v>
      </c>
      <c r="BO98" s="228">
        <v>115</v>
      </c>
      <c r="BP98" s="229">
        <v>0.49659999999999999</v>
      </c>
      <c r="BQ98" s="230">
        <v>1556</v>
      </c>
      <c r="BR98" s="228">
        <v>968</v>
      </c>
      <c r="BS98" s="228">
        <v>588</v>
      </c>
      <c r="BT98" s="229">
        <v>0.60699999999999998</v>
      </c>
      <c r="BU98" s="230">
        <v>3024475</v>
      </c>
      <c r="BV98" s="230">
        <v>2784265</v>
      </c>
      <c r="BW98" s="230">
        <v>240210</v>
      </c>
      <c r="BX98" s="229">
        <v>8.6300000000000002E-2</v>
      </c>
      <c r="BY98" s="230">
        <v>3045</v>
      </c>
      <c r="BZ98" s="230">
        <v>3059</v>
      </c>
      <c r="CA98" s="228">
        <v>-13</v>
      </c>
      <c r="CB98" s="229">
        <v>-4.3E-3</v>
      </c>
      <c r="CC98" s="230">
        <v>3000</v>
      </c>
      <c r="CD98" s="230">
        <v>3017</v>
      </c>
      <c r="CE98" s="228">
        <v>-16</v>
      </c>
      <c r="CF98" s="229">
        <v>-5.4000000000000003E-3</v>
      </c>
      <c r="CG98" s="228">
        <v>43</v>
      </c>
      <c r="CH98" s="228">
        <v>41</v>
      </c>
      <c r="CI98" s="228">
        <v>2</v>
      </c>
      <c r="CJ98" s="229">
        <v>3.6600000000000001E-2</v>
      </c>
      <c r="CK98" s="228">
        <v>2</v>
      </c>
      <c r="CL98" s="228">
        <v>1</v>
      </c>
      <c r="CM98" s="228">
        <v>2</v>
      </c>
      <c r="CN98" s="229">
        <v>2.7</v>
      </c>
      <c r="CO98" s="228">
        <v>611</v>
      </c>
      <c r="CP98" s="228">
        <v>558</v>
      </c>
      <c r="CQ98" s="228">
        <v>53</v>
      </c>
      <c r="CR98" s="229">
        <v>9.5399999999999999E-2</v>
      </c>
      <c r="CS98" s="228">
        <v>426</v>
      </c>
      <c r="CT98" s="228">
        <v>411</v>
      </c>
      <c r="CU98" s="228">
        <v>15</v>
      </c>
      <c r="CV98" s="229">
        <v>3.6700000000000003E-2</v>
      </c>
      <c r="CW98" s="230">
        <v>4083</v>
      </c>
      <c r="CX98" s="230">
        <v>4028</v>
      </c>
      <c r="CY98" s="228">
        <v>55</v>
      </c>
      <c r="CZ98" s="229">
        <v>1.37E-2</v>
      </c>
      <c r="DA98" s="228">
        <v>31.28</v>
      </c>
      <c r="DB98" s="228">
        <v>30.3</v>
      </c>
      <c r="DC98" s="228">
        <v>0.98</v>
      </c>
      <c r="DD98" s="228">
        <v>0.98</v>
      </c>
      <c r="DE98" s="228">
        <v>40.200000000000003</v>
      </c>
      <c r="DF98" s="228">
        <v>40.31</v>
      </c>
      <c r="DG98" s="228">
        <v>-8.92</v>
      </c>
      <c r="DH98" s="228">
        <v>-0.11</v>
      </c>
      <c r="DI98" s="228">
        <v>31.04</v>
      </c>
      <c r="DJ98" s="228">
        <v>29.92</v>
      </c>
      <c r="DK98" s="228">
        <v>1.1200000000000001</v>
      </c>
      <c r="DL98" s="228">
        <v>1.1200000000000001</v>
      </c>
      <c r="DM98" s="228">
        <v>31.89</v>
      </c>
      <c r="DN98" s="228">
        <v>31.12</v>
      </c>
      <c r="DO98" s="228">
        <v>0.77</v>
      </c>
      <c r="DP98" s="228">
        <v>0.77</v>
      </c>
      <c r="DQ98" s="228">
        <v>0.7</v>
      </c>
      <c r="DR98" s="228">
        <v>0.74</v>
      </c>
      <c r="DS98" s="228">
        <v>-0.04</v>
      </c>
      <c r="DT98" s="229">
        <v>-5.4100000000000002E-2</v>
      </c>
      <c r="DU98" s="228">
        <v>400</v>
      </c>
      <c r="DV98" s="228">
        <v>340</v>
      </c>
      <c r="DW98" s="228">
        <v>0.4</v>
      </c>
      <c r="DX98" s="228">
        <v>0.47</v>
      </c>
      <c r="DY98" s="228">
        <v>-7.0000000000000007E-2</v>
      </c>
      <c r="DZ98" s="229">
        <v>-0.1489</v>
      </c>
      <c r="EA98" s="229">
        <v>1.4800000000000001E-2</v>
      </c>
      <c r="EB98" s="230">
        <v>1178100</v>
      </c>
      <c r="EC98" s="229">
        <v>5.1000000000000004E-3</v>
      </c>
      <c r="ED98" s="229">
        <v>1.4800000000000001E-2</v>
      </c>
      <c r="EE98" s="228">
        <v>1.86</v>
      </c>
      <c r="EF98" s="229">
        <v>5.3E-3</v>
      </c>
      <c r="EG98" s="230">
        <v>1235803</v>
      </c>
      <c r="EH98" s="230">
        <v>1489710</v>
      </c>
      <c r="EI98" s="229">
        <v>-0.1704</v>
      </c>
      <c r="EJ98" s="229">
        <v>0.40860000000000002</v>
      </c>
      <c r="EK98" s="228">
        <v>909.82</v>
      </c>
      <c r="EL98" s="228">
        <v>342.88</v>
      </c>
      <c r="EM98" s="228">
        <v>341.96</v>
      </c>
      <c r="EN98" s="228">
        <v>134.71</v>
      </c>
      <c r="EO98" s="231">
        <v>1594.67</v>
      </c>
      <c r="EP98" s="228">
        <v>985.59</v>
      </c>
      <c r="EQ98" s="228">
        <v>609.08000000000004</v>
      </c>
      <c r="ER98" s="229">
        <v>0.61799999999999999</v>
      </c>
      <c r="ES98" s="228">
        <v>638.57000000000005</v>
      </c>
      <c r="ET98" s="228">
        <v>412.43</v>
      </c>
      <c r="EU98" s="231">
        <v>3045.66</v>
      </c>
      <c r="EV98" s="231">
        <v>197705578</v>
      </c>
      <c r="EW98" s="231">
        <v>4096.66</v>
      </c>
      <c r="EX98" s="231">
        <v>4043.93</v>
      </c>
      <c r="EY98" s="228">
        <v>52.73</v>
      </c>
      <c r="EZ98" s="229">
        <v>1.2999999999999999E-2</v>
      </c>
      <c r="FA98" s="229">
        <v>0.58120000000000005</v>
      </c>
      <c r="FB98" s="227" t="s">
        <v>568</v>
      </c>
      <c r="FC98">
        <f t="shared" si="1"/>
        <v>45</v>
      </c>
    </row>
    <row r="99" spans="1:159" ht="17.25" thickBot="1" x14ac:dyDescent="0.3">
      <c r="A99" s="226">
        <v>45936</v>
      </c>
      <c r="B99" s="227" t="s">
        <v>221</v>
      </c>
      <c r="C99" s="227" t="s">
        <v>240</v>
      </c>
      <c r="D99" s="228">
        <v>400</v>
      </c>
      <c r="E99" s="228">
        <v>22</v>
      </c>
      <c r="F99" s="231">
        <v>1471.1</v>
      </c>
      <c r="G99" s="231">
        <v>1442.3</v>
      </c>
      <c r="H99" s="228">
        <v>28.8</v>
      </c>
      <c r="I99" s="229">
        <v>0.02</v>
      </c>
      <c r="J99" s="231">
        <v>1476</v>
      </c>
      <c r="K99" s="231">
        <v>1446.6</v>
      </c>
      <c r="L99" s="228">
        <v>29.4</v>
      </c>
      <c r="M99" s="229">
        <v>2.0299999999999999E-2</v>
      </c>
      <c r="N99" s="231">
        <v>1471.1</v>
      </c>
      <c r="O99" s="231">
        <v>1442.3</v>
      </c>
      <c r="P99" s="228">
        <v>28.8</v>
      </c>
      <c r="Q99" s="229">
        <v>0.02</v>
      </c>
      <c r="R99" s="231">
        <v>1461.4</v>
      </c>
      <c r="S99" s="231">
        <v>1434.7</v>
      </c>
      <c r="T99" s="228">
        <v>26.7</v>
      </c>
      <c r="U99" s="229">
        <v>1.8599999999999998E-2</v>
      </c>
      <c r="V99" s="231">
        <v>1467.2</v>
      </c>
      <c r="W99" s="231">
        <v>1441</v>
      </c>
      <c r="X99" s="228">
        <v>26.2</v>
      </c>
      <c r="Y99" s="229">
        <v>1.8200000000000001E-2</v>
      </c>
      <c r="Z99" s="228">
        <v>-4.9000000000000004</v>
      </c>
      <c r="AA99" s="228">
        <v>-4.3</v>
      </c>
      <c r="AB99" s="228">
        <v>-0.6</v>
      </c>
      <c r="AC99" s="229">
        <v>-3.3E-3</v>
      </c>
      <c r="AD99" s="228">
        <v>-4.9000000000000004</v>
      </c>
      <c r="AE99" s="228">
        <v>-4.3</v>
      </c>
      <c r="AF99" s="228">
        <v>-0.6</v>
      </c>
      <c r="AG99" s="229">
        <v>-3.3E-3</v>
      </c>
      <c r="AH99" s="228">
        <v>-14.6</v>
      </c>
      <c r="AI99" s="228">
        <v>-11.9</v>
      </c>
      <c r="AJ99" s="228">
        <v>-2.7</v>
      </c>
      <c r="AK99" s="229">
        <v>-9.9000000000000008E-3</v>
      </c>
      <c r="AL99" s="228">
        <v>-8.8000000000000007</v>
      </c>
      <c r="AM99" s="228">
        <v>-5.6</v>
      </c>
      <c r="AN99" s="228">
        <v>-3.2</v>
      </c>
      <c r="AO99" s="229">
        <v>-6.0000000000000001E-3</v>
      </c>
      <c r="AP99" s="231">
        <v>1459.66</v>
      </c>
      <c r="AQ99" s="231">
        <v>1451.31</v>
      </c>
      <c r="AR99" s="228">
        <v>0</v>
      </c>
      <c r="AS99" s="230">
        <v>1680</v>
      </c>
      <c r="AT99" s="228">
        <v>986</v>
      </c>
      <c r="AU99" s="228">
        <v>694</v>
      </c>
      <c r="AV99" s="229">
        <v>0.70369999999999999</v>
      </c>
      <c r="AW99" s="230">
        <v>1522</v>
      </c>
      <c r="AX99" s="228">
        <v>918</v>
      </c>
      <c r="AY99" s="228">
        <v>604</v>
      </c>
      <c r="AZ99" s="229">
        <v>0.65810000000000002</v>
      </c>
      <c r="BA99" s="228">
        <v>148</v>
      </c>
      <c r="BB99" s="228">
        <v>55</v>
      </c>
      <c r="BC99" s="228">
        <v>93</v>
      </c>
      <c r="BD99" s="229">
        <v>1.704</v>
      </c>
      <c r="BE99" s="228">
        <v>11</v>
      </c>
      <c r="BF99" s="228">
        <v>14</v>
      </c>
      <c r="BG99" s="228">
        <v>-3</v>
      </c>
      <c r="BH99" s="229">
        <v>-0.21609999999999999</v>
      </c>
      <c r="BI99" s="230">
        <v>4013</v>
      </c>
      <c r="BJ99" s="230">
        <v>2141</v>
      </c>
      <c r="BK99" s="230">
        <v>1872</v>
      </c>
      <c r="BL99" s="229">
        <v>0.87450000000000006</v>
      </c>
      <c r="BM99" s="230">
        <v>2011</v>
      </c>
      <c r="BN99" s="230">
        <v>1122</v>
      </c>
      <c r="BO99" s="228">
        <v>889</v>
      </c>
      <c r="BP99" s="229">
        <v>0.7923</v>
      </c>
      <c r="BQ99" s="230">
        <v>7704</v>
      </c>
      <c r="BR99" s="230">
        <v>4249</v>
      </c>
      <c r="BS99" s="230">
        <v>3455</v>
      </c>
      <c r="BT99" s="229">
        <v>0.81310000000000004</v>
      </c>
      <c r="BU99" s="230">
        <v>4709117</v>
      </c>
      <c r="BV99" s="230">
        <v>7016992</v>
      </c>
      <c r="BW99" s="230">
        <v>-2307875</v>
      </c>
      <c r="BX99" s="229">
        <v>-0.32890000000000003</v>
      </c>
      <c r="BY99" s="230">
        <v>9075</v>
      </c>
      <c r="BZ99" s="230">
        <v>9005</v>
      </c>
      <c r="CA99" s="228">
        <v>70</v>
      </c>
      <c r="CB99" s="229">
        <v>7.7999999999999996E-3</v>
      </c>
      <c r="CC99" s="230">
        <v>6146</v>
      </c>
      <c r="CD99" s="230">
        <v>6116</v>
      </c>
      <c r="CE99" s="228">
        <v>29</v>
      </c>
      <c r="CF99" s="229">
        <v>4.7999999999999996E-3</v>
      </c>
      <c r="CG99" s="230">
        <v>2913</v>
      </c>
      <c r="CH99" s="230">
        <v>2873</v>
      </c>
      <c r="CI99" s="228">
        <v>40</v>
      </c>
      <c r="CJ99" s="229">
        <v>1.41E-2</v>
      </c>
      <c r="CK99" s="228">
        <v>16</v>
      </c>
      <c r="CL99" s="228">
        <v>16</v>
      </c>
      <c r="CM99" s="228">
        <v>0</v>
      </c>
      <c r="CN99" s="229">
        <v>7.4999999999999997E-3</v>
      </c>
      <c r="CO99" s="230">
        <v>2480</v>
      </c>
      <c r="CP99" s="230">
        <v>2522</v>
      </c>
      <c r="CQ99" s="228">
        <v>-41</v>
      </c>
      <c r="CR99" s="229">
        <v>-1.6500000000000001E-2</v>
      </c>
      <c r="CS99" s="230">
        <v>2192</v>
      </c>
      <c r="CT99" s="230">
        <v>2214</v>
      </c>
      <c r="CU99" s="228">
        <v>-21</v>
      </c>
      <c r="CV99" s="229">
        <v>-9.5999999999999992E-3</v>
      </c>
      <c r="CW99" s="230">
        <v>13747</v>
      </c>
      <c r="CX99" s="230">
        <v>13740</v>
      </c>
      <c r="CY99" s="228">
        <v>7</v>
      </c>
      <c r="CZ99" s="229">
        <v>5.0000000000000001E-4</v>
      </c>
      <c r="DA99" s="228">
        <v>27.34</v>
      </c>
      <c r="DB99" s="228">
        <v>27.19</v>
      </c>
      <c r="DC99" s="228">
        <v>0.15</v>
      </c>
      <c r="DD99" s="228">
        <v>0.15</v>
      </c>
      <c r="DE99" s="228">
        <v>29.51</v>
      </c>
      <c r="DF99" s="228">
        <v>29.45</v>
      </c>
      <c r="DG99" s="228">
        <v>-2.17</v>
      </c>
      <c r="DH99" s="228">
        <v>0.06</v>
      </c>
      <c r="DI99" s="228">
        <v>27</v>
      </c>
      <c r="DJ99" s="228">
        <v>27.22</v>
      </c>
      <c r="DK99" s="228">
        <v>-0.22</v>
      </c>
      <c r="DL99" s="228">
        <v>-0.22</v>
      </c>
      <c r="DM99" s="228">
        <v>28.03</v>
      </c>
      <c r="DN99" s="228">
        <v>27.14</v>
      </c>
      <c r="DO99" s="228">
        <v>0.89</v>
      </c>
      <c r="DP99" s="228">
        <v>0.89</v>
      </c>
      <c r="DQ99" s="228">
        <v>0.88</v>
      </c>
      <c r="DR99" s="228">
        <v>0.88</v>
      </c>
      <c r="DS99" s="228">
        <v>0</v>
      </c>
      <c r="DT99" s="229">
        <v>0</v>
      </c>
      <c r="DU99" s="231">
        <v>1500</v>
      </c>
      <c r="DV99" s="231">
        <v>1500</v>
      </c>
      <c r="DW99" s="228">
        <v>0.5</v>
      </c>
      <c r="DX99" s="228">
        <v>0.52</v>
      </c>
      <c r="DY99" s="228">
        <v>-0.02</v>
      </c>
      <c r="DZ99" s="229">
        <v>-3.85E-2</v>
      </c>
      <c r="EA99" s="229">
        <v>0.32279999999999998</v>
      </c>
      <c r="EB99" s="230">
        <v>19634800</v>
      </c>
      <c r="EC99" s="229">
        <v>-6.6E-3</v>
      </c>
      <c r="ED99" s="229">
        <v>0.32279999999999998</v>
      </c>
      <c r="EE99" s="228">
        <v>-8.35</v>
      </c>
      <c r="EF99" s="229">
        <v>-5.7000000000000002E-3</v>
      </c>
      <c r="EG99" s="230">
        <v>2687853</v>
      </c>
      <c r="EH99" s="230">
        <v>4550091</v>
      </c>
      <c r="EI99" s="229">
        <v>-0.4093</v>
      </c>
      <c r="EJ99" s="229">
        <v>0.57079999999999997</v>
      </c>
      <c r="EK99" s="231">
        <v>4187.53</v>
      </c>
      <c r="EL99" s="231">
        <v>1956.69</v>
      </c>
      <c r="EM99" s="231">
        <v>1666.4</v>
      </c>
      <c r="EN99" s="228">
        <v>512.69000000000005</v>
      </c>
      <c r="EO99" s="231">
        <v>7810.62</v>
      </c>
      <c r="EP99" s="231">
        <v>4262.66</v>
      </c>
      <c r="EQ99" s="231">
        <v>3547.96</v>
      </c>
      <c r="ER99" s="229">
        <v>0.83230000000000004</v>
      </c>
      <c r="ES99" s="231">
        <v>2591.08</v>
      </c>
      <c r="ET99" s="231">
        <v>2137.34</v>
      </c>
      <c r="EU99" s="231">
        <v>9055.3799999999992</v>
      </c>
      <c r="EV99" s="231">
        <v>341789333</v>
      </c>
      <c r="EW99" s="231">
        <v>13783.8</v>
      </c>
      <c r="EX99" s="231">
        <v>13595.09</v>
      </c>
      <c r="EY99" s="228">
        <v>188.71</v>
      </c>
      <c r="EZ99" s="229">
        <v>1.3899999999999999E-2</v>
      </c>
      <c r="FA99" s="229">
        <v>0.27339999999999998</v>
      </c>
      <c r="FB99" s="227" t="s">
        <v>555</v>
      </c>
      <c r="FC99">
        <f t="shared" si="1"/>
        <v>2929</v>
      </c>
    </row>
    <row r="100" spans="1:159" ht="17.25" thickBot="1" x14ac:dyDescent="0.3">
      <c r="A100" s="226">
        <v>45936</v>
      </c>
      <c r="B100" s="227" t="s">
        <v>161</v>
      </c>
      <c r="C100" s="227" t="s">
        <v>671</v>
      </c>
      <c r="D100" s="228">
        <v>3272</v>
      </c>
      <c r="E100" s="228">
        <v>22</v>
      </c>
      <c r="F100" s="228">
        <v>140.16</v>
      </c>
      <c r="G100" s="228">
        <v>142.43</v>
      </c>
      <c r="H100" s="228">
        <v>-2.27</v>
      </c>
      <c r="I100" s="229">
        <v>-1.5900000000000001E-2</v>
      </c>
      <c r="J100" s="228">
        <v>139.38</v>
      </c>
      <c r="K100" s="228">
        <v>141.37</v>
      </c>
      <c r="L100" s="228">
        <v>-1.99</v>
      </c>
      <c r="M100" s="229">
        <v>-1.41E-2</v>
      </c>
      <c r="N100" s="228">
        <v>140.16</v>
      </c>
      <c r="O100" s="228">
        <v>142.43</v>
      </c>
      <c r="P100" s="228">
        <v>-2.27</v>
      </c>
      <c r="Q100" s="229">
        <v>-1.5900000000000001E-2</v>
      </c>
      <c r="R100" s="228">
        <v>140.99</v>
      </c>
      <c r="S100" s="228">
        <v>143.31</v>
      </c>
      <c r="T100" s="228">
        <v>-2.3199999999999998</v>
      </c>
      <c r="U100" s="229">
        <v>-1.6199999999999999E-2</v>
      </c>
      <c r="V100" s="228">
        <v>141.63</v>
      </c>
      <c r="W100" s="228">
        <v>143.82</v>
      </c>
      <c r="X100" s="228">
        <v>-2.19</v>
      </c>
      <c r="Y100" s="229">
        <v>-1.52E-2</v>
      </c>
      <c r="Z100" s="228">
        <v>0.78</v>
      </c>
      <c r="AA100" s="228">
        <v>1.06</v>
      </c>
      <c r="AB100" s="228">
        <v>-0.28000000000000003</v>
      </c>
      <c r="AC100" s="229">
        <v>5.5999999999999999E-3</v>
      </c>
      <c r="AD100" s="228">
        <v>0.78</v>
      </c>
      <c r="AE100" s="228">
        <v>1.06</v>
      </c>
      <c r="AF100" s="228">
        <v>-0.28000000000000003</v>
      </c>
      <c r="AG100" s="229">
        <v>5.5999999999999999E-3</v>
      </c>
      <c r="AH100" s="228">
        <v>1.61</v>
      </c>
      <c r="AI100" s="228">
        <v>1.94</v>
      </c>
      <c r="AJ100" s="228">
        <v>-0.33</v>
      </c>
      <c r="AK100" s="229">
        <v>1.1599999999999999E-2</v>
      </c>
      <c r="AL100" s="228">
        <v>2.25</v>
      </c>
      <c r="AM100" s="228">
        <v>2.4500000000000002</v>
      </c>
      <c r="AN100" s="228">
        <v>-0.2</v>
      </c>
      <c r="AO100" s="229">
        <v>1.61E-2</v>
      </c>
      <c r="AP100" s="228">
        <v>140.78</v>
      </c>
      <c r="AQ100" s="228">
        <v>141.46</v>
      </c>
      <c r="AR100" s="228">
        <v>0</v>
      </c>
      <c r="AS100" s="228">
        <v>56</v>
      </c>
      <c r="AT100" s="228">
        <v>67</v>
      </c>
      <c r="AU100" s="228">
        <v>-11</v>
      </c>
      <c r="AV100" s="229">
        <v>-0.1595</v>
      </c>
      <c r="AW100" s="228">
        <v>52</v>
      </c>
      <c r="AX100" s="228">
        <v>64</v>
      </c>
      <c r="AY100" s="228">
        <v>-12</v>
      </c>
      <c r="AZ100" s="229">
        <v>-0.18859999999999999</v>
      </c>
      <c r="BA100" s="228">
        <v>4</v>
      </c>
      <c r="BB100" s="228">
        <v>3</v>
      </c>
      <c r="BC100" s="228">
        <v>1</v>
      </c>
      <c r="BD100" s="229">
        <v>0.29409999999999997</v>
      </c>
      <c r="BE100" s="228">
        <v>1</v>
      </c>
      <c r="BF100" s="228">
        <v>0</v>
      </c>
      <c r="BG100" s="228">
        <v>0</v>
      </c>
      <c r="BH100" s="229">
        <v>2.25</v>
      </c>
      <c r="BI100" s="228">
        <v>92</v>
      </c>
      <c r="BJ100" s="228">
        <v>97</v>
      </c>
      <c r="BK100" s="228">
        <v>-5</v>
      </c>
      <c r="BL100" s="229">
        <v>-5.21E-2</v>
      </c>
      <c r="BM100" s="228">
        <v>31</v>
      </c>
      <c r="BN100" s="228">
        <v>15</v>
      </c>
      <c r="BO100" s="228">
        <v>16</v>
      </c>
      <c r="BP100" s="229">
        <v>1.0548999999999999</v>
      </c>
      <c r="BQ100" s="228">
        <v>179</v>
      </c>
      <c r="BR100" s="228">
        <v>179</v>
      </c>
      <c r="BS100" s="228">
        <v>0</v>
      </c>
      <c r="BT100" s="229">
        <v>8.0000000000000004E-4</v>
      </c>
      <c r="BU100" s="230">
        <v>3845522</v>
      </c>
      <c r="BV100" s="230">
        <v>4343597</v>
      </c>
      <c r="BW100" s="230">
        <v>-498075</v>
      </c>
      <c r="BX100" s="229">
        <v>-0.1147</v>
      </c>
      <c r="BY100" s="228">
        <v>685</v>
      </c>
      <c r="BZ100" s="228">
        <v>670</v>
      </c>
      <c r="CA100" s="228">
        <v>15</v>
      </c>
      <c r="CB100" s="229">
        <v>2.2599999999999999E-2</v>
      </c>
      <c r="CC100" s="228">
        <v>665</v>
      </c>
      <c r="CD100" s="228">
        <v>652</v>
      </c>
      <c r="CE100" s="228">
        <v>13</v>
      </c>
      <c r="CF100" s="229">
        <v>1.9400000000000001E-2</v>
      </c>
      <c r="CG100" s="228">
        <v>19</v>
      </c>
      <c r="CH100" s="228">
        <v>17</v>
      </c>
      <c r="CI100" s="228">
        <v>2</v>
      </c>
      <c r="CJ100" s="229">
        <v>0.1168</v>
      </c>
      <c r="CK100" s="228">
        <v>1</v>
      </c>
      <c r="CL100" s="228">
        <v>1</v>
      </c>
      <c r="CM100" s="228">
        <v>1</v>
      </c>
      <c r="CN100" s="229">
        <v>1</v>
      </c>
      <c r="CO100" s="228">
        <v>190</v>
      </c>
      <c r="CP100" s="228">
        <v>164</v>
      </c>
      <c r="CQ100" s="228">
        <v>26</v>
      </c>
      <c r="CR100" s="229">
        <v>0.15629999999999999</v>
      </c>
      <c r="CS100" s="228">
        <v>105</v>
      </c>
      <c r="CT100" s="228">
        <v>96</v>
      </c>
      <c r="CU100" s="228">
        <v>9</v>
      </c>
      <c r="CV100" s="229">
        <v>9.2399999999999996E-2</v>
      </c>
      <c r="CW100" s="228">
        <v>980</v>
      </c>
      <c r="CX100" s="228">
        <v>930</v>
      </c>
      <c r="CY100" s="228">
        <v>50</v>
      </c>
      <c r="CZ100" s="229">
        <v>5.3400000000000003E-2</v>
      </c>
      <c r="DA100" s="228">
        <v>36.31</v>
      </c>
      <c r="DB100" s="228">
        <v>34.229999999999997</v>
      </c>
      <c r="DC100" s="228">
        <v>2.08</v>
      </c>
      <c r="DD100" s="228">
        <v>2.08</v>
      </c>
      <c r="DE100" s="228">
        <v>57.47</v>
      </c>
      <c r="DF100" s="228">
        <v>57.58</v>
      </c>
      <c r="DG100" s="228">
        <v>-21.16</v>
      </c>
      <c r="DH100" s="228">
        <v>-0.11</v>
      </c>
      <c r="DI100" s="228">
        <v>36.630000000000003</v>
      </c>
      <c r="DJ100" s="228">
        <v>34.340000000000003</v>
      </c>
      <c r="DK100" s="228">
        <v>2.29</v>
      </c>
      <c r="DL100" s="228">
        <v>2.29</v>
      </c>
      <c r="DM100" s="228">
        <v>35.380000000000003</v>
      </c>
      <c r="DN100" s="228">
        <v>33.57</v>
      </c>
      <c r="DO100" s="228">
        <v>1.81</v>
      </c>
      <c r="DP100" s="228">
        <v>1.81</v>
      </c>
      <c r="DQ100" s="228">
        <v>0.55000000000000004</v>
      </c>
      <c r="DR100" s="228">
        <v>0.59</v>
      </c>
      <c r="DS100" s="228">
        <v>-0.04</v>
      </c>
      <c r="DT100" s="229">
        <v>-6.7799999999999999E-2</v>
      </c>
      <c r="DU100" s="228">
        <v>150</v>
      </c>
      <c r="DV100" s="228">
        <v>140</v>
      </c>
      <c r="DW100" s="228">
        <v>0.34</v>
      </c>
      <c r="DX100" s="228">
        <v>0.16</v>
      </c>
      <c r="DY100" s="228">
        <v>0.18</v>
      </c>
      <c r="DZ100" s="229">
        <v>1.125</v>
      </c>
      <c r="EA100" s="229">
        <v>2.9000000000000001E-2</v>
      </c>
      <c r="EB100" s="230">
        <v>1240088</v>
      </c>
      <c r="EC100" s="229">
        <v>5.8999999999999999E-3</v>
      </c>
      <c r="ED100" s="229">
        <v>2.9000000000000001E-2</v>
      </c>
      <c r="EE100" s="228">
        <v>0.68</v>
      </c>
      <c r="EF100" s="229">
        <v>4.7999999999999996E-3</v>
      </c>
      <c r="EG100" s="230">
        <v>1915911</v>
      </c>
      <c r="EH100" s="230">
        <v>2244027</v>
      </c>
      <c r="EI100" s="229">
        <v>-0.1462</v>
      </c>
      <c r="EJ100" s="229">
        <v>0.49819999999999998</v>
      </c>
      <c r="EK100" s="228">
        <v>98.9</v>
      </c>
      <c r="EL100" s="228">
        <v>31.34</v>
      </c>
      <c r="EM100" s="228">
        <v>56.59</v>
      </c>
      <c r="EN100" s="228">
        <v>53.1</v>
      </c>
      <c r="EO100" s="228">
        <v>186.83</v>
      </c>
      <c r="EP100" s="228">
        <v>189.69</v>
      </c>
      <c r="EQ100" s="228">
        <v>-2.86</v>
      </c>
      <c r="ER100" s="229">
        <v>-1.5100000000000001E-2</v>
      </c>
      <c r="ES100" s="228">
        <v>205.75</v>
      </c>
      <c r="ET100" s="228">
        <v>106.29</v>
      </c>
      <c r="EU100" s="228">
        <v>684.91</v>
      </c>
      <c r="EV100" s="231">
        <v>144708707</v>
      </c>
      <c r="EW100" s="228">
        <v>996.94</v>
      </c>
      <c r="EX100" s="228">
        <v>956.81</v>
      </c>
      <c r="EY100" s="228">
        <v>40.130000000000003</v>
      </c>
      <c r="EZ100" s="229">
        <v>4.19E-2</v>
      </c>
      <c r="FA100" s="229">
        <v>0.48320000000000002</v>
      </c>
      <c r="FB100" s="227" t="s">
        <v>567</v>
      </c>
      <c r="FC100">
        <f t="shared" si="1"/>
        <v>20</v>
      </c>
    </row>
    <row r="101" spans="1:159" ht="17.25" thickBot="1" x14ac:dyDescent="0.3">
      <c r="A101" s="226">
        <v>45936</v>
      </c>
      <c r="B101" s="227" t="s">
        <v>193</v>
      </c>
      <c r="C101" s="227" t="s">
        <v>241</v>
      </c>
      <c r="D101" s="228">
        <v>4875</v>
      </c>
      <c r="E101" s="228">
        <v>22</v>
      </c>
      <c r="F101" s="228">
        <v>155.72</v>
      </c>
      <c r="G101" s="228">
        <v>151.32</v>
      </c>
      <c r="H101" s="228">
        <v>4.4000000000000004</v>
      </c>
      <c r="I101" s="229">
        <v>2.9100000000000001E-2</v>
      </c>
      <c r="J101" s="228">
        <v>154.84</v>
      </c>
      <c r="K101" s="228">
        <v>150.38999999999999</v>
      </c>
      <c r="L101" s="228">
        <v>4.45</v>
      </c>
      <c r="M101" s="229">
        <v>2.9600000000000001E-2</v>
      </c>
      <c r="N101" s="228">
        <v>155.72</v>
      </c>
      <c r="O101" s="228">
        <v>151.32</v>
      </c>
      <c r="P101" s="228">
        <v>4.4000000000000004</v>
      </c>
      <c r="Q101" s="229">
        <v>2.9100000000000001E-2</v>
      </c>
      <c r="R101" s="228">
        <v>156.29</v>
      </c>
      <c r="S101" s="228">
        <v>151.9</v>
      </c>
      <c r="T101" s="228">
        <v>4.3899999999999997</v>
      </c>
      <c r="U101" s="229">
        <v>2.8899999999999999E-2</v>
      </c>
      <c r="V101" s="228">
        <v>157.26</v>
      </c>
      <c r="W101" s="228">
        <v>152.86000000000001</v>
      </c>
      <c r="X101" s="228">
        <v>4.4000000000000004</v>
      </c>
      <c r="Y101" s="229">
        <v>2.8799999999999999E-2</v>
      </c>
      <c r="Z101" s="228">
        <v>0.88</v>
      </c>
      <c r="AA101" s="228">
        <v>0.93</v>
      </c>
      <c r="AB101" s="228">
        <v>-0.05</v>
      </c>
      <c r="AC101" s="229">
        <v>5.7000000000000002E-3</v>
      </c>
      <c r="AD101" s="228">
        <v>0.88</v>
      </c>
      <c r="AE101" s="228">
        <v>0.93</v>
      </c>
      <c r="AF101" s="228">
        <v>-0.05</v>
      </c>
      <c r="AG101" s="229">
        <v>5.7000000000000002E-3</v>
      </c>
      <c r="AH101" s="228">
        <v>1.45</v>
      </c>
      <c r="AI101" s="228">
        <v>1.51</v>
      </c>
      <c r="AJ101" s="228">
        <v>-0.06</v>
      </c>
      <c r="AK101" s="229">
        <v>9.4000000000000004E-3</v>
      </c>
      <c r="AL101" s="228">
        <v>2.42</v>
      </c>
      <c r="AM101" s="228">
        <v>2.4700000000000002</v>
      </c>
      <c r="AN101" s="228">
        <v>-0.05</v>
      </c>
      <c r="AO101" s="229">
        <v>1.5599999999999999E-2</v>
      </c>
      <c r="AP101" s="228">
        <v>154.15</v>
      </c>
      <c r="AQ101" s="228">
        <v>154.56</v>
      </c>
      <c r="AR101" s="228">
        <v>0</v>
      </c>
      <c r="AS101" s="228">
        <v>440</v>
      </c>
      <c r="AT101" s="228">
        <v>188</v>
      </c>
      <c r="AU101" s="228">
        <v>252</v>
      </c>
      <c r="AV101" s="229">
        <v>1.3433999999999999</v>
      </c>
      <c r="AW101" s="228">
        <v>413</v>
      </c>
      <c r="AX101" s="228">
        <v>171</v>
      </c>
      <c r="AY101" s="228">
        <v>242</v>
      </c>
      <c r="AZ101" s="229">
        <v>1.4194</v>
      </c>
      <c r="BA101" s="228">
        <v>23</v>
      </c>
      <c r="BB101" s="228">
        <v>15</v>
      </c>
      <c r="BC101" s="228">
        <v>8</v>
      </c>
      <c r="BD101" s="229">
        <v>0.54269999999999996</v>
      </c>
      <c r="BE101" s="228">
        <v>4</v>
      </c>
      <c r="BF101" s="228">
        <v>2</v>
      </c>
      <c r="BG101" s="228">
        <v>2</v>
      </c>
      <c r="BH101" s="229">
        <v>0.9667</v>
      </c>
      <c r="BI101" s="230">
        <v>1372</v>
      </c>
      <c r="BJ101" s="228">
        <v>546</v>
      </c>
      <c r="BK101" s="228">
        <v>826</v>
      </c>
      <c r="BL101" s="229">
        <v>1.5142</v>
      </c>
      <c r="BM101" s="228">
        <v>659</v>
      </c>
      <c r="BN101" s="228">
        <v>261</v>
      </c>
      <c r="BO101" s="228">
        <v>399</v>
      </c>
      <c r="BP101" s="229">
        <v>1.53</v>
      </c>
      <c r="BQ101" s="230">
        <v>2471</v>
      </c>
      <c r="BR101" s="228">
        <v>994</v>
      </c>
      <c r="BS101" s="230">
        <v>1477</v>
      </c>
      <c r="BT101" s="229">
        <v>1.4861</v>
      </c>
      <c r="BU101" s="230">
        <v>20534851</v>
      </c>
      <c r="BV101" s="230">
        <v>6527332</v>
      </c>
      <c r="BW101" s="230">
        <v>14007519</v>
      </c>
      <c r="BX101" s="229">
        <v>2.1459999999999999</v>
      </c>
      <c r="BY101" s="230">
        <v>1393</v>
      </c>
      <c r="BZ101" s="230">
        <v>1322</v>
      </c>
      <c r="CA101" s="228">
        <v>71</v>
      </c>
      <c r="CB101" s="229">
        <v>5.33E-2</v>
      </c>
      <c r="CC101" s="230">
        <v>1352</v>
      </c>
      <c r="CD101" s="230">
        <v>1285</v>
      </c>
      <c r="CE101" s="228">
        <v>67</v>
      </c>
      <c r="CF101" s="229">
        <v>5.2299999999999999E-2</v>
      </c>
      <c r="CG101" s="228">
        <v>39</v>
      </c>
      <c r="CH101" s="228">
        <v>36</v>
      </c>
      <c r="CI101" s="228">
        <v>3</v>
      </c>
      <c r="CJ101" s="229">
        <v>7.3800000000000004E-2</v>
      </c>
      <c r="CK101" s="228">
        <v>2</v>
      </c>
      <c r="CL101" s="228">
        <v>2</v>
      </c>
      <c r="CM101" s="228">
        <v>1</v>
      </c>
      <c r="CN101" s="229">
        <v>0.40910000000000002</v>
      </c>
      <c r="CO101" s="228">
        <v>494</v>
      </c>
      <c r="CP101" s="228">
        <v>461</v>
      </c>
      <c r="CQ101" s="228">
        <v>32</v>
      </c>
      <c r="CR101" s="229">
        <v>7.0300000000000001E-2</v>
      </c>
      <c r="CS101" s="228">
        <v>366</v>
      </c>
      <c r="CT101" s="228">
        <v>304</v>
      </c>
      <c r="CU101" s="228">
        <v>62</v>
      </c>
      <c r="CV101" s="229">
        <v>0.2036</v>
      </c>
      <c r="CW101" s="230">
        <v>2252</v>
      </c>
      <c r="CX101" s="230">
        <v>2087</v>
      </c>
      <c r="CY101" s="228">
        <v>165</v>
      </c>
      <c r="CZ101" s="229">
        <v>7.9000000000000001E-2</v>
      </c>
      <c r="DA101" s="228">
        <v>23.35</v>
      </c>
      <c r="DB101" s="228">
        <v>22.17</v>
      </c>
      <c r="DC101" s="228">
        <v>1.18</v>
      </c>
      <c r="DD101" s="228">
        <v>1.18</v>
      </c>
      <c r="DE101" s="228">
        <v>32.42</v>
      </c>
      <c r="DF101" s="228">
        <v>32.270000000000003</v>
      </c>
      <c r="DG101" s="228">
        <v>-9.07</v>
      </c>
      <c r="DH101" s="228">
        <v>0.15</v>
      </c>
      <c r="DI101" s="228">
        <v>23.1</v>
      </c>
      <c r="DJ101" s="228">
        <v>22.19</v>
      </c>
      <c r="DK101" s="228">
        <v>0.91</v>
      </c>
      <c r="DL101" s="228">
        <v>0.91</v>
      </c>
      <c r="DM101" s="228">
        <v>23.85</v>
      </c>
      <c r="DN101" s="228">
        <v>22.14</v>
      </c>
      <c r="DO101" s="228">
        <v>1.71</v>
      </c>
      <c r="DP101" s="228">
        <v>1.71</v>
      </c>
      <c r="DQ101" s="228">
        <v>0.74</v>
      </c>
      <c r="DR101" s="228">
        <v>0.66</v>
      </c>
      <c r="DS101" s="228">
        <v>0.08</v>
      </c>
      <c r="DT101" s="229">
        <v>0.1212</v>
      </c>
      <c r="DU101" s="228">
        <v>150</v>
      </c>
      <c r="DV101" s="228">
        <v>150</v>
      </c>
      <c r="DW101" s="228">
        <v>0.48</v>
      </c>
      <c r="DX101" s="228">
        <v>0.48</v>
      </c>
      <c r="DY101" s="228">
        <v>0</v>
      </c>
      <c r="DZ101" s="229">
        <v>0</v>
      </c>
      <c r="EA101" s="229">
        <v>2.9399999999999999E-2</v>
      </c>
      <c r="EB101" s="230">
        <v>2418000</v>
      </c>
      <c r="EC101" s="229">
        <v>3.7000000000000002E-3</v>
      </c>
      <c r="ED101" s="229">
        <v>2.9399999999999999E-2</v>
      </c>
      <c r="EE101" s="228">
        <v>0.41</v>
      </c>
      <c r="EF101" s="229">
        <v>2.7000000000000001E-3</v>
      </c>
      <c r="EG101" s="230">
        <v>10872278</v>
      </c>
      <c r="EH101" s="230">
        <v>3116081</v>
      </c>
      <c r="EI101" s="229">
        <v>2.4891000000000001</v>
      </c>
      <c r="EJ101" s="229">
        <v>0.52949999999999997</v>
      </c>
      <c r="EK101" s="231">
        <v>1400.05</v>
      </c>
      <c r="EL101" s="228">
        <v>641.78</v>
      </c>
      <c r="EM101" s="228">
        <v>435.97</v>
      </c>
      <c r="EN101" s="228">
        <v>63.2</v>
      </c>
      <c r="EO101" s="231">
        <v>2477.8000000000002</v>
      </c>
      <c r="EP101" s="228">
        <v>981.85</v>
      </c>
      <c r="EQ101" s="231">
        <v>1495.95</v>
      </c>
      <c r="ER101" s="229">
        <v>1.5236000000000001</v>
      </c>
      <c r="ES101" s="228">
        <v>491.59</v>
      </c>
      <c r="ET101" s="228">
        <v>345.7</v>
      </c>
      <c r="EU101" s="231">
        <v>1393.03</v>
      </c>
      <c r="EV101" s="231">
        <v>684903861</v>
      </c>
      <c r="EW101" s="231">
        <v>2230.3200000000002</v>
      </c>
      <c r="EX101" s="231">
        <v>2025.75</v>
      </c>
      <c r="EY101" s="228">
        <v>204.57</v>
      </c>
      <c r="EZ101" s="229">
        <v>0.10100000000000001</v>
      </c>
      <c r="FA101" s="229">
        <v>0.2112</v>
      </c>
      <c r="FB101" s="227" t="s">
        <v>555</v>
      </c>
      <c r="FC101">
        <f t="shared" si="1"/>
        <v>41</v>
      </c>
    </row>
    <row r="102" spans="1:159" ht="17.25" thickBot="1" x14ac:dyDescent="0.3">
      <c r="A102" s="226">
        <v>45936</v>
      </c>
      <c r="B102" s="227" t="s">
        <v>215</v>
      </c>
      <c r="C102" s="227" t="s">
        <v>490</v>
      </c>
      <c r="D102" s="228">
        <v>875</v>
      </c>
      <c r="E102" s="228">
        <v>22</v>
      </c>
      <c r="F102" s="228">
        <v>714.1</v>
      </c>
      <c r="G102" s="228">
        <v>711.75</v>
      </c>
      <c r="H102" s="228">
        <v>2.35</v>
      </c>
      <c r="I102" s="229">
        <v>3.3E-3</v>
      </c>
      <c r="J102" s="228">
        <v>710.25</v>
      </c>
      <c r="K102" s="228">
        <v>707.5</v>
      </c>
      <c r="L102" s="228">
        <v>2.75</v>
      </c>
      <c r="M102" s="229">
        <v>3.8999999999999998E-3</v>
      </c>
      <c r="N102" s="228">
        <v>714.1</v>
      </c>
      <c r="O102" s="228">
        <v>711.75</v>
      </c>
      <c r="P102" s="228">
        <v>2.35</v>
      </c>
      <c r="Q102" s="229">
        <v>3.3E-3</v>
      </c>
      <c r="R102" s="228">
        <v>715.4</v>
      </c>
      <c r="S102" s="228">
        <v>712.65</v>
      </c>
      <c r="T102" s="228">
        <v>2.75</v>
      </c>
      <c r="U102" s="229">
        <v>3.8999999999999998E-3</v>
      </c>
      <c r="V102" s="228">
        <v>719.85</v>
      </c>
      <c r="W102" s="228">
        <v>717.6</v>
      </c>
      <c r="X102" s="228">
        <v>2.25</v>
      </c>
      <c r="Y102" s="229">
        <v>3.0999999999999999E-3</v>
      </c>
      <c r="Z102" s="228">
        <v>3.85</v>
      </c>
      <c r="AA102" s="228">
        <v>4.25</v>
      </c>
      <c r="AB102" s="228">
        <v>-0.4</v>
      </c>
      <c r="AC102" s="229">
        <v>5.4000000000000003E-3</v>
      </c>
      <c r="AD102" s="228">
        <v>3.85</v>
      </c>
      <c r="AE102" s="228">
        <v>4.25</v>
      </c>
      <c r="AF102" s="228">
        <v>-0.4</v>
      </c>
      <c r="AG102" s="229">
        <v>5.4000000000000003E-3</v>
      </c>
      <c r="AH102" s="228">
        <v>5.15</v>
      </c>
      <c r="AI102" s="228">
        <v>5.15</v>
      </c>
      <c r="AJ102" s="228">
        <v>0</v>
      </c>
      <c r="AK102" s="229">
        <v>7.3000000000000001E-3</v>
      </c>
      <c r="AL102" s="228">
        <v>9.6</v>
      </c>
      <c r="AM102" s="228">
        <v>10.1</v>
      </c>
      <c r="AN102" s="228">
        <v>-0.5</v>
      </c>
      <c r="AO102" s="229">
        <v>1.35E-2</v>
      </c>
      <c r="AP102" s="228">
        <v>711.76</v>
      </c>
      <c r="AQ102" s="228">
        <v>713.24</v>
      </c>
      <c r="AR102" s="228">
        <v>0</v>
      </c>
      <c r="AS102" s="228">
        <v>84</v>
      </c>
      <c r="AT102" s="228">
        <v>87</v>
      </c>
      <c r="AU102" s="228">
        <v>-3</v>
      </c>
      <c r="AV102" s="229">
        <v>-3.3799999999999997E-2</v>
      </c>
      <c r="AW102" s="228">
        <v>64</v>
      </c>
      <c r="AX102" s="228">
        <v>68</v>
      </c>
      <c r="AY102" s="228">
        <v>-4</v>
      </c>
      <c r="AZ102" s="229">
        <v>-6.3399999999999998E-2</v>
      </c>
      <c r="BA102" s="228">
        <v>19</v>
      </c>
      <c r="BB102" s="228">
        <v>17</v>
      </c>
      <c r="BC102" s="228">
        <v>2</v>
      </c>
      <c r="BD102" s="229">
        <v>0.15090000000000001</v>
      </c>
      <c r="BE102" s="228">
        <v>1</v>
      </c>
      <c r="BF102" s="228">
        <v>2</v>
      </c>
      <c r="BG102" s="228">
        <v>-1</v>
      </c>
      <c r="BH102" s="229">
        <v>-0.48649999999999999</v>
      </c>
      <c r="BI102" s="228">
        <v>217</v>
      </c>
      <c r="BJ102" s="228">
        <v>218</v>
      </c>
      <c r="BK102" s="228">
        <v>-1</v>
      </c>
      <c r="BL102" s="229">
        <v>-3.2000000000000002E-3</v>
      </c>
      <c r="BM102" s="228">
        <v>75</v>
      </c>
      <c r="BN102" s="228">
        <v>78</v>
      </c>
      <c r="BO102" s="228">
        <v>-3</v>
      </c>
      <c r="BP102" s="229">
        <v>-4.0099999999999997E-2</v>
      </c>
      <c r="BQ102" s="228">
        <v>376</v>
      </c>
      <c r="BR102" s="228">
        <v>383</v>
      </c>
      <c r="BS102" s="228">
        <v>-7</v>
      </c>
      <c r="BT102" s="229">
        <v>-1.7600000000000001E-2</v>
      </c>
      <c r="BU102" s="230">
        <v>572059</v>
      </c>
      <c r="BV102" s="230">
        <v>605668</v>
      </c>
      <c r="BW102" s="230">
        <v>-33609</v>
      </c>
      <c r="BX102" s="229">
        <v>-5.5500000000000001E-2</v>
      </c>
      <c r="BY102" s="230">
        <v>1112</v>
      </c>
      <c r="BZ102" s="230">
        <v>1095</v>
      </c>
      <c r="CA102" s="228">
        <v>17</v>
      </c>
      <c r="CB102" s="229">
        <v>1.52E-2</v>
      </c>
      <c r="CC102" s="230">
        <v>1008</v>
      </c>
      <c r="CD102" s="230">
        <v>1002</v>
      </c>
      <c r="CE102" s="228">
        <v>6</v>
      </c>
      <c r="CF102" s="229">
        <v>6.4000000000000003E-3</v>
      </c>
      <c r="CG102" s="228">
        <v>101</v>
      </c>
      <c r="CH102" s="228">
        <v>91</v>
      </c>
      <c r="CI102" s="228">
        <v>9</v>
      </c>
      <c r="CJ102" s="229">
        <v>0.10349999999999999</v>
      </c>
      <c r="CK102" s="228">
        <v>3</v>
      </c>
      <c r="CL102" s="228">
        <v>2</v>
      </c>
      <c r="CM102" s="228">
        <v>1</v>
      </c>
      <c r="CN102" s="229">
        <v>0.4</v>
      </c>
      <c r="CO102" s="228">
        <v>381</v>
      </c>
      <c r="CP102" s="228">
        <v>353</v>
      </c>
      <c r="CQ102" s="228">
        <v>28</v>
      </c>
      <c r="CR102" s="229">
        <v>7.8600000000000003E-2</v>
      </c>
      <c r="CS102" s="228">
        <v>291</v>
      </c>
      <c r="CT102" s="228">
        <v>279</v>
      </c>
      <c r="CU102" s="228">
        <v>12</v>
      </c>
      <c r="CV102" s="229">
        <v>4.4900000000000002E-2</v>
      </c>
      <c r="CW102" s="230">
        <v>1784</v>
      </c>
      <c r="CX102" s="230">
        <v>1727</v>
      </c>
      <c r="CY102" s="228">
        <v>57</v>
      </c>
      <c r="CZ102" s="229">
        <v>3.3000000000000002E-2</v>
      </c>
      <c r="DA102" s="228">
        <v>20.16</v>
      </c>
      <c r="DB102" s="228">
        <v>20.079999999999998</v>
      </c>
      <c r="DC102" s="228">
        <v>0.08</v>
      </c>
      <c r="DD102" s="228">
        <v>0.08</v>
      </c>
      <c r="DE102" s="228">
        <v>31.43</v>
      </c>
      <c r="DF102" s="228">
        <v>31.5</v>
      </c>
      <c r="DG102" s="228">
        <v>-11.27</v>
      </c>
      <c r="DH102" s="228">
        <v>-7.0000000000000007E-2</v>
      </c>
      <c r="DI102" s="228">
        <v>20.37</v>
      </c>
      <c r="DJ102" s="228">
        <v>20.37</v>
      </c>
      <c r="DK102" s="228">
        <v>0</v>
      </c>
      <c r="DL102" s="228">
        <v>0</v>
      </c>
      <c r="DM102" s="228">
        <v>19.559999999999999</v>
      </c>
      <c r="DN102" s="228">
        <v>19.25</v>
      </c>
      <c r="DO102" s="228">
        <v>0.31</v>
      </c>
      <c r="DP102" s="228">
        <v>0.31</v>
      </c>
      <c r="DQ102" s="228">
        <v>0.76</v>
      </c>
      <c r="DR102" s="228">
        <v>0.79</v>
      </c>
      <c r="DS102" s="228">
        <v>-0.03</v>
      </c>
      <c r="DT102" s="229">
        <v>-3.7999999999999999E-2</v>
      </c>
      <c r="DU102" s="228">
        <v>800</v>
      </c>
      <c r="DV102" s="228">
        <v>700</v>
      </c>
      <c r="DW102" s="228">
        <v>0.34</v>
      </c>
      <c r="DX102" s="228">
        <v>0.36</v>
      </c>
      <c r="DY102" s="228">
        <v>-0.02</v>
      </c>
      <c r="DZ102" s="229">
        <v>-5.5599999999999997E-2</v>
      </c>
      <c r="EA102" s="229">
        <v>9.3200000000000005E-2</v>
      </c>
      <c r="EB102" s="230">
        <v>1307250</v>
      </c>
      <c r="EC102" s="229">
        <v>1.8E-3</v>
      </c>
      <c r="ED102" s="229">
        <v>9.3200000000000005E-2</v>
      </c>
      <c r="EE102" s="228">
        <v>1.48</v>
      </c>
      <c r="EF102" s="229">
        <v>2.0999999999999999E-3</v>
      </c>
      <c r="EG102" s="230">
        <v>285162</v>
      </c>
      <c r="EH102" s="230">
        <v>324208</v>
      </c>
      <c r="EI102" s="229">
        <v>-0.12039999999999999</v>
      </c>
      <c r="EJ102" s="229">
        <v>0.4985</v>
      </c>
      <c r="EK102" s="228">
        <v>224.73</v>
      </c>
      <c r="EL102" s="228">
        <v>74.58</v>
      </c>
      <c r="EM102" s="228">
        <v>83.69</v>
      </c>
      <c r="EN102" s="228">
        <v>62.71</v>
      </c>
      <c r="EO102" s="228">
        <v>383</v>
      </c>
      <c r="EP102" s="228">
        <v>391.26</v>
      </c>
      <c r="EQ102" s="228">
        <v>-8.25</v>
      </c>
      <c r="ER102" s="229">
        <v>-2.1100000000000001E-2</v>
      </c>
      <c r="ES102" s="228">
        <v>398.39</v>
      </c>
      <c r="ET102" s="228">
        <v>292</v>
      </c>
      <c r="EU102" s="231">
        <v>1112.23</v>
      </c>
      <c r="EV102" s="231">
        <v>30082783</v>
      </c>
      <c r="EW102" s="231">
        <v>1802.62</v>
      </c>
      <c r="EX102" s="231">
        <v>1741.34</v>
      </c>
      <c r="EY102" s="228">
        <v>61.28</v>
      </c>
      <c r="EZ102" s="229">
        <v>3.5200000000000002E-2</v>
      </c>
      <c r="FA102" s="229">
        <v>0.83040000000000003</v>
      </c>
      <c r="FB102" s="227" t="s">
        <v>555</v>
      </c>
      <c r="FC102">
        <f t="shared" si="1"/>
        <v>104</v>
      </c>
    </row>
    <row r="103" spans="1:159" ht="17.25" thickBot="1" x14ac:dyDescent="0.3">
      <c r="A103" s="226">
        <v>45936</v>
      </c>
      <c r="B103" s="227" t="s">
        <v>175</v>
      </c>
      <c r="C103" s="227" t="s">
        <v>666</v>
      </c>
      <c r="D103" s="228">
        <v>3450</v>
      </c>
      <c r="E103" s="228">
        <v>22</v>
      </c>
      <c r="F103" s="228">
        <v>150.94999999999999</v>
      </c>
      <c r="G103" s="228">
        <v>154.52000000000001</v>
      </c>
      <c r="H103" s="228">
        <v>-3.57</v>
      </c>
      <c r="I103" s="229">
        <v>-2.3099999999999999E-2</v>
      </c>
      <c r="J103" s="228">
        <v>151.16</v>
      </c>
      <c r="K103" s="228">
        <v>154.09</v>
      </c>
      <c r="L103" s="228">
        <v>-2.93</v>
      </c>
      <c r="M103" s="229">
        <v>-1.9E-2</v>
      </c>
      <c r="N103" s="228">
        <v>150.94999999999999</v>
      </c>
      <c r="O103" s="228">
        <v>154.52000000000001</v>
      </c>
      <c r="P103" s="228">
        <v>-3.57</v>
      </c>
      <c r="Q103" s="229">
        <v>-2.3099999999999999E-2</v>
      </c>
      <c r="R103" s="228">
        <v>150.32</v>
      </c>
      <c r="S103" s="228">
        <v>153.91999999999999</v>
      </c>
      <c r="T103" s="228">
        <v>-3.6</v>
      </c>
      <c r="U103" s="229">
        <v>-2.3400000000000001E-2</v>
      </c>
      <c r="V103" s="228">
        <v>150.06</v>
      </c>
      <c r="W103" s="228">
        <v>153.69</v>
      </c>
      <c r="X103" s="228">
        <v>-3.63</v>
      </c>
      <c r="Y103" s="229">
        <v>-2.3599999999999999E-2</v>
      </c>
      <c r="Z103" s="228">
        <v>-0.21</v>
      </c>
      <c r="AA103" s="228">
        <v>0.43</v>
      </c>
      <c r="AB103" s="228">
        <v>-0.64</v>
      </c>
      <c r="AC103" s="229">
        <v>-1.4E-3</v>
      </c>
      <c r="AD103" s="228">
        <v>-0.21</v>
      </c>
      <c r="AE103" s="228">
        <v>0.43</v>
      </c>
      <c r="AF103" s="228">
        <v>-0.64</v>
      </c>
      <c r="AG103" s="229">
        <v>-1.4E-3</v>
      </c>
      <c r="AH103" s="228">
        <v>-0.84</v>
      </c>
      <c r="AI103" s="228">
        <v>-0.17</v>
      </c>
      <c r="AJ103" s="228">
        <v>-0.67</v>
      </c>
      <c r="AK103" s="229">
        <v>-5.5999999999999999E-3</v>
      </c>
      <c r="AL103" s="228">
        <v>-1.1000000000000001</v>
      </c>
      <c r="AM103" s="228">
        <v>-0.4</v>
      </c>
      <c r="AN103" s="228">
        <v>-0.7</v>
      </c>
      <c r="AO103" s="229">
        <v>-7.3000000000000001E-3</v>
      </c>
      <c r="AP103" s="228">
        <v>151.31</v>
      </c>
      <c r="AQ103" s="228">
        <v>150.38999999999999</v>
      </c>
      <c r="AR103" s="228">
        <v>0</v>
      </c>
      <c r="AS103" s="228">
        <v>164</v>
      </c>
      <c r="AT103" s="228">
        <v>193</v>
      </c>
      <c r="AU103" s="228">
        <v>-29</v>
      </c>
      <c r="AV103" s="229">
        <v>-0.14949999999999999</v>
      </c>
      <c r="AW103" s="228">
        <v>128</v>
      </c>
      <c r="AX103" s="228">
        <v>177</v>
      </c>
      <c r="AY103" s="228">
        <v>-49</v>
      </c>
      <c r="AZ103" s="229">
        <v>-0.27800000000000002</v>
      </c>
      <c r="BA103" s="228">
        <v>31</v>
      </c>
      <c r="BB103" s="228">
        <v>12</v>
      </c>
      <c r="BC103" s="228">
        <v>18</v>
      </c>
      <c r="BD103" s="229">
        <v>1.4832000000000001</v>
      </c>
      <c r="BE103" s="228">
        <v>5</v>
      </c>
      <c r="BF103" s="228">
        <v>3</v>
      </c>
      <c r="BG103" s="228">
        <v>2</v>
      </c>
      <c r="BH103" s="229">
        <v>0.6452</v>
      </c>
      <c r="BI103" s="228">
        <v>443</v>
      </c>
      <c r="BJ103" s="228">
        <v>693</v>
      </c>
      <c r="BK103" s="228">
        <v>-250</v>
      </c>
      <c r="BL103" s="229">
        <v>-0.36099999999999999</v>
      </c>
      <c r="BM103" s="228">
        <v>117</v>
      </c>
      <c r="BN103" s="228">
        <v>195</v>
      </c>
      <c r="BO103" s="228">
        <v>-77</v>
      </c>
      <c r="BP103" s="229">
        <v>-0.39629999999999999</v>
      </c>
      <c r="BQ103" s="228">
        <v>725</v>
      </c>
      <c r="BR103" s="230">
        <v>1081</v>
      </c>
      <c r="BS103" s="228">
        <v>-356</v>
      </c>
      <c r="BT103" s="229">
        <v>-0.3296</v>
      </c>
      <c r="BU103" s="230">
        <v>7212088</v>
      </c>
      <c r="BV103" s="230">
        <v>10687109</v>
      </c>
      <c r="BW103" s="230">
        <v>-3475021</v>
      </c>
      <c r="BX103" s="229">
        <v>-0.32519999999999999</v>
      </c>
      <c r="BY103" s="228">
        <v>647</v>
      </c>
      <c r="BZ103" s="228">
        <v>596</v>
      </c>
      <c r="CA103" s="228">
        <v>51</v>
      </c>
      <c r="CB103" s="229">
        <v>8.5699999999999998E-2</v>
      </c>
      <c r="CC103" s="228">
        <v>570</v>
      </c>
      <c r="CD103" s="228">
        <v>534</v>
      </c>
      <c r="CE103" s="228">
        <v>36</v>
      </c>
      <c r="CF103" s="229">
        <v>6.6500000000000004E-2</v>
      </c>
      <c r="CG103" s="228">
        <v>69</v>
      </c>
      <c r="CH103" s="228">
        <v>56</v>
      </c>
      <c r="CI103" s="228">
        <v>12</v>
      </c>
      <c r="CJ103" s="229">
        <v>0.22220000000000001</v>
      </c>
      <c r="CK103" s="228">
        <v>8</v>
      </c>
      <c r="CL103" s="228">
        <v>5</v>
      </c>
      <c r="CM103" s="228">
        <v>3</v>
      </c>
      <c r="CN103" s="229">
        <v>0.59179999999999999</v>
      </c>
      <c r="CO103" s="228">
        <v>422</v>
      </c>
      <c r="CP103" s="228">
        <v>351</v>
      </c>
      <c r="CQ103" s="228">
        <v>71</v>
      </c>
      <c r="CR103" s="229">
        <v>0.2024</v>
      </c>
      <c r="CS103" s="228">
        <v>176</v>
      </c>
      <c r="CT103" s="228">
        <v>149</v>
      </c>
      <c r="CU103" s="228">
        <v>27</v>
      </c>
      <c r="CV103" s="229">
        <v>0.1807</v>
      </c>
      <c r="CW103" s="230">
        <v>1244</v>
      </c>
      <c r="CX103" s="230">
        <v>1095</v>
      </c>
      <c r="CY103" s="228">
        <v>149</v>
      </c>
      <c r="CZ103" s="229">
        <v>0.13600000000000001</v>
      </c>
      <c r="DA103" s="228">
        <v>38</v>
      </c>
      <c r="DB103" s="228">
        <v>35.590000000000003</v>
      </c>
      <c r="DC103" s="228">
        <v>2.41</v>
      </c>
      <c r="DD103" s="228">
        <v>2.41</v>
      </c>
      <c r="DE103" s="228">
        <v>53.04</v>
      </c>
      <c r="DF103" s="228">
        <v>53.08</v>
      </c>
      <c r="DG103" s="228">
        <v>-15.04</v>
      </c>
      <c r="DH103" s="228">
        <v>-0.04</v>
      </c>
      <c r="DI103" s="228">
        <v>38.39</v>
      </c>
      <c r="DJ103" s="228">
        <v>35.61</v>
      </c>
      <c r="DK103" s="228">
        <v>2.78</v>
      </c>
      <c r="DL103" s="228">
        <v>2.78</v>
      </c>
      <c r="DM103" s="228">
        <v>36.549999999999997</v>
      </c>
      <c r="DN103" s="228">
        <v>35.51</v>
      </c>
      <c r="DO103" s="228">
        <v>1.04</v>
      </c>
      <c r="DP103" s="228">
        <v>1.04</v>
      </c>
      <c r="DQ103" s="228">
        <v>0.42</v>
      </c>
      <c r="DR103" s="228">
        <v>0.42</v>
      </c>
      <c r="DS103" s="228">
        <v>0</v>
      </c>
      <c r="DT103" s="229">
        <v>0</v>
      </c>
      <c r="DU103" s="228">
        <v>160</v>
      </c>
      <c r="DV103" s="228">
        <v>150</v>
      </c>
      <c r="DW103" s="228">
        <v>0.27</v>
      </c>
      <c r="DX103" s="228">
        <v>0.28000000000000003</v>
      </c>
      <c r="DY103" s="228">
        <v>-0.01</v>
      </c>
      <c r="DZ103" s="229">
        <v>-3.5700000000000003E-2</v>
      </c>
      <c r="EA103" s="229">
        <v>0.11890000000000001</v>
      </c>
      <c r="EB103" s="230">
        <v>4064100</v>
      </c>
      <c r="EC103" s="229">
        <v>-4.1999999999999997E-3</v>
      </c>
      <c r="ED103" s="229">
        <v>0.11890000000000001</v>
      </c>
      <c r="EE103" s="228">
        <v>-0.92</v>
      </c>
      <c r="EF103" s="229">
        <v>-6.1000000000000004E-3</v>
      </c>
      <c r="EG103" s="230">
        <v>2475727</v>
      </c>
      <c r="EH103" s="230">
        <v>2886411</v>
      </c>
      <c r="EI103" s="229">
        <v>-0.14230000000000001</v>
      </c>
      <c r="EJ103" s="229">
        <v>0.34329999999999999</v>
      </c>
      <c r="EK103" s="228">
        <v>478.8</v>
      </c>
      <c r="EL103" s="228">
        <v>119.48</v>
      </c>
      <c r="EM103" s="228">
        <v>164.33</v>
      </c>
      <c r="EN103" s="228">
        <v>62.48</v>
      </c>
      <c r="EO103" s="228">
        <v>762.61</v>
      </c>
      <c r="EP103" s="231">
        <v>1149.74</v>
      </c>
      <c r="EQ103" s="228">
        <v>-387.14</v>
      </c>
      <c r="ER103" s="229">
        <v>-0.3367</v>
      </c>
      <c r="ES103" s="228">
        <v>453.26</v>
      </c>
      <c r="ET103" s="228">
        <v>174.7</v>
      </c>
      <c r="EU103" s="228">
        <v>646.26</v>
      </c>
      <c r="EV103" s="231">
        <v>119011160</v>
      </c>
      <c r="EW103" s="231">
        <v>1274.22</v>
      </c>
      <c r="EX103" s="231">
        <v>1136.1500000000001</v>
      </c>
      <c r="EY103" s="228">
        <v>138.07</v>
      </c>
      <c r="EZ103" s="229">
        <v>0.1215</v>
      </c>
      <c r="FA103" s="229">
        <v>0.69240000000000002</v>
      </c>
      <c r="FB103" s="227" t="s">
        <v>567</v>
      </c>
      <c r="FC103">
        <f t="shared" si="1"/>
        <v>77</v>
      </c>
    </row>
    <row r="104" spans="1:159" ht="17.25" thickBot="1" x14ac:dyDescent="0.3">
      <c r="A104" s="226">
        <v>45936</v>
      </c>
      <c r="B104" s="227" t="s">
        <v>215</v>
      </c>
      <c r="C104" s="227" t="s">
        <v>593</v>
      </c>
      <c r="D104" s="228">
        <v>4250</v>
      </c>
      <c r="E104" s="228">
        <v>22</v>
      </c>
      <c r="F104" s="228">
        <v>126.01</v>
      </c>
      <c r="G104" s="228">
        <v>126.69</v>
      </c>
      <c r="H104" s="228">
        <v>-0.68</v>
      </c>
      <c r="I104" s="229">
        <v>-5.4000000000000003E-3</v>
      </c>
      <c r="J104" s="228">
        <v>125.24</v>
      </c>
      <c r="K104" s="228">
        <v>125.85</v>
      </c>
      <c r="L104" s="228">
        <v>-0.61</v>
      </c>
      <c r="M104" s="229">
        <v>-4.7999999999999996E-3</v>
      </c>
      <c r="N104" s="228">
        <v>126.01</v>
      </c>
      <c r="O104" s="228">
        <v>126.69</v>
      </c>
      <c r="P104" s="228">
        <v>-0.68</v>
      </c>
      <c r="Q104" s="229">
        <v>-5.4000000000000003E-3</v>
      </c>
      <c r="R104" s="228">
        <v>126.06</v>
      </c>
      <c r="S104" s="228">
        <v>126.8</v>
      </c>
      <c r="T104" s="228">
        <v>-0.74</v>
      </c>
      <c r="U104" s="229">
        <v>-5.7999999999999996E-3</v>
      </c>
      <c r="V104" s="228">
        <v>126.23</v>
      </c>
      <c r="W104" s="228">
        <v>126.82</v>
      </c>
      <c r="X104" s="228">
        <v>-0.59</v>
      </c>
      <c r="Y104" s="229">
        <v>-4.7000000000000002E-3</v>
      </c>
      <c r="Z104" s="228">
        <v>0.77</v>
      </c>
      <c r="AA104" s="228">
        <v>0.84</v>
      </c>
      <c r="AB104" s="228">
        <v>-7.0000000000000007E-2</v>
      </c>
      <c r="AC104" s="229">
        <v>6.1000000000000004E-3</v>
      </c>
      <c r="AD104" s="228">
        <v>0.77</v>
      </c>
      <c r="AE104" s="228">
        <v>0.84</v>
      </c>
      <c r="AF104" s="228">
        <v>-7.0000000000000007E-2</v>
      </c>
      <c r="AG104" s="229">
        <v>6.1000000000000004E-3</v>
      </c>
      <c r="AH104" s="228">
        <v>0.82</v>
      </c>
      <c r="AI104" s="228">
        <v>0.95</v>
      </c>
      <c r="AJ104" s="228">
        <v>-0.13</v>
      </c>
      <c r="AK104" s="229">
        <v>6.4999999999999997E-3</v>
      </c>
      <c r="AL104" s="228">
        <v>0.99</v>
      </c>
      <c r="AM104" s="228">
        <v>0.97</v>
      </c>
      <c r="AN104" s="228">
        <v>0.02</v>
      </c>
      <c r="AO104" s="229">
        <v>7.9000000000000008E-3</v>
      </c>
      <c r="AP104" s="228">
        <v>125.87</v>
      </c>
      <c r="AQ104" s="228">
        <v>125.93</v>
      </c>
      <c r="AR104" s="228">
        <v>0</v>
      </c>
      <c r="AS104" s="228">
        <v>52</v>
      </c>
      <c r="AT104" s="228">
        <v>51</v>
      </c>
      <c r="AU104" s="228">
        <v>0</v>
      </c>
      <c r="AV104" s="229">
        <v>5.1999999999999998E-3</v>
      </c>
      <c r="AW104" s="228">
        <v>45</v>
      </c>
      <c r="AX104" s="228">
        <v>45</v>
      </c>
      <c r="AY104" s="228">
        <v>-1</v>
      </c>
      <c r="AZ104" s="229">
        <v>-1.8800000000000001E-2</v>
      </c>
      <c r="BA104" s="228">
        <v>6</v>
      </c>
      <c r="BB104" s="228">
        <v>5</v>
      </c>
      <c r="BC104" s="228">
        <v>1</v>
      </c>
      <c r="BD104" s="229">
        <v>0.21879999999999999</v>
      </c>
      <c r="BE104" s="228">
        <v>1</v>
      </c>
      <c r="BF104" s="228">
        <v>1</v>
      </c>
      <c r="BG104" s="228">
        <v>0</v>
      </c>
      <c r="BH104" s="229">
        <v>0</v>
      </c>
      <c r="BI104" s="228">
        <v>103</v>
      </c>
      <c r="BJ104" s="228">
        <v>117</v>
      </c>
      <c r="BK104" s="228">
        <v>-14</v>
      </c>
      <c r="BL104" s="229">
        <v>-0.122</v>
      </c>
      <c r="BM104" s="228">
        <v>31</v>
      </c>
      <c r="BN104" s="228">
        <v>40</v>
      </c>
      <c r="BO104" s="228">
        <v>-9</v>
      </c>
      <c r="BP104" s="229">
        <v>-0.22620000000000001</v>
      </c>
      <c r="BQ104" s="228">
        <v>185</v>
      </c>
      <c r="BR104" s="228">
        <v>209</v>
      </c>
      <c r="BS104" s="228">
        <v>-23</v>
      </c>
      <c r="BT104" s="229">
        <v>-0.1109</v>
      </c>
      <c r="BU104" s="230">
        <v>5914966</v>
      </c>
      <c r="BV104" s="230">
        <v>6907838</v>
      </c>
      <c r="BW104" s="230">
        <v>-992872</v>
      </c>
      <c r="BX104" s="229">
        <v>-0.14369999999999999</v>
      </c>
      <c r="BY104" s="228">
        <v>504</v>
      </c>
      <c r="BZ104" s="228">
        <v>492</v>
      </c>
      <c r="CA104" s="228">
        <v>12</v>
      </c>
      <c r="CB104" s="229">
        <v>2.4199999999999999E-2</v>
      </c>
      <c r="CC104" s="228">
        <v>454</v>
      </c>
      <c r="CD104" s="228">
        <v>446</v>
      </c>
      <c r="CE104" s="228">
        <v>9</v>
      </c>
      <c r="CF104" s="229">
        <v>1.9300000000000001E-2</v>
      </c>
      <c r="CG104" s="228">
        <v>48</v>
      </c>
      <c r="CH104" s="228">
        <v>45</v>
      </c>
      <c r="CI104" s="228">
        <v>3</v>
      </c>
      <c r="CJ104" s="229">
        <v>6.3E-2</v>
      </c>
      <c r="CK104" s="228">
        <v>2</v>
      </c>
      <c r="CL104" s="228">
        <v>1</v>
      </c>
      <c r="CM104" s="228">
        <v>0</v>
      </c>
      <c r="CN104" s="229">
        <v>0.3478</v>
      </c>
      <c r="CO104" s="228">
        <v>227</v>
      </c>
      <c r="CP104" s="228">
        <v>212</v>
      </c>
      <c r="CQ104" s="228">
        <v>15</v>
      </c>
      <c r="CR104" s="229">
        <v>7.1400000000000005E-2</v>
      </c>
      <c r="CS104" s="228">
        <v>124</v>
      </c>
      <c r="CT104" s="228">
        <v>119</v>
      </c>
      <c r="CU104" s="228">
        <v>5</v>
      </c>
      <c r="CV104" s="229">
        <v>4.3299999999999998E-2</v>
      </c>
      <c r="CW104" s="228">
        <v>855</v>
      </c>
      <c r="CX104" s="228">
        <v>823</v>
      </c>
      <c r="CY104" s="228">
        <v>32</v>
      </c>
      <c r="CZ104" s="229">
        <v>3.9100000000000003E-2</v>
      </c>
      <c r="DA104" s="228">
        <v>30.41</v>
      </c>
      <c r="DB104" s="228">
        <v>29.5</v>
      </c>
      <c r="DC104" s="228">
        <v>0.91</v>
      </c>
      <c r="DD104" s="228">
        <v>0.91</v>
      </c>
      <c r="DE104" s="228">
        <v>48.24</v>
      </c>
      <c r="DF104" s="228">
        <v>48.36</v>
      </c>
      <c r="DG104" s="228">
        <v>-17.829999999999998</v>
      </c>
      <c r="DH104" s="228">
        <v>-0.12</v>
      </c>
      <c r="DI104" s="228">
        <v>30.59</v>
      </c>
      <c r="DJ104" s="228">
        <v>29.74</v>
      </c>
      <c r="DK104" s="228">
        <v>0.85</v>
      </c>
      <c r="DL104" s="228">
        <v>0.85</v>
      </c>
      <c r="DM104" s="228">
        <v>29.85</v>
      </c>
      <c r="DN104" s="228">
        <v>28.81</v>
      </c>
      <c r="DO104" s="228">
        <v>1.04</v>
      </c>
      <c r="DP104" s="228">
        <v>1.04</v>
      </c>
      <c r="DQ104" s="228">
        <v>0.55000000000000004</v>
      </c>
      <c r="DR104" s="228">
        <v>0.56000000000000005</v>
      </c>
      <c r="DS104" s="228">
        <v>-0.01</v>
      </c>
      <c r="DT104" s="229">
        <v>-1.7899999999999999E-2</v>
      </c>
      <c r="DU104" s="228">
        <v>130</v>
      </c>
      <c r="DV104" s="228">
        <v>130</v>
      </c>
      <c r="DW104" s="228">
        <v>0.31</v>
      </c>
      <c r="DX104" s="228">
        <v>0.35</v>
      </c>
      <c r="DY104" s="228">
        <v>-0.04</v>
      </c>
      <c r="DZ104" s="229">
        <v>-0.1143</v>
      </c>
      <c r="EA104" s="229">
        <v>9.8299999999999998E-2</v>
      </c>
      <c r="EB104" s="230">
        <v>3672000</v>
      </c>
      <c r="EC104" s="229">
        <v>4.0000000000000002E-4</v>
      </c>
      <c r="ED104" s="229">
        <v>9.8299999999999998E-2</v>
      </c>
      <c r="EE104" s="228">
        <v>0.06</v>
      </c>
      <c r="EF104" s="229">
        <v>5.0000000000000001E-4</v>
      </c>
      <c r="EG104" s="230">
        <v>2695720</v>
      </c>
      <c r="EH104" s="230">
        <v>2600318</v>
      </c>
      <c r="EI104" s="229">
        <v>3.6700000000000003E-2</v>
      </c>
      <c r="EJ104" s="229">
        <v>0.45569999999999999</v>
      </c>
      <c r="EK104" s="228">
        <v>108.8</v>
      </c>
      <c r="EL104" s="228">
        <v>30.8</v>
      </c>
      <c r="EM104" s="228">
        <v>51.52</v>
      </c>
      <c r="EN104" s="228">
        <v>42.12</v>
      </c>
      <c r="EO104" s="228">
        <v>191.12</v>
      </c>
      <c r="EP104" s="228">
        <v>215.83</v>
      </c>
      <c r="EQ104" s="228">
        <v>-24.71</v>
      </c>
      <c r="ER104" s="229">
        <v>-0.1145</v>
      </c>
      <c r="ES104" s="228">
        <v>240.71</v>
      </c>
      <c r="ET104" s="228">
        <v>121.88</v>
      </c>
      <c r="EU104" s="228">
        <v>503.81</v>
      </c>
      <c r="EV104" s="231">
        <v>226853356</v>
      </c>
      <c r="EW104" s="228">
        <v>866.4</v>
      </c>
      <c r="EX104" s="228">
        <v>836.45</v>
      </c>
      <c r="EY104" s="228">
        <v>29.95</v>
      </c>
      <c r="EZ104" s="229">
        <v>3.5799999999999998E-2</v>
      </c>
      <c r="FA104" s="229">
        <v>0.29920000000000002</v>
      </c>
      <c r="FB104" s="227" t="s">
        <v>567</v>
      </c>
      <c r="FC104">
        <f t="shared" si="1"/>
        <v>50</v>
      </c>
    </row>
    <row r="105" spans="1:159" ht="17.25" thickBot="1" x14ac:dyDescent="0.3">
      <c r="A105" s="226">
        <v>45936</v>
      </c>
      <c r="B105" s="227" t="s">
        <v>168</v>
      </c>
      <c r="C105" s="227" t="s">
        <v>242</v>
      </c>
      <c r="D105" s="228">
        <v>1600</v>
      </c>
      <c r="E105" s="228">
        <v>22</v>
      </c>
      <c r="F105" s="228">
        <v>403.15</v>
      </c>
      <c r="G105" s="228">
        <v>406.15</v>
      </c>
      <c r="H105" s="228">
        <v>-3</v>
      </c>
      <c r="I105" s="229">
        <v>-7.4000000000000003E-3</v>
      </c>
      <c r="J105" s="228">
        <v>400.75</v>
      </c>
      <c r="K105" s="228">
        <v>404.3</v>
      </c>
      <c r="L105" s="228">
        <v>-3.55</v>
      </c>
      <c r="M105" s="229">
        <v>-8.8000000000000005E-3</v>
      </c>
      <c r="N105" s="228">
        <v>403.15</v>
      </c>
      <c r="O105" s="228">
        <v>406.15</v>
      </c>
      <c r="P105" s="228">
        <v>-3</v>
      </c>
      <c r="Q105" s="229">
        <v>-7.4000000000000003E-3</v>
      </c>
      <c r="R105" s="228">
        <v>405.35</v>
      </c>
      <c r="S105" s="228">
        <v>408.4</v>
      </c>
      <c r="T105" s="228">
        <v>-3.05</v>
      </c>
      <c r="U105" s="229">
        <v>-7.4999999999999997E-3</v>
      </c>
      <c r="V105" s="228">
        <v>407.85</v>
      </c>
      <c r="W105" s="228">
        <v>410.65</v>
      </c>
      <c r="X105" s="228">
        <v>-2.8</v>
      </c>
      <c r="Y105" s="229">
        <v>-6.7999999999999996E-3</v>
      </c>
      <c r="Z105" s="228">
        <v>2.4</v>
      </c>
      <c r="AA105" s="228">
        <v>1.85</v>
      </c>
      <c r="AB105" s="228">
        <v>0.55000000000000004</v>
      </c>
      <c r="AC105" s="229">
        <v>6.0000000000000001E-3</v>
      </c>
      <c r="AD105" s="228">
        <v>2.4</v>
      </c>
      <c r="AE105" s="228">
        <v>1.85</v>
      </c>
      <c r="AF105" s="228">
        <v>0.55000000000000004</v>
      </c>
      <c r="AG105" s="229">
        <v>6.0000000000000001E-3</v>
      </c>
      <c r="AH105" s="228">
        <v>4.5999999999999996</v>
      </c>
      <c r="AI105" s="228">
        <v>4.0999999999999996</v>
      </c>
      <c r="AJ105" s="228">
        <v>0.5</v>
      </c>
      <c r="AK105" s="229">
        <v>1.15E-2</v>
      </c>
      <c r="AL105" s="228">
        <v>7.1</v>
      </c>
      <c r="AM105" s="228">
        <v>6.35</v>
      </c>
      <c r="AN105" s="228">
        <v>0.75</v>
      </c>
      <c r="AO105" s="229">
        <v>1.77E-2</v>
      </c>
      <c r="AP105" s="228">
        <v>403.15</v>
      </c>
      <c r="AQ105" s="228">
        <v>405.25</v>
      </c>
      <c r="AR105" s="228">
        <v>0</v>
      </c>
      <c r="AS105" s="228">
        <v>598</v>
      </c>
      <c r="AT105" s="228">
        <v>496</v>
      </c>
      <c r="AU105" s="228">
        <v>102</v>
      </c>
      <c r="AV105" s="229">
        <v>0.20599999999999999</v>
      </c>
      <c r="AW105" s="228">
        <v>554</v>
      </c>
      <c r="AX105" s="228">
        <v>479</v>
      </c>
      <c r="AY105" s="228">
        <v>75</v>
      </c>
      <c r="AZ105" s="229">
        <v>0.15709999999999999</v>
      </c>
      <c r="BA105" s="228">
        <v>37</v>
      </c>
      <c r="BB105" s="228">
        <v>13</v>
      </c>
      <c r="BC105" s="228">
        <v>24</v>
      </c>
      <c r="BD105" s="229">
        <v>1.8687</v>
      </c>
      <c r="BE105" s="228">
        <v>7</v>
      </c>
      <c r="BF105" s="228">
        <v>4</v>
      </c>
      <c r="BG105" s="228">
        <v>3</v>
      </c>
      <c r="BH105" s="229">
        <v>0.72309999999999997</v>
      </c>
      <c r="BI105" s="230">
        <v>1512</v>
      </c>
      <c r="BJ105" s="230">
        <v>1609</v>
      </c>
      <c r="BK105" s="228">
        <v>-97</v>
      </c>
      <c r="BL105" s="229">
        <v>-6.0100000000000001E-2</v>
      </c>
      <c r="BM105" s="228">
        <v>809</v>
      </c>
      <c r="BN105" s="228">
        <v>950</v>
      </c>
      <c r="BO105" s="228">
        <v>-141</v>
      </c>
      <c r="BP105" s="229">
        <v>-0.14829999999999999</v>
      </c>
      <c r="BQ105" s="230">
        <v>2919</v>
      </c>
      <c r="BR105" s="230">
        <v>3055</v>
      </c>
      <c r="BS105" s="228">
        <v>-135</v>
      </c>
      <c r="BT105" s="229">
        <v>-4.4299999999999999E-2</v>
      </c>
      <c r="BU105" s="230">
        <v>14517298</v>
      </c>
      <c r="BV105" s="230">
        <v>17617068</v>
      </c>
      <c r="BW105" s="230">
        <v>-3099770</v>
      </c>
      <c r="BX105" s="229">
        <v>-0.17599999999999999</v>
      </c>
      <c r="BY105" s="230">
        <v>4635</v>
      </c>
      <c r="BZ105" s="230">
        <v>4440</v>
      </c>
      <c r="CA105" s="228">
        <v>195</v>
      </c>
      <c r="CB105" s="229">
        <v>4.3799999999999999E-2</v>
      </c>
      <c r="CC105" s="230">
        <v>4471</v>
      </c>
      <c r="CD105" s="230">
        <v>4302</v>
      </c>
      <c r="CE105" s="228">
        <v>169</v>
      </c>
      <c r="CF105" s="229">
        <v>3.9300000000000002E-2</v>
      </c>
      <c r="CG105" s="228">
        <v>155</v>
      </c>
      <c r="CH105" s="228">
        <v>135</v>
      </c>
      <c r="CI105" s="228">
        <v>20</v>
      </c>
      <c r="CJ105" s="229">
        <v>0.14480000000000001</v>
      </c>
      <c r="CK105" s="228">
        <v>9</v>
      </c>
      <c r="CL105" s="228">
        <v>3</v>
      </c>
      <c r="CM105" s="228">
        <v>6</v>
      </c>
      <c r="CN105" s="229">
        <v>1.8571</v>
      </c>
      <c r="CO105" s="230">
        <v>1631</v>
      </c>
      <c r="CP105" s="230">
        <v>1422</v>
      </c>
      <c r="CQ105" s="228">
        <v>209</v>
      </c>
      <c r="CR105" s="229">
        <v>0.14699999999999999</v>
      </c>
      <c r="CS105" s="230">
        <v>1141</v>
      </c>
      <c r="CT105" s="228">
        <v>997</v>
      </c>
      <c r="CU105" s="228">
        <v>144</v>
      </c>
      <c r="CV105" s="229">
        <v>0.14419999999999999</v>
      </c>
      <c r="CW105" s="230">
        <v>7406</v>
      </c>
      <c r="CX105" s="230">
        <v>6859</v>
      </c>
      <c r="CY105" s="228">
        <v>547</v>
      </c>
      <c r="CZ105" s="229">
        <v>7.9799999999999996E-2</v>
      </c>
      <c r="DA105" s="228">
        <v>15.61</v>
      </c>
      <c r="DB105" s="228">
        <v>14.28</v>
      </c>
      <c r="DC105" s="228">
        <v>1.33</v>
      </c>
      <c r="DD105" s="228">
        <v>1.33</v>
      </c>
      <c r="DE105" s="228">
        <v>19.86</v>
      </c>
      <c r="DF105" s="228">
        <v>19.87</v>
      </c>
      <c r="DG105" s="228">
        <v>-4.25</v>
      </c>
      <c r="DH105" s="228">
        <v>-0.01</v>
      </c>
      <c r="DI105" s="228">
        <v>15.75</v>
      </c>
      <c r="DJ105" s="228">
        <v>14.16</v>
      </c>
      <c r="DK105" s="228">
        <v>1.59</v>
      </c>
      <c r="DL105" s="228">
        <v>1.59</v>
      </c>
      <c r="DM105" s="228">
        <v>15.33</v>
      </c>
      <c r="DN105" s="228">
        <v>14.49</v>
      </c>
      <c r="DO105" s="228">
        <v>0.84</v>
      </c>
      <c r="DP105" s="228">
        <v>0.84</v>
      </c>
      <c r="DQ105" s="228">
        <v>0.7</v>
      </c>
      <c r="DR105" s="228">
        <v>0.7</v>
      </c>
      <c r="DS105" s="228">
        <v>0</v>
      </c>
      <c r="DT105" s="229">
        <v>0</v>
      </c>
      <c r="DU105" s="228">
        <v>410</v>
      </c>
      <c r="DV105" s="228">
        <v>400</v>
      </c>
      <c r="DW105" s="228">
        <v>0.53</v>
      </c>
      <c r="DX105" s="228">
        <v>0.59</v>
      </c>
      <c r="DY105" s="228">
        <v>-0.06</v>
      </c>
      <c r="DZ105" s="229">
        <v>-0.1017</v>
      </c>
      <c r="EA105" s="229">
        <v>3.5400000000000001E-2</v>
      </c>
      <c r="EB105" s="230">
        <v>3438400</v>
      </c>
      <c r="EC105" s="229">
        <v>5.4999999999999997E-3</v>
      </c>
      <c r="ED105" s="229">
        <v>3.5400000000000001E-2</v>
      </c>
      <c r="EE105" s="228">
        <v>2.1</v>
      </c>
      <c r="EF105" s="229">
        <v>5.1999999999999998E-3</v>
      </c>
      <c r="EG105" s="230">
        <v>10931239</v>
      </c>
      <c r="EH105" s="230">
        <v>13838444</v>
      </c>
      <c r="EI105" s="229">
        <v>-0.21010000000000001</v>
      </c>
      <c r="EJ105" s="229">
        <v>0.753</v>
      </c>
      <c r="EK105" s="231">
        <v>1556.81</v>
      </c>
      <c r="EL105" s="228">
        <v>810.55</v>
      </c>
      <c r="EM105" s="228">
        <v>598.54999999999995</v>
      </c>
      <c r="EN105" s="228">
        <v>227.65</v>
      </c>
      <c r="EO105" s="231">
        <v>2965.91</v>
      </c>
      <c r="EP105" s="231">
        <v>3111.01</v>
      </c>
      <c r="EQ105" s="228">
        <v>-145.1</v>
      </c>
      <c r="ER105" s="229">
        <v>-4.6600000000000003E-2</v>
      </c>
      <c r="ES105" s="231">
        <v>1684.67</v>
      </c>
      <c r="ET105" s="231">
        <v>1134.48</v>
      </c>
      <c r="EU105" s="231">
        <v>4635.95</v>
      </c>
      <c r="EV105" s="231">
        <v>1251412841</v>
      </c>
      <c r="EW105" s="231">
        <v>7455.09</v>
      </c>
      <c r="EX105" s="231">
        <v>6939.43</v>
      </c>
      <c r="EY105" s="228">
        <v>515.66</v>
      </c>
      <c r="EZ105" s="229">
        <v>7.4300000000000005E-2</v>
      </c>
      <c r="FA105" s="229">
        <v>0.14680000000000001</v>
      </c>
      <c r="FB105" s="227" t="s">
        <v>567</v>
      </c>
      <c r="FC105">
        <f t="shared" si="1"/>
        <v>164</v>
      </c>
    </row>
    <row r="106" spans="1:159" ht="17.25" thickBot="1" x14ac:dyDescent="0.3">
      <c r="A106" s="226">
        <v>45936</v>
      </c>
      <c r="B106" s="227" t="s">
        <v>227</v>
      </c>
      <c r="C106" s="227" t="s">
        <v>243</v>
      </c>
      <c r="D106" s="228">
        <v>625</v>
      </c>
      <c r="E106" s="228">
        <v>22</v>
      </c>
      <c r="F106" s="231">
        <v>1059.3</v>
      </c>
      <c r="G106" s="231">
        <v>1080.2</v>
      </c>
      <c r="H106" s="228">
        <v>-20.9</v>
      </c>
      <c r="I106" s="229">
        <v>-1.9300000000000001E-2</v>
      </c>
      <c r="J106" s="231">
        <v>1055.9000000000001</v>
      </c>
      <c r="K106" s="231">
        <v>1076.5</v>
      </c>
      <c r="L106" s="228">
        <v>-20.6</v>
      </c>
      <c r="M106" s="229">
        <v>-1.9099999999999999E-2</v>
      </c>
      <c r="N106" s="231">
        <v>1059.3</v>
      </c>
      <c r="O106" s="231">
        <v>1080.2</v>
      </c>
      <c r="P106" s="228">
        <v>-20.9</v>
      </c>
      <c r="Q106" s="229">
        <v>-1.9300000000000001E-2</v>
      </c>
      <c r="R106" s="231">
        <v>1065.5</v>
      </c>
      <c r="S106" s="231">
        <v>1084.5</v>
      </c>
      <c r="T106" s="228">
        <v>-19</v>
      </c>
      <c r="U106" s="229">
        <v>-1.7500000000000002E-2</v>
      </c>
      <c r="V106" s="231">
        <v>1073.7</v>
      </c>
      <c r="W106" s="231">
        <v>1090.5999999999999</v>
      </c>
      <c r="X106" s="228">
        <v>-16.899999999999999</v>
      </c>
      <c r="Y106" s="229">
        <v>-1.55E-2</v>
      </c>
      <c r="Z106" s="228">
        <v>3.4</v>
      </c>
      <c r="AA106" s="228">
        <v>3.7</v>
      </c>
      <c r="AB106" s="228">
        <v>-0.3</v>
      </c>
      <c r="AC106" s="229">
        <v>3.2000000000000002E-3</v>
      </c>
      <c r="AD106" s="228">
        <v>3.4</v>
      </c>
      <c r="AE106" s="228">
        <v>3.7</v>
      </c>
      <c r="AF106" s="228">
        <v>-0.3</v>
      </c>
      <c r="AG106" s="229">
        <v>3.2000000000000002E-3</v>
      </c>
      <c r="AH106" s="228">
        <v>9.6</v>
      </c>
      <c r="AI106" s="228">
        <v>8</v>
      </c>
      <c r="AJ106" s="228">
        <v>1.6</v>
      </c>
      <c r="AK106" s="229">
        <v>9.1000000000000004E-3</v>
      </c>
      <c r="AL106" s="228">
        <v>17.8</v>
      </c>
      <c r="AM106" s="228">
        <v>14.1</v>
      </c>
      <c r="AN106" s="228">
        <v>3.7</v>
      </c>
      <c r="AO106" s="229">
        <v>1.6899999999999998E-2</v>
      </c>
      <c r="AP106" s="231">
        <v>1057.26</v>
      </c>
      <c r="AQ106" s="231">
        <v>1062.77</v>
      </c>
      <c r="AR106" s="228">
        <v>0</v>
      </c>
      <c r="AS106" s="228">
        <v>404</v>
      </c>
      <c r="AT106" s="228">
        <v>430</v>
      </c>
      <c r="AU106" s="228">
        <v>-26</v>
      </c>
      <c r="AV106" s="229">
        <v>-5.9499999999999997E-2</v>
      </c>
      <c r="AW106" s="228">
        <v>395</v>
      </c>
      <c r="AX106" s="228">
        <v>416</v>
      </c>
      <c r="AY106" s="228">
        <v>-22</v>
      </c>
      <c r="AZ106" s="229">
        <v>-5.2200000000000003E-2</v>
      </c>
      <c r="BA106" s="228">
        <v>8</v>
      </c>
      <c r="BB106" s="228">
        <v>11</v>
      </c>
      <c r="BC106" s="228">
        <v>-3</v>
      </c>
      <c r="BD106" s="229">
        <v>-0.29699999999999999</v>
      </c>
      <c r="BE106" s="228">
        <v>2</v>
      </c>
      <c r="BF106" s="228">
        <v>2</v>
      </c>
      <c r="BG106" s="228">
        <v>-1</v>
      </c>
      <c r="BH106" s="229">
        <v>-0.2571</v>
      </c>
      <c r="BI106" s="230">
        <v>1186</v>
      </c>
      <c r="BJ106" s="230">
        <v>1356</v>
      </c>
      <c r="BK106" s="228">
        <v>-169</v>
      </c>
      <c r="BL106" s="229">
        <v>-0.125</v>
      </c>
      <c r="BM106" s="228">
        <v>648</v>
      </c>
      <c r="BN106" s="228">
        <v>427</v>
      </c>
      <c r="BO106" s="228">
        <v>221</v>
      </c>
      <c r="BP106" s="229">
        <v>0.51880000000000004</v>
      </c>
      <c r="BQ106" s="230">
        <v>2238</v>
      </c>
      <c r="BR106" s="230">
        <v>2212</v>
      </c>
      <c r="BS106" s="228">
        <v>26</v>
      </c>
      <c r="BT106" s="229">
        <v>1.1900000000000001E-2</v>
      </c>
      <c r="BU106" s="230">
        <v>2350652</v>
      </c>
      <c r="BV106" s="230">
        <v>2069799</v>
      </c>
      <c r="BW106" s="230">
        <v>280853</v>
      </c>
      <c r="BX106" s="229">
        <v>0.13569999999999999</v>
      </c>
      <c r="BY106" s="230">
        <v>1315</v>
      </c>
      <c r="BZ106" s="230">
        <v>1306</v>
      </c>
      <c r="CA106" s="228">
        <v>9</v>
      </c>
      <c r="CB106" s="229">
        <v>7.1999999999999998E-3</v>
      </c>
      <c r="CC106" s="230">
        <v>1301</v>
      </c>
      <c r="CD106" s="230">
        <v>1293</v>
      </c>
      <c r="CE106" s="228">
        <v>8</v>
      </c>
      <c r="CF106" s="229">
        <v>6.1999999999999998E-3</v>
      </c>
      <c r="CG106" s="228">
        <v>11</v>
      </c>
      <c r="CH106" s="228">
        <v>11</v>
      </c>
      <c r="CI106" s="228">
        <v>0</v>
      </c>
      <c r="CJ106" s="229">
        <v>2.3800000000000002E-2</v>
      </c>
      <c r="CK106" s="228">
        <v>2</v>
      </c>
      <c r="CL106" s="228">
        <v>1</v>
      </c>
      <c r="CM106" s="228">
        <v>1</v>
      </c>
      <c r="CN106" s="229">
        <v>0.89470000000000005</v>
      </c>
      <c r="CO106" s="228">
        <v>440</v>
      </c>
      <c r="CP106" s="228">
        <v>338</v>
      </c>
      <c r="CQ106" s="228">
        <v>102</v>
      </c>
      <c r="CR106" s="229">
        <v>0.3014</v>
      </c>
      <c r="CS106" s="228">
        <v>301</v>
      </c>
      <c r="CT106" s="228">
        <v>268</v>
      </c>
      <c r="CU106" s="228">
        <v>32</v>
      </c>
      <c r="CV106" s="229">
        <v>0.11940000000000001</v>
      </c>
      <c r="CW106" s="230">
        <v>2055</v>
      </c>
      <c r="CX106" s="230">
        <v>1912</v>
      </c>
      <c r="CY106" s="228">
        <v>143</v>
      </c>
      <c r="CZ106" s="229">
        <v>7.4899999999999994E-2</v>
      </c>
      <c r="DA106" s="228">
        <v>27.02</v>
      </c>
      <c r="DB106" s="228">
        <v>25.36</v>
      </c>
      <c r="DC106" s="228">
        <v>1.66</v>
      </c>
      <c r="DD106" s="228">
        <v>1.66</v>
      </c>
      <c r="DE106" s="228">
        <v>36.299999999999997</v>
      </c>
      <c r="DF106" s="228">
        <v>36.299999999999997</v>
      </c>
      <c r="DG106" s="228">
        <v>-9.2799999999999994</v>
      </c>
      <c r="DH106" s="228">
        <v>0</v>
      </c>
      <c r="DI106" s="228">
        <v>27.19</v>
      </c>
      <c r="DJ106" s="228">
        <v>25.36</v>
      </c>
      <c r="DK106" s="228">
        <v>1.83</v>
      </c>
      <c r="DL106" s="228">
        <v>1.83</v>
      </c>
      <c r="DM106" s="228">
        <v>26.72</v>
      </c>
      <c r="DN106" s="228">
        <v>25.36</v>
      </c>
      <c r="DO106" s="228">
        <v>1.36</v>
      </c>
      <c r="DP106" s="228">
        <v>1.36</v>
      </c>
      <c r="DQ106" s="228">
        <v>0.68</v>
      </c>
      <c r="DR106" s="228">
        <v>0.79</v>
      </c>
      <c r="DS106" s="228">
        <v>-0.11</v>
      </c>
      <c r="DT106" s="229">
        <v>-0.13919999999999999</v>
      </c>
      <c r="DU106" s="231">
        <v>1100</v>
      </c>
      <c r="DV106" s="231">
        <v>1000</v>
      </c>
      <c r="DW106" s="228">
        <v>0.55000000000000004</v>
      </c>
      <c r="DX106" s="228">
        <v>0.31</v>
      </c>
      <c r="DY106" s="228">
        <v>0.24</v>
      </c>
      <c r="DZ106" s="229">
        <v>0.7742</v>
      </c>
      <c r="EA106" s="229">
        <v>1.0500000000000001E-2</v>
      </c>
      <c r="EB106" s="230">
        <v>116875</v>
      </c>
      <c r="EC106" s="229">
        <v>5.8999999999999999E-3</v>
      </c>
      <c r="ED106" s="229">
        <v>1.0500000000000001E-2</v>
      </c>
      <c r="EE106" s="228">
        <v>5.51</v>
      </c>
      <c r="EF106" s="229">
        <v>5.1999999999999998E-3</v>
      </c>
      <c r="EG106" s="230">
        <v>1079598</v>
      </c>
      <c r="EH106" s="230">
        <v>1015899</v>
      </c>
      <c r="EI106" s="229">
        <v>6.2700000000000006E-2</v>
      </c>
      <c r="EJ106" s="229">
        <v>0.45929999999999999</v>
      </c>
      <c r="EK106" s="231">
        <v>1241.51</v>
      </c>
      <c r="EL106" s="228">
        <v>642.19000000000005</v>
      </c>
      <c r="EM106" s="228">
        <v>403.26</v>
      </c>
      <c r="EN106" s="228">
        <v>84.24</v>
      </c>
      <c r="EO106" s="231">
        <v>2286.9699999999998</v>
      </c>
      <c r="EP106" s="231">
        <v>2304.19</v>
      </c>
      <c r="EQ106" s="228">
        <v>-17.23</v>
      </c>
      <c r="ER106" s="229">
        <v>-7.4999999999999997E-3</v>
      </c>
      <c r="ES106" s="228">
        <v>457.5</v>
      </c>
      <c r="ET106" s="228">
        <v>290.26</v>
      </c>
      <c r="EU106" s="231">
        <v>1315.29</v>
      </c>
      <c r="EV106" s="231">
        <v>54776702</v>
      </c>
      <c r="EW106" s="231">
        <v>2063.04</v>
      </c>
      <c r="EX106" s="231">
        <v>1944.76</v>
      </c>
      <c r="EY106" s="228">
        <v>118.28</v>
      </c>
      <c r="EZ106" s="229">
        <v>6.08E-2</v>
      </c>
      <c r="FA106" s="229">
        <v>0.35420000000000001</v>
      </c>
      <c r="FB106" s="227" t="s">
        <v>567</v>
      </c>
      <c r="FC106">
        <f t="shared" si="1"/>
        <v>14</v>
      </c>
    </row>
    <row r="107" spans="1:159" ht="17.25" thickBot="1" x14ac:dyDescent="0.3">
      <c r="A107" s="226">
        <v>45936</v>
      </c>
      <c r="B107" s="227" t="s">
        <v>175</v>
      </c>
      <c r="C107" s="227" t="s">
        <v>571</v>
      </c>
      <c r="D107" s="228">
        <v>2350</v>
      </c>
      <c r="E107" s="228">
        <v>22</v>
      </c>
      <c r="F107" s="228">
        <v>308.05</v>
      </c>
      <c r="G107" s="228">
        <v>303.2</v>
      </c>
      <c r="H107" s="228">
        <v>4.8499999999999996</v>
      </c>
      <c r="I107" s="229">
        <v>1.6E-2</v>
      </c>
      <c r="J107" s="228">
        <v>306.25</v>
      </c>
      <c r="K107" s="228">
        <v>301.7</v>
      </c>
      <c r="L107" s="228">
        <v>4.55</v>
      </c>
      <c r="M107" s="229">
        <v>1.5100000000000001E-2</v>
      </c>
      <c r="N107" s="228">
        <v>308.05</v>
      </c>
      <c r="O107" s="228">
        <v>303.2</v>
      </c>
      <c r="P107" s="228">
        <v>4.8499999999999996</v>
      </c>
      <c r="Q107" s="229">
        <v>1.6E-2</v>
      </c>
      <c r="R107" s="228">
        <v>309.64999999999998</v>
      </c>
      <c r="S107" s="228">
        <v>304.75</v>
      </c>
      <c r="T107" s="228">
        <v>4.9000000000000004</v>
      </c>
      <c r="U107" s="229">
        <v>1.61E-2</v>
      </c>
      <c r="V107" s="228">
        <v>311.7</v>
      </c>
      <c r="W107" s="228">
        <v>306.75</v>
      </c>
      <c r="X107" s="228">
        <v>4.95</v>
      </c>
      <c r="Y107" s="229">
        <v>1.61E-2</v>
      </c>
      <c r="Z107" s="228">
        <v>1.8</v>
      </c>
      <c r="AA107" s="228">
        <v>1.5</v>
      </c>
      <c r="AB107" s="228">
        <v>0.3</v>
      </c>
      <c r="AC107" s="229">
        <v>5.8999999999999999E-3</v>
      </c>
      <c r="AD107" s="228">
        <v>1.8</v>
      </c>
      <c r="AE107" s="228">
        <v>1.5</v>
      </c>
      <c r="AF107" s="228">
        <v>0.3</v>
      </c>
      <c r="AG107" s="229">
        <v>5.8999999999999999E-3</v>
      </c>
      <c r="AH107" s="228">
        <v>3.4</v>
      </c>
      <c r="AI107" s="228">
        <v>3.05</v>
      </c>
      <c r="AJ107" s="228">
        <v>0.35</v>
      </c>
      <c r="AK107" s="229">
        <v>1.11E-2</v>
      </c>
      <c r="AL107" s="228">
        <v>5.45</v>
      </c>
      <c r="AM107" s="228">
        <v>5.05</v>
      </c>
      <c r="AN107" s="228">
        <v>0.4</v>
      </c>
      <c r="AO107" s="229">
        <v>1.78E-2</v>
      </c>
      <c r="AP107" s="228">
        <v>306.20999999999998</v>
      </c>
      <c r="AQ107" s="228">
        <v>307.52999999999997</v>
      </c>
      <c r="AR107" s="228">
        <v>0</v>
      </c>
      <c r="AS107" s="228">
        <v>573</v>
      </c>
      <c r="AT107" s="228">
        <v>368</v>
      </c>
      <c r="AU107" s="228">
        <v>205</v>
      </c>
      <c r="AV107" s="229">
        <v>0.55569999999999997</v>
      </c>
      <c r="AW107" s="228">
        <v>517</v>
      </c>
      <c r="AX107" s="228">
        <v>333</v>
      </c>
      <c r="AY107" s="228">
        <v>185</v>
      </c>
      <c r="AZ107" s="229">
        <v>0.55430000000000001</v>
      </c>
      <c r="BA107" s="228">
        <v>48</v>
      </c>
      <c r="BB107" s="228">
        <v>28</v>
      </c>
      <c r="BC107" s="228">
        <v>20</v>
      </c>
      <c r="BD107" s="229">
        <v>0.69389999999999996</v>
      </c>
      <c r="BE107" s="228">
        <v>8</v>
      </c>
      <c r="BF107" s="228">
        <v>7</v>
      </c>
      <c r="BG107" s="228">
        <v>1</v>
      </c>
      <c r="BH107" s="229">
        <v>7.1400000000000005E-2</v>
      </c>
      <c r="BI107" s="230">
        <v>1760</v>
      </c>
      <c r="BJ107" s="230">
        <v>1146</v>
      </c>
      <c r="BK107" s="228">
        <v>614</v>
      </c>
      <c r="BL107" s="229">
        <v>0.53580000000000005</v>
      </c>
      <c r="BM107" s="228">
        <v>670</v>
      </c>
      <c r="BN107" s="228">
        <v>509</v>
      </c>
      <c r="BO107" s="228">
        <v>162</v>
      </c>
      <c r="BP107" s="229">
        <v>0.31769999999999998</v>
      </c>
      <c r="BQ107" s="230">
        <v>3004</v>
      </c>
      <c r="BR107" s="230">
        <v>2023</v>
      </c>
      <c r="BS107" s="228">
        <v>981</v>
      </c>
      <c r="BT107" s="229">
        <v>0.48459999999999998</v>
      </c>
      <c r="BU107" s="230">
        <v>9970853</v>
      </c>
      <c r="BV107" s="230">
        <v>9464501</v>
      </c>
      <c r="BW107" s="230">
        <v>506352</v>
      </c>
      <c r="BX107" s="229">
        <v>5.3499999999999999E-2</v>
      </c>
      <c r="BY107" s="230">
        <v>4257</v>
      </c>
      <c r="BZ107" s="230">
        <v>4265</v>
      </c>
      <c r="CA107" s="228">
        <v>-8</v>
      </c>
      <c r="CB107" s="229">
        <v>-2E-3</v>
      </c>
      <c r="CC107" s="230">
        <v>4033</v>
      </c>
      <c r="CD107" s="230">
        <v>4051</v>
      </c>
      <c r="CE107" s="228">
        <v>-18</v>
      </c>
      <c r="CF107" s="229">
        <v>-4.4999999999999997E-3</v>
      </c>
      <c r="CG107" s="228">
        <v>211</v>
      </c>
      <c r="CH107" s="228">
        <v>205</v>
      </c>
      <c r="CI107" s="228">
        <v>6</v>
      </c>
      <c r="CJ107" s="229">
        <v>3.04E-2</v>
      </c>
      <c r="CK107" s="228">
        <v>12</v>
      </c>
      <c r="CL107" s="228">
        <v>9</v>
      </c>
      <c r="CM107" s="228">
        <v>4</v>
      </c>
      <c r="CN107" s="229">
        <v>0.42499999999999999</v>
      </c>
      <c r="CO107" s="230">
        <v>1447</v>
      </c>
      <c r="CP107" s="230">
        <v>1460</v>
      </c>
      <c r="CQ107" s="228">
        <v>-12</v>
      </c>
      <c r="CR107" s="229">
        <v>-8.3999999999999995E-3</v>
      </c>
      <c r="CS107" s="230">
        <v>1106</v>
      </c>
      <c r="CT107" s="230">
        <v>1099</v>
      </c>
      <c r="CU107" s="228">
        <v>6</v>
      </c>
      <c r="CV107" s="229">
        <v>5.8999999999999999E-3</v>
      </c>
      <c r="CW107" s="230">
        <v>6810</v>
      </c>
      <c r="CX107" s="230">
        <v>6824</v>
      </c>
      <c r="CY107" s="228">
        <v>-14</v>
      </c>
      <c r="CZ107" s="229">
        <v>-2.0999999999999999E-3</v>
      </c>
      <c r="DA107" s="228">
        <v>25.71</v>
      </c>
      <c r="DB107" s="228">
        <v>25.24</v>
      </c>
      <c r="DC107" s="228">
        <v>0.47</v>
      </c>
      <c r="DD107" s="228">
        <v>0.47</v>
      </c>
      <c r="DE107" s="228">
        <v>36.56</v>
      </c>
      <c r="DF107" s="228">
        <v>36.590000000000003</v>
      </c>
      <c r="DG107" s="228">
        <v>-10.85</v>
      </c>
      <c r="DH107" s="228">
        <v>-0.03</v>
      </c>
      <c r="DI107" s="228">
        <v>25.6</v>
      </c>
      <c r="DJ107" s="228">
        <v>25.34</v>
      </c>
      <c r="DK107" s="228">
        <v>0.26</v>
      </c>
      <c r="DL107" s="228">
        <v>0.26</v>
      </c>
      <c r="DM107" s="228">
        <v>26.01</v>
      </c>
      <c r="DN107" s="228">
        <v>25.01</v>
      </c>
      <c r="DO107" s="228">
        <v>1</v>
      </c>
      <c r="DP107" s="228">
        <v>1</v>
      </c>
      <c r="DQ107" s="228">
        <v>0.76</v>
      </c>
      <c r="DR107" s="228">
        <v>0.75</v>
      </c>
      <c r="DS107" s="228">
        <v>0.01</v>
      </c>
      <c r="DT107" s="229">
        <v>1.3299999999999999E-2</v>
      </c>
      <c r="DU107" s="228">
        <v>320</v>
      </c>
      <c r="DV107" s="228">
        <v>300</v>
      </c>
      <c r="DW107" s="228">
        <v>0.38</v>
      </c>
      <c r="DX107" s="228">
        <v>0.44</v>
      </c>
      <c r="DY107" s="228">
        <v>-0.06</v>
      </c>
      <c r="DZ107" s="229">
        <v>-0.13639999999999999</v>
      </c>
      <c r="EA107" s="229">
        <v>5.2499999999999998E-2</v>
      </c>
      <c r="EB107" s="230">
        <v>6937200</v>
      </c>
      <c r="EC107" s="229">
        <v>5.1999999999999998E-3</v>
      </c>
      <c r="ED107" s="229">
        <v>5.2499999999999998E-2</v>
      </c>
      <c r="EE107" s="228">
        <v>1.32</v>
      </c>
      <c r="EF107" s="229">
        <v>4.3E-3</v>
      </c>
      <c r="EG107" s="230">
        <v>4798226</v>
      </c>
      <c r="EH107" s="230">
        <v>4947701</v>
      </c>
      <c r="EI107" s="229">
        <v>-3.0200000000000001E-2</v>
      </c>
      <c r="EJ107" s="229">
        <v>0.48120000000000002</v>
      </c>
      <c r="EK107" s="231">
        <v>1829.73</v>
      </c>
      <c r="EL107" s="228">
        <v>657.56</v>
      </c>
      <c r="EM107" s="228">
        <v>570</v>
      </c>
      <c r="EN107" s="228">
        <v>175.9</v>
      </c>
      <c r="EO107" s="231">
        <v>3057.29</v>
      </c>
      <c r="EP107" s="231">
        <v>2041.9</v>
      </c>
      <c r="EQ107" s="231">
        <v>1015.39</v>
      </c>
      <c r="ER107" s="229">
        <v>0.49730000000000002</v>
      </c>
      <c r="ES107" s="231">
        <v>1515.09</v>
      </c>
      <c r="ET107" s="231">
        <v>1096.93</v>
      </c>
      <c r="EU107" s="231">
        <v>4258.0200000000004</v>
      </c>
      <c r="EV107" s="231">
        <v>446457456</v>
      </c>
      <c r="EW107" s="231">
        <v>6870.05</v>
      </c>
      <c r="EX107" s="231">
        <v>6815.52</v>
      </c>
      <c r="EY107" s="228">
        <v>54.53</v>
      </c>
      <c r="EZ107" s="229">
        <v>8.0000000000000002E-3</v>
      </c>
      <c r="FA107" s="229">
        <v>0.49519999999999997</v>
      </c>
      <c r="FB107" s="227" t="s">
        <v>556</v>
      </c>
      <c r="FC107">
        <f t="shared" si="1"/>
        <v>224</v>
      </c>
    </row>
    <row r="108" spans="1:159" ht="17.25" thickBot="1" x14ac:dyDescent="0.3">
      <c r="A108" s="226">
        <v>45936</v>
      </c>
      <c r="B108" s="227" t="s">
        <v>161</v>
      </c>
      <c r="C108" s="227" t="s">
        <v>581</v>
      </c>
      <c r="D108" s="228">
        <v>1000</v>
      </c>
      <c r="E108" s="228">
        <v>22</v>
      </c>
      <c r="F108" s="228">
        <v>543.29999999999995</v>
      </c>
      <c r="G108" s="228">
        <v>543.4</v>
      </c>
      <c r="H108" s="228">
        <v>-0.1</v>
      </c>
      <c r="I108" s="229">
        <v>-2.0000000000000001E-4</v>
      </c>
      <c r="J108" s="228">
        <v>541</v>
      </c>
      <c r="K108" s="228">
        <v>539.9</v>
      </c>
      <c r="L108" s="228">
        <v>1.1000000000000001</v>
      </c>
      <c r="M108" s="229">
        <v>2E-3</v>
      </c>
      <c r="N108" s="228">
        <v>543.29999999999995</v>
      </c>
      <c r="O108" s="228">
        <v>543.4</v>
      </c>
      <c r="P108" s="228">
        <v>-0.1</v>
      </c>
      <c r="Q108" s="229">
        <v>-2.0000000000000001E-4</v>
      </c>
      <c r="R108" s="228">
        <v>546.29999999999995</v>
      </c>
      <c r="S108" s="228">
        <v>546.70000000000005</v>
      </c>
      <c r="T108" s="228">
        <v>-0.4</v>
      </c>
      <c r="U108" s="229">
        <v>-6.9999999999999999E-4</v>
      </c>
      <c r="V108" s="228">
        <v>547.85</v>
      </c>
      <c r="W108" s="228">
        <v>545</v>
      </c>
      <c r="X108" s="228">
        <v>2.85</v>
      </c>
      <c r="Y108" s="229">
        <v>5.1999999999999998E-3</v>
      </c>
      <c r="Z108" s="228">
        <v>2.2999999999999998</v>
      </c>
      <c r="AA108" s="228">
        <v>3.5</v>
      </c>
      <c r="AB108" s="228">
        <v>-1.2</v>
      </c>
      <c r="AC108" s="229">
        <v>4.3E-3</v>
      </c>
      <c r="AD108" s="228">
        <v>2.2999999999999998</v>
      </c>
      <c r="AE108" s="228">
        <v>3.5</v>
      </c>
      <c r="AF108" s="228">
        <v>-1.2</v>
      </c>
      <c r="AG108" s="229">
        <v>4.3E-3</v>
      </c>
      <c r="AH108" s="228">
        <v>5.3</v>
      </c>
      <c r="AI108" s="228">
        <v>6.8</v>
      </c>
      <c r="AJ108" s="228">
        <v>-1.5</v>
      </c>
      <c r="AK108" s="229">
        <v>9.7999999999999997E-3</v>
      </c>
      <c r="AL108" s="228">
        <v>6.85</v>
      </c>
      <c r="AM108" s="228">
        <v>5.0999999999999996</v>
      </c>
      <c r="AN108" s="228">
        <v>1.75</v>
      </c>
      <c r="AO108" s="229">
        <v>1.2699999999999999E-2</v>
      </c>
      <c r="AP108" s="228">
        <v>542.05999999999995</v>
      </c>
      <c r="AQ108" s="228">
        <v>545.35</v>
      </c>
      <c r="AR108" s="228">
        <v>0</v>
      </c>
      <c r="AS108" s="228">
        <v>112</v>
      </c>
      <c r="AT108" s="228">
        <v>98</v>
      </c>
      <c r="AU108" s="228">
        <v>14</v>
      </c>
      <c r="AV108" s="229">
        <v>0.14330000000000001</v>
      </c>
      <c r="AW108" s="228">
        <v>108</v>
      </c>
      <c r="AX108" s="228">
        <v>95</v>
      </c>
      <c r="AY108" s="228">
        <v>13</v>
      </c>
      <c r="AZ108" s="229">
        <v>0.1341</v>
      </c>
      <c r="BA108" s="228">
        <v>4</v>
      </c>
      <c r="BB108" s="228">
        <v>3</v>
      </c>
      <c r="BC108" s="228">
        <v>1</v>
      </c>
      <c r="BD108" s="229">
        <v>0.44679999999999997</v>
      </c>
      <c r="BE108" s="228">
        <v>0</v>
      </c>
      <c r="BF108" s="228">
        <v>0</v>
      </c>
      <c r="BG108" s="228">
        <v>0</v>
      </c>
      <c r="BH108" s="229">
        <v>2</v>
      </c>
      <c r="BI108" s="228">
        <v>230</v>
      </c>
      <c r="BJ108" s="228">
        <v>263</v>
      </c>
      <c r="BK108" s="228">
        <v>-33</v>
      </c>
      <c r="BL108" s="229">
        <v>-0.12570000000000001</v>
      </c>
      <c r="BM108" s="228">
        <v>90</v>
      </c>
      <c r="BN108" s="228">
        <v>82</v>
      </c>
      <c r="BO108" s="228">
        <v>9</v>
      </c>
      <c r="BP108" s="229">
        <v>0.10730000000000001</v>
      </c>
      <c r="BQ108" s="228">
        <v>432</v>
      </c>
      <c r="BR108" s="228">
        <v>443</v>
      </c>
      <c r="BS108" s="228">
        <v>-10</v>
      </c>
      <c r="BT108" s="229">
        <v>-2.3300000000000001E-2</v>
      </c>
      <c r="BU108" s="230">
        <v>1975789</v>
      </c>
      <c r="BV108" s="230">
        <v>1936763</v>
      </c>
      <c r="BW108" s="230">
        <v>39026</v>
      </c>
      <c r="BX108" s="229">
        <v>2.0199999999999999E-2</v>
      </c>
      <c r="BY108" s="230">
        <v>2121</v>
      </c>
      <c r="BZ108" s="230">
        <v>2111</v>
      </c>
      <c r="CA108" s="228">
        <v>10</v>
      </c>
      <c r="CB108" s="229">
        <v>4.7999999999999996E-3</v>
      </c>
      <c r="CC108" s="230">
        <v>2108</v>
      </c>
      <c r="CD108" s="230">
        <v>2098</v>
      </c>
      <c r="CE108" s="228">
        <v>10</v>
      </c>
      <c r="CF108" s="229">
        <v>4.5999999999999999E-3</v>
      </c>
      <c r="CG108" s="228">
        <v>13</v>
      </c>
      <c r="CH108" s="228">
        <v>12</v>
      </c>
      <c r="CI108" s="228">
        <v>0</v>
      </c>
      <c r="CJ108" s="229">
        <v>2.1999999999999999E-2</v>
      </c>
      <c r="CK108" s="228">
        <v>0</v>
      </c>
      <c r="CL108" s="228">
        <v>0</v>
      </c>
      <c r="CM108" s="228">
        <v>0</v>
      </c>
      <c r="CN108" s="229">
        <v>1.5</v>
      </c>
      <c r="CO108" s="228">
        <v>262</v>
      </c>
      <c r="CP108" s="228">
        <v>237</v>
      </c>
      <c r="CQ108" s="228">
        <v>25</v>
      </c>
      <c r="CR108" s="229">
        <v>0.10580000000000001</v>
      </c>
      <c r="CS108" s="228">
        <v>172</v>
      </c>
      <c r="CT108" s="228">
        <v>167</v>
      </c>
      <c r="CU108" s="228">
        <v>4</v>
      </c>
      <c r="CV108" s="229">
        <v>2.5999999999999999E-2</v>
      </c>
      <c r="CW108" s="230">
        <v>2555</v>
      </c>
      <c r="CX108" s="230">
        <v>2515</v>
      </c>
      <c r="CY108" s="228">
        <v>40</v>
      </c>
      <c r="CZ108" s="229">
        <v>1.5699999999999999E-2</v>
      </c>
      <c r="DA108" s="228">
        <v>27.64</v>
      </c>
      <c r="DB108" s="228">
        <v>27.39</v>
      </c>
      <c r="DC108" s="228">
        <v>0.25</v>
      </c>
      <c r="DD108" s="228">
        <v>0.25</v>
      </c>
      <c r="DE108" s="228">
        <v>45.89</v>
      </c>
      <c r="DF108" s="228">
        <v>46.01</v>
      </c>
      <c r="DG108" s="228">
        <v>-18.25</v>
      </c>
      <c r="DH108" s="228">
        <v>-0.12</v>
      </c>
      <c r="DI108" s="228">
        <v>27.56</v>
      </c>
      <c r="DJ108" s="228">
        <v>27.32</v>
      </c>
      <c r="DK108" s="228">
        <v>0.24</v>
      </c>
      <c r="DL108" s="228">
        <v>0.24</v>
      </c>
      <c r="DM108" s="228">
        <v>27.86</v>
      </c>
      <c r="DN108" s="228">
        <v>27.59</v>
      </c>
      <c r="DO108" s="228">
        <v>0.27</v>
      </c>
      <c r="DP108" s="228">
        <v>0.27</v>
      </c>
      <c r="DQ108" s="228">
        <v>0.65</v>
      </c>
      <c r="DR108" s="228">
        <v>0.7</v>
      </c>
      <c r="DS108" s="228">
        <v>-0.05</v>
      </c>
      <c r="DT108" s="229">
        <v>-7.1400000000000005E-2</v>
      </c>
      <c r="DU108" s="228">
        <v>550</v>
      </c>
      <c r="DV108" s="228">
        <v>530</v>
      </c>
      <c r="DW108" s="228">
        <v>0.39</v>
      </c>
      <c r="DX108" s="228">
        <v>0.31</v>
      </c>
      <c r="DY108" s="228">
        <v>0.08</v>
      </c>
      <c r="DZ108" s="229">
        <v>0.2581</v>
      </c>
      <c r="EA108" s="229">
        <v>6.1000000000000004E-3</v>
      </c>
      <c r="EB108" s="230">
        <v>229000</v>
      </c>
      <c r="EC108" s="229">
        <v>5.4999999999999997E-3</v>
      </c>
      <c r="ED108" s="229">
        <v>6.1000000000000004E-3</v>
      </c>
      <c r="EE108" s="228">
        <v>3.29</v>
      </c>
      <c r="EF108" s="229">
        <v>6.1000000000000004E-3</v>
      </c>
      <c r="EG108" s="230">
        <v>1152225</v>
      </c>
      <c r="EH108" s="230">
        <v>1235583</v>
      </c>
      <c r="EI108" s="229">
        <v>-6.7500000000000004E-2</v>
      </c>
      <c r="EJ108" s="229">
        <v>0.58320000000000005</v>
      </c>
      <c r="EK108" s="228">
        <v>239.08</v>
      </c>
      <c r="EL108" s="228">
        <v>90.06</v>
      </c>
      <c r="EM108" s="228">
        <v>111.63</v>
      </c>
      <c r="EN108" s="228">
        <v>98.69</v>
      </c>
      <c r="EO108" s="228">
        <v>440.78</v>
      </c>
      <c r="EP108" s="228">
        <v>453.03</v>
      </c>
      <c r="EQ108" s="228">
        <v>-12.26</v>
      </c>
      <c r="ER108" s="229">
        <v>-2.7099999999999999E-2</v>
      </c>
      <c r="ES108" s="228">
        <v>268.06</v>
      </c>
      <c r="ET108" s="228">
        <v>166.71</v>
      </c>
      <c r="EU108" s="231">
        <v>2120.79</v>
      </c>
      <c r="EV108" s="231">
        <v>80203755</v>
      </c>
      <c r="EW108" s="231">
        <v>2555.56</v>
      </c>
      <c r="EX108" s="231">
        <v>2516.0100000000002</v>
      </c>
      <c r="EY108" s="228">
        <v>39.549999999999997</v>
      </c>
      <c r="EZ108" s="229">
        <v>1.5699999999999999E-2</v>
      </c>
      <c r="FA108" s="229">
        <v>0.58630000000000004</v>
      </c>
      <c r="FB108" s="227" t="s">
        <v>567</v>
      </c>
      <c r="FC108">
        <f t="shared" si="1"/>
        <v>13</v>
      </c>
    </row>
    <row r="109" spans="1:159" ht="17.25" thickBot="1" x14ac:dyDescent="0.3">
      <c r="A109" s="226">
        <v>45936</v>
      </c>
      <c r="B109" s="227" t="s">
        <v>227</v>
      </c>
      <c r="C109" s="227" t="s">
        <v>244</v>
      </c>
      <c r="D109" s="228">
        <v>675</v>
      </c>
      <c r="E109" s="228">
        <v>22</v>
      </c>
      <c r="F109" s="231">
        <v>1167.5</v>
      </c>
      <c r="G109" s="231">
        <v>1169.3</v>
      </c>
      <c r="H109" s="228">
        <v>-1.8</v>
      </c>
      <c r="I109" s="229">
        <v>-1.5E-3</v>
      </c>
      <c r="J109" s="231">
        <v>1159.9000000000001</v>
      </c>
      <c r="K109" s="231">
        <v>1161.7</v>
      </c>
      <c r="L109" s="228">
        <v>-1.8</v>
      </c>
      <c r="M109" s="229">
        <v>-1.5E-3</v>
      </c>
      <c r="N109" s="231">
        <v>1167.5</v>
      </c>
      <c r="O109" s="231">
        <v>1169.3</v>
      </c>
      <c r="P109" s="228">
        <v>-1.8</v>
      </c>
      <c r="Q109" s="229">
        <v>-1.5E-3</v>
      </c>
      <c r="R109" s="231">
        <v>1173.5999999999999</v>
      </c>
      <c r="S109" s="231">
        <v>1175.3</v>
      </c>
      <c r="T109" s="228">
        <v>-1.7</v>
      </c>
      <c r="U109" s="229">
        <v>-1.4E-3</v>
      </c>
      <c r="V109" s="231">
        <v>1178.9000000000001</v>
      </c>
      <c r="W109" s="231">
        <v>1177</v>
      </c>
      <c r="X109" s="228">
        <v>1.9</v>
      </c>
      <c r="Y109" s="229">
        <v>1.6000000000000001E-3</v>
      </c>
      <c r="Z109" s="228">
        <v>7.6</v>
      </c>
      <c r="AA109" s="228">
        <v>7.6</v>
      </c>
      <c r="AB109" s="228">
        <v>0</v>
      </c>
      <c r="AC109" s="229">
        <v>6.6E-3</v>
      </c>
      <c r="AD109" s="228">
        <v>7.6</v>
      </c>
      <c r="AE109" s="228">
        <v>7.6</v>
      </c>
      <c r="AF109" s="228">
        <v>0</v>
      </c>
      <c r="AG109" s="229">
        <v>6.6E-3</v>
      </c>
      <c r="AH109" s="228">
        <v>13.7</v>
      </c>
      <c r="AI109" s="228">
        <v>13.6</v>
      </c>
      <c r="AJ109" s="228">
        <v>0.1</v>
      </c>
      <c r="AK109" s="229">
        <v>1.18E-2</v>
      </c>
      <c r="AL109" s="228">
        <v>19</v>
      </c>
      <c r="AM109" s="228">
        <v>15.3</v>
      </c>
      <c r="AN109" s="228">
        <v>3.7</v>
      </c>
      <c r="AO109" s="229">
        <v>1.6400000000000001E-2</v>
      </c>
      <c r="AP109" s="231">
        <v>1162.19</v>
      </c>
      <c r="AQ109" s="231">
        <v>1167.43</v>
      </c>
      <c r="AR109" s="228">
        <v>0</v>
      </c>
      <c r="AS109" s="228">
        <v>224</v>
      </c>
      <c r="AT109" s="228">
        <v>554</v>
      </c>
      <c r="AU109" s="228">
        <v>-330</v>
      </c>
      <c r="AV109" s="229">
        <v>-0.59589999999999999</v>
      </c>
      <c r="AW109" s="228">
        <v>213</v>
      </c>
      <c r="AX109" s="228">
        <v>536</v>
      </c>
      <c r="AY109" s="228">
        <v>-322</v>
      </c>
      <c r="AZ109" s="229">
        <v>-0.60189999999999999</v>
      </c>
      <c r="BA109" s="228">
        <v>9</v>
      </c>
      <c r="BB109" s="228">
        <v>16</v>
      </c>
      <c r="BC109" s="228">
        <v>-7</v>
      </c>
      <c r="BD109" s="229">
        <v>-0.43269999999999997</v>
      </c>
      <c r="BE109" s="228">
        <v>1</v>
      </c>
      <c r="BF109" s="228">
        <v>2</v>
      </c>
      <c r="BG109" s="228">
        <v>-1</v>
      </c>
      <c r="BH109" s="229">
        <v>-0.30430000000000001</v>
      </c>
      <c r="BI109" s="228">
        <v>737</v>
      </c>
      <c r="BJ109" s="230">
        <v>1874</v>
      </c>
      <c r="BK109" s="230">
        <v>-1137</v>
      </c>
      <c r="BL109" s="229">
        <v>-0.60670000000000002</v>
      </c>
      <c r="BM109" s="228">
        <v>372</v>
      </c>
      <c r="BN109" s="228">
        <v>797</v>
      </c>
      <c r="BO109" s="228">
        <v>-425</v>
      </c>
      <c r="BP109" s="229">
        <v>-0.5333</v>
      </c>
      <c r="BQ109" s="230">
        <v>1333</v>
      </c>
      <c r="BR109" s="230">
        <v>3225</v>
      </c>
      <c r="BS109" s="230">
        <v>-1892</v>
      </c>
      <c r="BT109" s="229">
        <v>-0.5867</v>
      </c>
      <c r="BU109" s="230">
        <v>1050171</v>
      </c>
      <c r="BV109" s="230">
        <v>2271185</v>
      </c>
      <c r="BW109" s="230">
        <v>-1221014</v>
      </c>
      <c r="BX109" s="229">
        <v>-0.53759999999999997</v>
      </c>
      <c r="BY109" s="230">
        <v>5234</v>
      </c>
      <c r="BZ109" s="230">
        <v>5228</v>
      </c>
      <c r="CA109" s="228">
        <v>6</v>
      </c>
      <c r="CB109" s="229">
        <v>1.1000000000000001E-3</v>
      </c>
      <c r="CC109" s="230">
        <v>5211</v>
      </c>
      <c r="CD109" s="230">
        <v>5207</v>
      </c>
      <c r="CE109" s="228">
        <v>4</v>
      </c>
      <c r="CF109" s="229">
        <v>8.0000000000000004E-4</v>
      </c>
      <c r="CG109" s="228">
        <v>22</v>
      </c>
      <c r="CH109" s="228">
        <v>20</v>
      </c>
      <c r="CI109" s="228">
        <v>2</v>
      </c>
      <c r="CJ109" s="229">
        <v>7.9100000000000004E-2</v>
      </c>
      <c r="CK109" s="228">
        <v>2</v>
      </c>
      <c r="CL109" s="228">
        <v>1</v>
      </c>
      <c r="CM109" s="228">
        <v>0</v>
      </c>
      <c r="CN109" s="229">
        <v>0.3125</v>
      </c>
      <c r="CO109" s="228">
        <v>575</v>
      </c>
      <c r="CP109" s="228">
        <v>561</v>
      </c>
      <c r="CQ109" s="228">
        <v>14</v>
      </c>
      <c r="CR109" s="229">
        <v>2.4899999999999999E-2</v>
      </c>
      <c r="CS109" s="228">
        <v>373</v>
      </c>
      <c r="CT109" s="228">
        <v>358</v>
      </c>
      <c r="CU109" s="228">
        <v>15</v>
      </c>
      <c r="CV109" s="229">
        <v>4.2500000000000003E-2</v>
      </c>
      <c r="CW109" s="230">
        <v>6182</v>
      </c>
      <c r="CX109" s="230">
        <v>6147</v>
      </c>
      <c r="CY109" s="228">
        <v>35</v>
      </c>
      <c r="CZ109" s="229">
        <v>5.7000000000000002E-3</v>
      </c>
      <c r="DA109" s="228">
        <v>24.09</v>
      </c>
      <c r="DB109" s="228">
        <v>23.18</v>
      </c>
      <c r="DC109" s="228">
        <v>0.91</v>
      </c>
      <c r="DD109" s="228">
        <v>0.91</v>
      </c>
      <c r="DE109" s="228">
        <v>29.73</v>
      </c>
      <c r="DF109" s="228">
        <v>29.8</v>
      </c>
      <c r="DG109" s="228">
        <v>-5.64</v>
      </c>
      <c r="DH109" s="228">
        <v>-7.0000000000000007E-2</v>
      </c>
      <c r="DI109" s="228">
        <v>24.12</v>
      </c>
      <c r="DJ109" s="228">
        <v>23.06</v>
      </c>
      <c r="DK109" s="228">
        <v>1.06</v>
      </c>
      <c r="DL109" s="228">
        <v>1.06</v>
      </c>
      <c r="DM109" s="228">
        <v>24.03</v>
      </c>
      <c r="DN109" s="228">
        <v>23.46</v>
      </c>
      <c r="DO109" s="228">
        <v>0.56999999999999995</v>
      </c>
      <c r="DP109" s="228">
        <v>0.56999999999999995</v>
      </c>
      <c r="DQ109" s="228">
        <v>0.65</v>
      </c>
      <c r="DR109" s="228">
        <v>0.64</v>
      </c>
      <c r="DS109" s="228">
        <v>0.01</v>
      </c>
      <c r="DT109" s="229">
        <v>1.5599999999999999E-2</v>
      </c>
      <c r="DU109" s="231">
        <v>1300</v>
      </c>
      <c r="DV109" s="231">
        <v>1100</v>
      </c>
      <c r="DW109" s="228">
        <v>0.5</v>
      </c>
      <c r="DX109" s="228">
        <v>0.43</v>
      </c>
      <c r="DY109" s="228">
        <v>7.0000000000000007E-2</v>
      </c>
      <c r="DZ109" s="229">
        <v>0.1628</v>
      </c>
      <c r="EA109" s="229">
        <v>4.4000000000000003E-3</v>
      </c>
      <c r="EB109" s="230">
        <v>181575</v>
      </c>
      <c r="EC109" s="229">
        <v>5.1999999999999998E-3</v>
      </c>
      <c r="ED109" s="229">
        <v>4.4000000000000003E-3</v>
      </c>
      <c r="EE109" s="228">
        <v>5.24</v>
      </c>
      <c r="EF109" s="229">
        <v>4.4999999999999997E-3</v>
      </c>
      <c r="EG109" s="230">
        <v>448797</v>
      </c>
      <c r="EH109" s="230">
        <v>839693</v>
      </c>
      <c r="EI109" s="229">
        <v>-0.46550000000000002</v>
      </c>
      <c r="EJ109" s="229">
        <v>0.4274</v>
      </c>
      <c r="EK109" s="228">
        <v>767.79</v>
      </c>
      <c r="EL109" s="228">
        <v>365.96</v>
      </c>
      <c r="EM109" s="228">
        <v>222.92</v>
      </c>
      <c r="EN109" s="228">
        <v>169.78</v>
      </c>
      <c r="EO109" s="231">
        <v>1356.67</v>
      </c>
      <c r="EP109" s="231">
        <v>3290.97</v>
      </c>
      <c r="EQ109" s="231">
        <v>-1934.3</v>
      </c>
      <c r="ER109" s="229">
        <v>-0.58779999999999999</v>
      </c>
      <c r="ES109" s="228">
        <v>593.98</v>
      </c>
      <c r="ET109" s="228">
        <v>348.77</v>
      </c>
      <c r="EU109" s="231">
        <v>5233.8100000000004</v>
      </c>
      <c r="EV109" s="231">
        <v>133166619</v>
      </c>
      <c r="EW109" s="231">
        <v>6176.56</v>
      </c>
      <c r="EX109" s="231">
        <v>6149.21</v>
      </c>
      <c r="EY109" s="228">
        <v>27.35</v>
      </c>
      <c r="EZ109" s="229">
        <v>4.4000000000000003E-3</v>
      </c>
      <c r="FA109" s="229">
        <v>0.39760000000000001</v>
      </c>
      <c r="FB109" s="227" t="s">
        <v>567</v>
      </c>
      <c r="FC109">
        <f t="shared" si="1"/>
        <v>23</v>
      </c>
    </row>
    <row r="110" spans="1:159" ht="17.25" thickBot="1" x14ac:dyDescent="0.3">
      <c r="A110" s="226">
        <v>45936</v>
      </c>
      <c r="B110" s="227" t="s">
        <v>168</v>
      </c>
      <c r="C110" s="227" t="s">
        <v>245</v>
      </c>
      <c r="D110" s="228">
        <v>1250</v>
      </c>
      <c r="E110" s="228">
        <v>22</v>
      </c>
      <c r="F110" s="228">
        <v>626.70000000000005</v>
      </c>
      <c r="G110" s="228">
        <v>631.95000000000005</v>
      </c>
      <c r="H110" s="228">
        <v>-5.25</v>
      </c>
      <c r="I110" s="229">
        <v>-8.3000000000000001E-3</v>
      </c>
      <c r="J110" s="228">
        <v>623.35</v>
      </c>
      <c r="K110" s="228">
        <v>628.45000000000005</v>
      </c>
      <c r="L110" s="228">
        <v>-5.0999999999999996</v>
      </c>
      <c r="M110" s="229">
        <v>-8.0999999999999996E-3</v>
      </c>
      <c r="N110" s="228">
        <v>626.70000000000005</v>
      </c>
      <c r="O110" s="228">
        <v>631.95000000000005</v>
      </c>
      <c r="P110" s="228">
        <v>-5.25</v>
      </c>
      <c r="Q110" s="229">
        <v>-8.3000000000000001E-3</v>
      </c>
      <c r="R110" s="228">
        <v>629.70000000000005</v>
      </c>
      <c r="S110" s="228">
        <v>634.75</v>
      </c>
      <c r="T110" s="228">
        <v>-5.05</v>
      </c>
      <c r="U110" s="229">
        <v>-8.0000000000000002E-3</v>
      </c>
      <c r="V110" s="228">
        <v>632.29999999999995</v>
      </c>
      <c r="W110" s="228">
        <v>635.70000000000005</v>
      </c>
      <c r="X110" s="228">
        <v>-3.4</v>
      </c>
      <c r="Y110" s="229">
        <v>-5.3E-3</v>
      </c>
      <c r="Z110" s="228">
        <v>3.35</v>
      </c>
      <c r="AA110" s="228">
        <v>3.5</v>
      </c>
      <c r="AB110" s="228">
        <v>-0.15</v>
      </c>
      <c r="AC110" s="229">
        <v>5.4000000000000003E-3</v>
      </c>
      <c r="AD110" s="228">
        <v>3.35</v>
      </c>
      <c r="AE110" s="228">
        <v>3.5</v>
      </c>
      <c r="AF110" s="228">
        <v>-0.15</v>
      </c>
      <c r="AG110" s="229">
        <v>5.4000000000000003E-3</v>
      </c>
      <c r="AH110" s="228">
        <v>6.35</v>
      </c>
      <c r="AI110" s="228">
        <v>6.3</v>
      </c>
      <c r="AJ110" s="228">
        <v>0.05</v>
      </c>
      <c r="AK110" s="229">
        <v>1.0200000000000001E-2</v>
      </c>
      <c r="AL110" s="228">
        <v>8.9499999999999993</v>
      </c>
      <c r="AM110" s="228">
        <v>7.25</v>
      </c>
      <c r="AN110" s="228">
        <v>1.7</v>
      </c>
      <c r="AO110" s="229">
        <v>1.44E-2</v>
      </c>
      <c r="AP110" s="228">
        <v>629.30999999999995</v>
      </c>
      <c r="AQ110" s="228">
        <v>631.99</v>
      </c>
      <c r="AR110" s="228">
        <v>0</v>
      </c>
      <c r="AS110" s="228">
        <v>275</v>
      </c>
      <c r="AT110" s="228">
        <v>134</v>
      </c>
      <c r="AU110" s="228">
        <v>141</v>
      </c>
      <c r="AV110" s="229">
        <v>1.052</v>
      </c>
      <c r="AW110" s="228">
        <v>264</v>
      </c>
      <c r="AX110" s="228">
        <v>131</v>
      </c>
      <c r="AY110" s="228">
        <v>134</v>
      </c>
      <c r="AZ110" s="229">
        <v>1.0264</v>
      </c>
      <c r="BA110" s="228">
        <v>10</v>
      </c>
      <c r="BB110" s="228">
        <v>3</v>
      </c>
      <c r="BC110" s="228">
        <v>6</v>
      </c>
      <c r="BD110" s="229">
        <v>2</v>
      </c>
      <c r="BE110" s="228">
        <v>1</v>
      </c>
      <c r="BF110" s="228">
        <v>0</v>
      </c>
      <c r="BG110" s="228">
        <v>1</v>
      </c>
      <c r="BH110" s="229">
        <v>2.3332999999999999</v>
      </c>
      <c r="BI110" s="228">
        <v>496</v>
      </c>
      <c r="BJ110" s="228">
        <v>268</v>
      </c>
      <c r="BK110" s="228">
        <v>228</v>
      </c>
      <c r="BL110" s="229">
        <v>0.85150000000000003</v>
      </c>
      <c r="BM110" s="228">
        <v>238</v>
      </c>
      <c r="BN110" s="228">
        <v>91</v>
      </c>
      <c r="BO110" s="228">
        <v>147</v>
      </c>
      <c r="BP110" s="229">
        <v>1.6234999999999999</v>
      </c>
      <c r="BQ110" s="230">
        <v>1009</v>
      </c>
      <c r="BR110" s="228">
        <v>493</v>
      </c>
      <c r="BS110" s="228">
        <v>516</v>
      </c>
      <c r="BT110" s="229">
        <v>1.0482</v>
      </c>
      <c r="BU110" s="230">
        <v>1583208</v>
      </c>
      <c r="BV110" s="230">
        <v>597445</v>
      </c>
      <c r="BW110" s="230">
        <v>985763</v>
      </c>
      <c r="BX110" s="229">
        <v>1.65</v>
      </c>
      <c r="BY110" s="230">
        <v>1317</v>
      </c>
      <c r="BZ110" s="230">
        <v>1321</v>
      </c>
      <c r="CA110" s="228">
        <v>-4</v>
      </c>
      <c r="CB110" s="229">
        <v>-3.0999999999999999E-3</v>
      </c>
      <c r="CC110" s="230">
        <v>1297</v>
      </c>
      <c r="CD110" s="230">
        <v>1304</v>
      </c>
      <c r="CE110" s="228">
        <v>-7</v>
      </c>
      <c r="CF110" s="229">
        <v>-5.5999999999999999E-3</v>
      </c>
      <c r="CG110" s="228">
        <v>20</v>
      </c>
      <c r="CH110" s="228">
        <v>17</v>
      </c>
      <c r="CI110" s="228">
        <v>3</v>
      </c>
      <c r="CJ110" s="229">
        <v>0.1767</v>
      </c>
      <c r="CK110" s="228">
        <v>0</v>
      </c>
      <c r="CL110" s="228">
        <v>0</v>
      </c>
      <c r="CM110" s="228">
        <v>0</v>
      </c>
      <c r="CN110" s="229">
        <v>2</v>
      </c>
      <c r="CO110" s="228">
        <v>281</v>
      </c>
      <c r="CP110" s="228">
        <v>212</v>
      </c>
      <c r="CQ110" s="228">
        <v>69</v>
      </c>
      <c r="CR110" s="229">
        <v>0.32519999999999999</v>
      </c>
      <c r="CS110" s="228">
        <v>186</v>
      </c>
      <c r="CT110" s="228">
        <v>145</v>
      </c>
      <c r="CU110" s="228">
        <v>41</v>
      </c>
      <c r="CV110" s="229">
        <v>0.27950000000000003</v>
      </c>
      <c r="CW110" s="230">
        <v>1784</v>
      </c>
      <c r="CX110" s="230">
        <v>1679</v>
      </c>
      <c r="CY110" s="228">
        <v>106</v>
      </c>
      <c r="CZ110" s="229">
        <v>6.2899999999999998E-2</v>
      </c>
      <c r="DA110" s="228">
        <v>26.01</v>
      </c>
      <c r="DB110" s="228">
        <v>25.24</v>
      </c>
      <c r="DC110" s="228">
        <v>0.77</v>
      </c>
      <c r="DD110" s="228">
        <v>0.77</v>
      </c>
      <c r="DE110" s="228">
        <v>34.28</v>
      </c>
      <c r="DF110" s="228">
        <v>34.35</v>
      </c>
      <c r="DG110" s="228">
        <v>-8.27</v>
      </c>
      <c r="DH110" s="228">
        <v>-7.0000000000000007E-2</v>
      </c>
      <c r="DI110" s="228">
        <v>26.02</v>
      </c>
      <c r="DJ110" s="228">
        <v>24.92</v>
      </c>
      <c r="DK110" s="228">
        <v>1.1000000000000001</v>
      </c>
      <c r="DL110" s="228">
        <v>1.1000000000000001</v>
      </c>
      <c r="DM110" s="228">
        <v>26</v>
      </c>
      <c r="DN110" s="228">
        <v>26.18</v>
      </c>
      <c r="DO110" s="228">
        <v>-0.18</v>
      </c>
      <c r="DP110" s="228">
        <v>-0.18</v>
      </c>
      <c r="DQ110" s="228">
        <v>0.66</v>
      </c>
      <c r="DR110" s="228">
        <v>0.68</v>
      </c>
      <c r="DS110" s="228">
        <v>-0.02</v>
      </c>
      <c r="DT110" s="229">
        <v>-2.9399999999999999E-2</v>
      </c>
      <c r="DU110" s="228">
        <v>700</v>
      </c>
      <c r="DV110" s="228">
        <v>620</v>
      </c>
      <c r="DW110" s="228">
        <v>0.48</v>
      </c>
      <c r="DX110" s="228">
        <v>0.34</v>
      </c>
      <c r="DY110" s="228">
        <v>0.14000000000000001</v>
      </c>
      <c r="DZ110" s="229">
        <v>0.4118</v>
      </c>
      <c r="EA110" s="229">
        <v>1.54E-2</v>
      </c>
      <c r="EB110" s="230">
        <v>271250</v>
      </c>
      <c r="EC110" s="229">
        <v>4.7999999999999996E-3</v>
      </c>
      <c r="ED110" s="229">
        <v>1.54E-2</v>
      </c>
      <c r="EE110" s="228">
        <v>2.68</v>
      </c>
      <c r="EF110" s="229">
        <v>4.3E-3</v>
      </c>
      <c r="EG110" s="230">
        <v>631823</v>
      </c>
      <c r="EH110" s="230">
        <v>250651</v>
      </c>
      <c r="EI110" s="229">
        <v>1.5206999999999999</v>
      </c>
      <c r="EJ110" s="229">
        <v>0.39910000000000001</v>
      </c>
      <c r="EK110" s="228">
        <v>520.05999999999995</v>
      </c>
      <c r="EL110" s="228">
        <v>237.56</v>
      </c>
      <c r="EM110" s="228">
        <v>276.08</v>
      </c>
      <c r="EN110" s="228">
        <v>69.540000000000006</v>
      </c>
      <c r="EO110" s="231">
        <v>1033.7</v>
      </c>
      <c r="EP110" s="228">
        <v>504.39</v>
      </c>
      <c r="EQ110" s="228">
        <v>529.29999999999995</v>
      </c>
      <c r="ER110" s="229">
        <v>1.0494000000000001</v>
      </c>
      <c r="ES110" s="228">
        <v>294.62</v>
      </c>
      <c r="ET110" s="228">
        <v>179.58</v>
      </c>
      <c r="EU110" s="231">
        <v>1317.34</v>
      </c>
      <c r="EV110" s="231">
        <v>48884739</v>
      </c>
      <c r="EW110" s="231">
        <v>1791.54</v>
      </c>
      <c r="EX110" s="231">
        <v>1696.24</v>
      </c>
      <c r="EY110" s="228">
        <v>95.3</v>
      </c>
      <c r="EZ110" s="229">
        <v>5.62E-2</v>
      </c>
      <c r="FA110" s="229">
        <v>0.58240000000000003</v>
      </c>
      <c r="FB110" s="227" t="s">
        <v>568</v>
      </c>
      <c r="FC110">
        <f t="shared" si="1"/>
        <v>20</v>
      </c>
    </row>
    <row r="111" spans="1:159" ht="17.25" thickBot="1" x14ac:dyDescent="0.3">
      <c r="A111" s="226">
        <v>45936</v>
      </c>
      <c r="B111" s="227" t="s">
        <v>168</v>
      </c>
      <c r="C111" s="227" t="s">
        <v>583</v>
      </c>
      <c r="D111" s="228">
        <v>1175</v>
      </c>
      <c r="E111" s="228">
        <v>22</v>
      </c>
      <c r="F111" s="228">
        <v>487.1</v>
      </c>
      <c r="G111" s="228">
        <v>493.55</v>
      </c>
      <c r="H111" s="228">
        <v>-6.45</v>
      </c>
      <c r="I111" s="229">
        <v>-1.3100000000000001E-2</v>
      </c>
      <c r="J111" s="228">
        <v>485.35</v>
      </c>
      <c r="K111" s="228">
        <v>492.15</v>
      </c>
      <c r="L111" s="228">
        <v>-6.8</v>
      </c>
      <c r="M111" s="229">
        <v>-1.38E-2</v>
      </c>
      <c r="N111" s="228">
        <v>487.1</v>
      </c>
      <c r="O111" s="228">
        <v>493.55</v>
      </c>
      <c r="P111" s="228">
        <v>-6.45</v>
      </c>
      <c r="Q111" s="229">
        <v>-1.3100000000000001E-2</v>
      </c>
      <c r="R111" s="228">
        <v>489.15</v>
      </c>
      <c r="S111" s="228">
        <v>497.1</v>
      </c>
      <c r="T111" s="228">
        <v>-7.95</v>
      </c>
      <c r="U111" s="229">
        <v>-1.6E-2</v>
      </c>
      <c r="V111" s="228">
        <v>492.35</v>
      </c>
      <c r="W111" s="228">
        <v>496.7</v>
      </c>
      <c r="X111" s="228">
        <v>-4.3499999999999996</v>
      </c>
      <c r="Y111" s="229">
        <v>-8.8000000000000005E-3</v>
      </c>
      <c r="Z111" s="228">
        <v>1.75</v>
      </c>
      <c r="AA111" s="228">
        <v>1.4</v>
      </c>
      <c r="AB111" s="228">
        <v>0.35</v>
      </c>
      <c r="AC111" s="229">
        <v>3.5999999999999999E-3</v>
      </c>
      <c r="AD111" s="228">
        <v>1.75</v>
      </c>
      <c r="AE111" s="228">
        <v>1.4</v>
      </c>
      <c r="AF111" s="228">
        <v>0.35</v>
      </c>
      <c r="AG111" s="229">
        <v>3.5999999999999999E-3</v>
      </c>
      <c r="AH111" s="228">
        <v>3.8</v>
      </c>
      <c r="AI111" s="228">
        <v>4.95</v>
      </c>
      <c r="AJ111" s="228">
        <v>-1.1499999999999999</v>
      </c>
      <c r="AK111" s="229">
        <v>7.7999999999999996E-3</v>
      </c>
      <c r="AL111" s="228">
        <v>7</v>
      </c>
      <c r="AM111" s="228">
        <v>4.55</v>
      </c>
      <c r="AN111" s="228">
        <v>2.4500000000000002</v>
      </c>
      <c r="AO111" s="229">
        <v>1.44E-2</v>
      </c>
      <c r="AP111" s="228">
        <v>488.15</v>
      </c>
      <c r="AQ111" s="228">
        <v>490.46</v>
      </c>
      <c r="AR111" s="228">
        <v>0</v>
      </c>
      <c r="AS111" s="228">
        <v>307</v>
      </c>
      <c r="AT111" s="228">
        <v>537</v>
      </c>
      <c r="AU111" s="228">
        <v>-230</v>
      </c>
      <c r="AV111" s="229">
        <v>-0.42820000000000003</v>
      </c>
      <c r="AW111" s="228">
        <v>289</v>
      </c>
      <c r="AX111" s="228">
        <v>499</v>
      </c>
      <c r="AY111" s="228">
        <v>-210</v>
      </c>
      <c r="AZ111" s="229">
        <v>-0.42030000000000001</v>
      </c>
      <c r="BA111" s="228">
        <v>15</v>
      </c>
      <c r="BB111" s="228">
        <v>35</v>
      </c>
      <c r="BC111" s="228">
        <v>-20</v>
      </c>
      <c r="BD111" s="229">
        <v>-0.57030000000000003</v>
      </c>
      <c r="BE111" s="228">
        <v>3</v>
      </c>
      <c r="BF111" s="228">
        <v>3</v>
      </c>
      <c r="BG111" s="228">
        <v>0</v>
      </c>
      <c r="BH111" s="229">
        <v>-4.2599999999999999E-2</v>
      </c>
      <c r="BI111" s="230">
        <v>1066</v>
      </c>
      <c r="BJ111" s="230">
        <v>2347</v>
      </c>
      <c r="BK111" s="230">
        <v>-1281</v>
      </c>
      <c r="BL111" s="229">
        <v>-0.54569999999999996</v>
      </c>
      <c r="BM111" s="228">
        <v>420</v>
      </c>
      <c r="BN111" s="228">
        <v>862</v>
      </c>
      <c r="BO111" s="228">
        <v>-442</v>
      </c>
      <c r="BP111" s="229">
        <v>-0.51290000000000002</v>
      </c>
      <c r="BQ111" s="230">
        <v>1793</v>
      </c>
      <c r="BR111" s="230">
        <v>3745</v>
      </c>
      <c r="BS111" s="230">
        <v>-1952</v>
      </c>
      <c r="BT111" s="229">
        <v>-0.52129999999999999</v>
      </c>
      <c r="BU111" s="230">
        <v>4828417</v>
      </c>
      <c r="BV111" s="230">
        <v>10419875</v>
      </c>
      <c r="BW111" s="230">
        <v>-5591458</v>
      </c>
      <c r="BX111" s="229">
        <v>-0.53659999999999997</v>
      </c>
      <c r="BY111" s="230">
        <v>1504</v>
      </c>
      <c r="BZ111" s="230">
        <v>1473</v>
      </c>
      <c r="CA111" s="228">
        <v>30</v>
      </c>
      <c r="CB111" s="229">
        <v>2.06E-2</v>
      </c>
      <c r="CC111" s="230">
        <v>1454</v>
      </c>
      <c r="CD111" s="230">
        <v>1427</v>
      </c>
      <c r="CE111" s="228">
        <v>26</v>
      </c>
      <c r="CF111" s="229">
        <v>1.84E-2</v>
      </c>
      <c r="CG111" s="228">
        <v>46</v>
      </c>
      <c r="CH111" s="228">
        <v>44</v>
      </c>
      <c r="CI111" s="228">
        <v>2</v>
      </c>
      <c r="CJ111" s="229">
        <v>4.9200000000000001E-2</v>
      </c>
      <c r="CK111" s="228">
        <v>4</v>
      </c>
      <c r="CL111" s="228">
        <v>2</v>
      </c>
      <c r="CM111" s="228">
        <v>2</v>
      </c>
      <c r="CN111" s="229">
        <v>1.2142999999999999</v>
      </c>
      <c r="CO111" s="228">
        <v>594</v>
      </c>
      <c r="CP111" s="228">
        <v>529</v>
      </c>
      <c r="CQ111" s="228">
        <v>65</v>
      </c>
      <c r="CR111" s="229">
        <v>0.1229</v>
      </c>
      <c r="CS111" s="228">
        <v>334</v>
      </c>
      <c r="CT111" s="228">
        <v>321</v>
      </c>
      <c r="CU111" s="228">
        <v>13</v>
      </c>
      <c r="CV111" s="229">
        <v>4.0500000000000001E-2</v>
      </c>
      <c r="CW111" s="230">
        <v>2432</v>
      </c>
      <c r="CX111" s="230">
        <v>2323</v>
      </c>
      <c r="CY111" s="228">
        <v>108</v>
      </c>
      <c r="CZ111" s="229">
        <v>4.6699999999999998E-2</v>
      </c>
      <c r="DA111" s="228">
        <v>36.42</v>
      </c>
      <c r="DB111" s="228">
        <v>35.700000000000003</v>
      </c>
      <c r="DC111" s="228">
        <v>0.72</v>
      </c>
      <c r="DD111" s="228">
        <v>0.72</v>
      </c>
      <c r="DE111" s="228">
        <v>52.57</v>
      </c>
      <c r="DF111" s="228">
        <v>52.67</v>
      </c>
      <c r="DG111" s="228">
        <v>-16.149999999999999</v>
      </c>
      <c r="DH111" s="228">
        <v>-0.1</v>
      </c>
      <c r="DI111" s="228">
        <v>36.75</v>
      </c>
      <c r="DJ111" s="228">
        <v>35.14</v>
      </c>
      <c r="DK111" s="228">
        <v>1.61</v>
      </c>
      <c r="DL111" s="228">
        <v>1.61</v>
      </c>
      <c r="DM111" s="228">
        <v>35.58</v>
      </c>
      <c r="DN111" s="228">
        <v>37.24</v>
      </c>
      <c r="DO111" s="228">
        <v>-1.66</v>
      </c>
      <c r="DP111" s="228">
        <v>-1.66</v>
      </c>
      <c r="DQ111" s="228">
        <v>0.56000000000000005</v>
      </c>
      <c r="DR111" s="228">
        <v>0.61</v>
      </c>
      <c r="DS111" s="228">
        <v>-0.05</v>
      </c>
      <c r="DT111" s="229">
        <v>-8.2000000000000003E-2</v>
      </c>
      <c r="DU111" s="228">
        <v>500</v>
      </c>
      <c r="DV111" s="228">
        <v>460</v>
      </c>
      <c r="DW111" s="228">
        <v>0.39</v>
      </c>
      <c r="DX111" s="228">
        <v>0.37</v>
      </c>
      <c r="DY111" s="228">
        <v>0.02</v>
      </c>
      <c r="DZ111" s="229">
        <v>5.4100000000000002E-2</v>
      </c>
      <c r="EA111" s="229">
        <v>3.32E-2</v>
      </c>
      <c r="EB111" s="230">
        <v>940000</v>
      </c>
      <c r="EC111" s="229">
        <v>4.1999999999999997E-3</v>
      </c>
      <c r="ED111" s="229">
        <v>3.32E-2</v>
      </c>
      <c r="EE111" s="228">
        <v>2.31</v>
      </c>
      <c r="EF111" s="229">
        <v>4.7000000000000002E-3</v>
      </c>
      <c r="EG111" s="230">
        <v>1165224</v>
      </c>
      <c r="EH111" s="230">
        <v>3367121</v>
      </c>
      <c r="EI111" s="229">
        <v>-0.65390000000000004</v>
      </c>
      <c r="EJ111" s="229">
        <v>0.24129999999999999</v>
      </c>
      <c r="EK111" s="231">
        <v>1144.1500000000001</v>
      </c>
      <c r="EL111" s="228">
        <v>416.95</v>
      </c>
      <c r="EM111" s="228">
        <v>307.58</v>
      </c>
      <c r="EN111" s="228">
        <v>120.61</v>
      </c>
      <c r="EO111" s="231">
        <v>1868.67</v>
      </c>
      <c r="EP111" s="231">
        <v>3854.81</v>
      </c>
      <c r="EQ111" s="231">
        <v>-1986.14</v>
      </c>
      <c r="ER111" s="229">
        <v>-0.51519999999999999</v>
      </c>
      <c r="ES111" s="228">
        <v>629.82000000000005</v>
      </c>
      <c r="ET111" s="228">
        <v>317.5</v>
      </c>
      <c r="EU111" s="231">
        <v>1503.89</v>
      </c>
      <c r="EV111" s="231">
        <v>57552009</v>
      </c>
      <c r="EW111" s="231">
        <v>2451.21</v>
      </c>
      <c r="EX111" s="231">
        <v>2356.91</v>
      </c>
      <c r="EY111" s="228">
        <v>94.3</v>
      </c>
      <c r="EZ111" s="229">
        <v>0.04</v>
      </c>
      <c r="FA111" s="229">
        <v>0.86739999999999995</v>
      </c>
      <c r="FB111" s="227" t="s">
        <v>567</v>
      </c>
      <c r="FC111">
        <f t="shared" si="1"/>
        <v>50</v>
      </c>
    </row>
    <row r="112" spans="1:159" ht="17.25" thickBot="1" x14ac:dyDescent="0.3">
      <c r="A112" s="226">
        <v>45936</v>
      </c>
      <c r="B112" s="227" t="s">
        <v>184</v>
      </c>
      <c r="C112" s="227" t="s">
        <v>678</v>
      </c>
      <c r="D112" s="228">
        <v>100</v>
      </c>
      <c r="E112" s="228">
        <v>22</v>
      </c>
      <c r="F112" s="231">
        <v>7487</v>
      </c>
      <c r="G112" s="231">
        <v>7300.5</v>
      </c>
      <c r="H112" s="228">
        <v>186.5</v>
      </c>
      <c r="I112" s="229">
        <v>2.5499999999999998E-2</v>
      </c>
      <c r="J112" s="231">
        <v>7466.5</v>
      </c>
      <c r="K112" s="231">
        <v>7273</v>
      </c>
      <c r="L112" s="228">
        <v>193.5</v>
      </c>
      <c r="M112" s="229">
        <v>2.6599999999999999E-2</v>
      </c>
      <c r="N112" s="231">
        <v>7487</v>
      </c>
      <c r="O112" s="231">
        <v>7300.5</v>
      </c>
      <c r="P112" s="228">
        <v>186.5</v>
      </c>
      <c r="Q112" s="229">
        <v>2.5499999999999998E-2</v>
      </c>
      <c r="R112" s="231">
        <v>7544.5</v>
      </c>
      <c r="S112" s="231">
        <v>7336.5</v>
      </c>
      <c r="T112" s="228">
        <v>208</v>
      </c>
      <c r="U112" s="229">
        <v>2.8400000000000002E-2</v>
      </c>
      <c r="V112" s="231">
        <v>7608</v>
      </c>
      <c r="W112" s="231">
        <v>7379</v>
      </c>
      <c r="X112" s="228">
        <v>229</v>
      </c>
      <c r="Y112" s="229">
        <v>3.1E-2</v>
      </c>
      <c r="Z112" s="228">
        <v>20.5</v>
      </c>
      <c r="AA112" s="228">
        <v>27.5</v>
      </c>
      <c r="AB112" s="228">
        <v>-7</v>
      </c>
      <c r="AC112" s="229">
        <v>2.7000000000000001E-3</v>
      </c>
      <c r="AD112" s="228">
        <v>20.5</v>
      </c>
      <c r="AE112" s="228">
        <v>27.5</v>
      </c>
      <c r="AF112" s="228">
        <v>-7</v>
      </c>
      <c r="AG112" s="229">
        <v>2.7000000000000001E-3</v>
      </c>
      <c r="AH112" s="228">
        <v>78</v>
      </c>
      <c r="AI112" s="228">
        <v>63.5</v>
      </c>
      <c r="AJ112" s="228">
        <v>14.5</v>
      </c>
      <c r="AK112" s="229">
        <v>1.04E-2</v>
      </c>
      <c r="AL112" s="228">
        <v>141.5</v>
      </c>
      <c r="AM112" s="228">
        <v>106</v>
      </c>
      <c r="AN112" s="228">
        <v>35.5</v>
      </c>
      <c r="AO112" s="229">
        <v>1.9E-2</v>
      </c>
      <c r="AP112" s="231">
        <v>7400.92</v>
      </c>
      <c r="AQ112" s="231">
        <v>7457.39</v>
      </c>
      <c r="AR112" s="228">
        <v>0</v>
      </c>
      <c r="AS112" s="228">
        <v>310</v>
      </c>
      <c r="AT112" s="228">
        <v>132</v>
      </c>
      <c r="AU112" s="228">
        <v>178</v>
      </c>
      <c r="AV112" s="229">
        <v>1.3554999999999999</v>
      </c>
      <c r="AW112" s="228">
        <v>296</v>
      </c>
      <c r="AX112" s="228">
        <v>127</v>
      </c>
      <c r="AY112" s="228">
        <v>170</v>
      </c>
      <c r="AZ112" s="229">
        <v>1.3431999999999999</v>
      </c>
      <c r="BA112" s="228">
        <v>12</v>
      </c>
      <c r="BB112" s="228">
        <v>4</v>
      </c>
      <c r="BC112" s="228">
        <v>8</v>
      </c>
      <c r="BD112" s="229">
        <v>1.7966</v>
      </c>
      <c r="BE112" s="228">
        <v>1</v>
      </c>
      <c r="BF112" s="228">
        <v>1</v>
      </c>
      <c r="BG112" s="228">
        <v>1</v>
      </c>
      <c r="BH112" s="229">
        <v>0.77780000000000005</v>
      </c>
      <c r="BI112" s="230">
        <v>1145</v>
      </c>
      <c r="BJ112" s="228">
        <v>410</v>
      </c>
      <c r="BK112" s="228">
        <v>735</v>
      </c>
      <c r="BL112" s="229">
        <v>1.7955000000000001</v>
      </c>
      <c r="BM112" s="228">
        <v>242</v>
      </c>
      <c r="BN112" s="228">
        <v>118</v>
      </c>
      <c r="BO112" s="228">
        <v>124</v>
      </c>
      <c r="BP112" s="229">
        <v>1.0476000000000001</v>
      </c>
      <c r="BQ112" s="230">
        <v>1697</v>
      </c>
      <c r="BR112" s="228">
        <v>659</v>
      </c>
      <c r="BS112" s="230">
        <v>1038</v>
      </c>
      <c r="BT112" s="229">
        <v>1.5737000000000001</v>
      </c>
      <c r="BU112" s="230">
        <v>502196</v>
      </c>
      <c r="BV112" s="230">
        <v>193257</v>
      </c>
      <c r="BW112" s="230">
        <v>308939</v>
      </c>
      <c r="BX112" s="229">
        <v>1.5986</v>
      </c>
      <c r="BY112" s="228">
        <v>817</v>
      </c>
      <c r="BZ112" s="228">
        <v>816</v>
      </c>
      <c r="CA112" s="228">
        <v>2</v>
      </c>
      <c r="CB112" s="229">
        <v>1.9E-3</v>
      </c>
      <c r="CC112" s="228">
        <v>797</v>
      </c>
      <c r="CD112" s="228">
        <v>799</v>
      </c>
      <c r="CE112" s="228">
        <v>-2</v>
      </c>
      <c r="CF112" s="229">
        <v>-2.0999999999999999E-3</v>
      </c>
      <c r="CG112" s="228">
        <v>18</v>
      </c>
      <c r="CH112" s="228">
        <v>16</v>
      </c>
      <c r="CI112" s="228">
        <v>3</v>
      </c>
      <c r="CJ112" s="229">
        <v>0.1731</v>
      </c>
      <c r="CK112" s="228">
        <v>2</v>
      </c>
      <c r="CL112" s="228">
        <v>1</v>
      </c>
      <c r="CM112" s="228">
        <v>1</v>
      </c>
      <c r="CN112" s="229">
        <v>0.4375</v>
      </c>
      <c r="CO112" s="228">
        <v>463</v>
      </c>
      <c r="CP112" s="228">
        <v>467</v>
      </c>
      <c r="CQ112" s="228">
        <v>-5</v>
      </c>
      <c r="CR112" s="229">
        <v>-1.01E-2</v>
      </c>
      <c r="CS112" s="228">
        <v>262</v>
      </c>
      <c r="CT112" s="228">
        <v>246</v>
      </c>
      <c r="CU112" s="228">
        <v>16</v>
      </c>
      <c r="CV112" s="229">
        <v>6.7100000000000007E-2</v>
      </c>
      <c r="CW112" s="230">
        <v>1542</v>
      </c>
      <c r="CX112" s="230">
        <v>1529</v>
      </c>
      <c r="CY112" s="228">
        <v>13</v>
      </c>
      <c r="CZ112" s="229">
        <v>8.6999999999999994E-3</v>
      </c>
      <c r="DA112" s="228">
        <v>36.409999999999997</v>
      </c>
      <c r="DB112" s="228">
        <v>36.19</v>
      </c>
      <c r="DC112" s="228">
        <v>0.22</v>
      </c>
      <c r="DD112" s="228">
        <v>0.22</v>
      </c>
      <c r="DE112" s="228">
        <v>55.96</v>
      </c>
      <c r="DF112" s="228">
        <v>56</v>
      </c>
      <c r="DG112" s="228">
        <v>-19.55</v>
      </c>
      <c r="DH112" s="228">
        <v>-0.04</v>
      </c>
      <c r="DI112" s="228">
        <v>36.15</v>
      </c>
      <c r="DJ112" s="228">
        <v>35.799999999999997</v>
      </c>
      <c r="DK112" s="228">
        <v>0.35</v>
      </c>
      <c r="DL112" s="228">
        <v>0.35</v>
      </c>
      <c r="DM112" s="228">
        <v>37.659999999999997</v>
      </c>
      <c r="DN112" s="228">
        <v>37.54</v>
      </c>
      <c r="DO112" s="228">
        <v>0.12</v>
      </c>
      <c r="DP112" s="228">
        <v>0.12</v>
      </c>
      <c r="DQ112" s="228">
        <v>0.56999999999999995</v>
      </c>
      <c r="DR112" s="228">
        <v>0.53</v>
      </c>
      <c r="DS112" s="228">
        <v>0.04</v>
      </c>
      <c r="DT112" s="229">
        <v>7.5499999999999998E-2</v>
      </c>
      <c r="DU112" s="231">
        <v>7000</v>
      </c>
      <c r="DV112" s="231">
        <v>7000</v>
      </c>
      <c r="DW112" s="228">
        <v>0.21</v>
      </c>
      <c r="DX112" s="228">
        <v>0.28999999999999998</v>
      </c>
      <c r="DY112" s="228">
        <v>-0.08</v>
      </c>
      <c r="DZ112" s="229">
        <v>-0.27589999999999998</v>
      </c>
      <c r="EA112" s="229">
        <v>2.4500000000000001E-2</v>
      </c>
      <c r="EB112" s="230">
        <v>22400</v>
      </c>
      <c r="EC112" s="229">
        <v>7.7000000000000002E-3</v>
      </c>
      <c r="ED112" s="229">
        <v>2.4500000000000001E-2</v>
      </c>
      <c r="EE112" s="228">
        <v>56.47</v>
      </c>
      <c r="EF112" s="229">
        <v>7.6E-3</v>
      </c>
      <c r="EG112" s="230">
        <v>236020</v>
      </c>
      <c r="EH112" s="230">
        <v>63191</v>
      </c>
      <c r="EI112" s="229">
        <v>2.7349999999999999</v>
      </c>
      <c r="EJ112" s="229">
        <v>0.47</v>
      </c>
      <c r="EK112" s="231">
        <v>1198.1400000000001</v>
      </c>
      <c r="EL112" s="228">
        <v>228.9</v>
      </c>
      <c r="EM112" s="228">
        <v>306.57</v>
      </c>
      <c r="EN112" s="228">
        <v>61.97</v>
      </c>
      <c r="EO112" s="231">
        <v>1733.61</v>
      </c>
      <c r="EP112" s="228">
        <v>658.88</v>
      </c>
      <c r="EQ112" s="231">
        <v>1074.73</v>
      </c>
      <c r="ER112" s="229">
        <v>1.6311</v>
      </c>
      <c r="ES112" s="228">
        <v>465.14</v>
      </c>
      <c r="ET112" s="228">
        <v>242.22</v>
      </c>
      <c r="EU112" s="228">
        <v>817.52</v>
      </c>
      <c r="EV112" s="231">
        <v>4667784</v>
      </c>
      <c r="EW112" s="231">
        <v>1524.88</v>
      </c>
      <c r="EX112" s="231">
        <v>1486.98</v>
      </c>
      <c r="EY112" s="228">
        <v>37.9</v>
      </c>
      <c r="EZ112" s="229">
        <v>2.5499999999999998E-2</v>
      </c>
      <c r="FA112" s="229">
        <v>0.44130000000000003</v>
      </c>
      <c r="FB112" s="227" t="s">
        <v>555</v>
      </c>
      <c r="FC112">
        <f t="shared" si="1"/>
        <v>20</v>
      </c>
    </row>
    <row r="113" spans="1:159" ht="17.25" thickBot="1" x14ac:dyDescent="0.3">
      <c r="A113" s="226">
        <v>45936</v>
      </c>
      <c r="B113" s="227" t="s">
        <v>161</v>
      </c>
      <c r="C113" s="227" t="s">
        <v>611</v>
      </c>
      <c r="D113" s="228">
        <v>175</v>
      </c>
      <c r="E113" s="228">
        <v>22</v>
      </c>
      <c r="F113" s="231">
        <v>4154.7</v>
      </c>
      <c r="G113" s="231">
        <v>4070.5</v>
      </c>
      <c r="H113" s="228">
        <v>84.2</v>
      </c>
      <c r="I113" s="229">
        <v>2.07E-2</v>
      </c>
      <c r="J113" s="231">
        <v>4131.7</v>
      </c>
      <c r="K113" s="231">
        <v>4037.2</v>
      </c>
      <c r="L113" s="228">
        <v>94.5</v>
      </c>
      <c r="M113" s="229">
        <v>2.3400000000000001E-2</v>
      </c>
      <c r="N113" s="231">
        <v>4154.7</v>
      </c>
      <c r="O113" s="231">
        <v>4070.5</v>
      </c>
      <c r="P113" s="228">
        <v>84.2</v>
      </c>
      <c r="Q113" s="229">
        <v>2.07E-2</v>
      </c>
      <c r="R113" s="231">
        <v>4187.1000000000004</v>
      </c>
      <c r="S113" s="231">
        <v>4095.3</v>
      </c>
      <c r="T113" s="228">
        <v>91.8</v>
      </c>
      <c r="U113" s="229">
        <v>2.24E-2</v>
      </c>
      <c r="V113" s="231">
        <v>4202.3</v>
      </c>
      <c r="W113" s="231">
        <v>4067.6</v>
      </c>
      <c r="X113" s="228">
        <v>134.69999999999999</v>
      </c>
      <c r="Y113" s="229">
        <v>3.3099999999999997E-2</v>
      </c>
      <c r="Z113" s="228">
        <v>23</v>
      </c>
      <c r="AA113" s="228">
        <v>33.299999999999997</v>
      </c>
      <c r="AB113" s="228">
        <v>-10.3</v>
      </c>
      <c r="AC113" s="229">
        <v>5.5999999999999999E-3</v>
      </c>
      <c r="AD113" s="228">
        <v>23</v>
      </c>
      <c r="AE113" s="228">
        <v>33.299999999999997</v>
      </c>
      <c r="AF113" s="228">
        <v>-10.3</v>
      </c>
      <c r="AG113" s="229">
        <v>5.5999999999999999E-3</v>
      </c>
      <c r="AH113" s="228">
        <v>55.4</v>
      </c>
      <c r="AI113" s="228">
        <v>58.1</v>
      </c>
      <c r="AJ113" s="228">
        <v>-2.7</v>
      </c>
      <c r="AK113" s="229">
        <v>1.34E-2</v>
      </c>
      <c r="AL113" s="228">
        <v>70.599999999999994</v>
      </c>
      <c r="AM113" s="228">
        <v>30.4</v>
      </c>
      <c r="AN113" s="228">
        <v>40.200000000000003</v>
      </c>
      <c r="AO113" s="229">
        <v>1.7100000000000001E-2</v>
      </c>
      <c r="AP113" s="231">
        <v>4138.99</v>
      </c>
      <c r="AQ113" s="231">
        <v>4164.22</v>
      </c>
      <c r="AR113" s="228">
        <v>0</v>
      </c>
      <c r="AS113" s="228">
        <v>159</v>
      </c>
      <c r="AT113" s="228">
        <v>132</v>
      </c>
      <c r="AU113" s="228">
        <v>27</v>
      </c>
      <c r="AV113" s="229">
        <v>0.20130000000000001</v>
      </c>
      <c r="AW113" s="228">
        <v>154</v>
      </c>
      <c r="AX113" s="228">
        <v>130</v>
      </c>
      <c r="AY113" s="228">
        <v>24</v>
      </c>
      <c r="AZ113" s="229">
        <v>0.18790000000000001</v>
      </c>
      <c r="BA113" s="228">
        <v>4</v>
      </c>
      <c r="BB113" s="228">
        <v>2</v>
      </c>
      <c r="BC113" s="228">
        <v>2</v>
      </c>
      <c r="BD113" s="229">
        <v>0.84850000000000003</v>
      </c>
      <c r="BE113" s="228">
        <v>0</v>
      </c>
      <c r="BF113" s="228">
        <v>0</v>
      </c>
      <c r="BG113" s="228">
        <v>0</v>
      </c>
      <c r="BH113" s="229">
        <v>1.5</v>
      </c>
      <c r="BI113" s="228">
        <v>477</v>
      </c>
      <c r="BJ113" s="228">
        <v>249</v>
      </c>
      <c r="BK113" s="228">
        <v>228</v>
      </c>
      <c r="BL113" s="229">
        <v>0.9133</v>
      </c>
      <c r="BM113" s="228">
        <v>143</v>
      </c>
      <c r="BN113" s="228">
        <v>178</v>
      </c>
      <c r="BO113" s="228">
        <v>-35</v>
      </c>
      <c r="BP113" s="229">
        <v>-0.19539999999999999</v>
      </c>
      <c r="BQ113" s="228">
        <v>778</v>
      </c>
      <c r="BR113" s="228">
        <v>559</v>
      </c>
      <c r="BS113" s="228">
        <v>219</v>
      </c>
      <c r="BT113" s="229">
        <v>0.39229999999999998</v>
      </c>
      <c r="BU113" s="230">
        <v>290303</v>
      </c>
      <c r="BV113" s="230">
        <v>330283</v>
      </c>
      <c r="BW113" s="230">
        <v>-39980</v>
      </c>
      <c r="BX113" s="229">
        <v>-0.121</v>
      </c>
      <c r="BY113" s="228">
        <v>605</v>
      </c>
      <c r="BZ113" s="228">
        <v>585</v>
      </c>
      <c r="CA113" s="228">
        <v>20</v>
      </c>
      <c r="CB113" s="229">
        <v>3.4099999999999998E-2</v>
      </c>
      <c r="CC113" s="228">
        <v>598</v>
      </c>
      <c r="CD113" s="228">
        <v>579</v>
      </c>
      <c r="CE113" s="228">
        <v>19</v>
      </c>
      <c r="CF113" s="229">
        <v>3.3300000000000003E-2</v>
      </c>
      <c r="CG113" s="228">
        <v>6</v>
      </c>
      <c r="CH113" s="228">
        <v>5</v>
      </c>
      <c r="CI113" s="228">
        <v>1</v>
      </c>
      <c r="CJ113" s="229">
        <v>9.3299999999999994E-2</v>
      </c>
      <c r="CK113" s="228">
        <v>1</v>
      </c>
      <c r="CL113" s="228">
        <v>0</v>
      </c>
      <c r="CM113" s="228">
        <v>0</v>
      </c>
      <c r="CN113" s="229">
        <v>0.33329999999999999</v>
      </c>
      <c r="CO113" s="228">
        <v>131</v>
      </c>
      <c r="CP113" s="228">
        <v>107</v>
      </c>
      <c r="CQ113" s="228">
        <v>24</v>
      </c>
      <c r="CR113" s="229">
        <v>0.22189999999999999</v>
      </c>
      <c r="CS113" s="228">
        <v>110</v>
      </c>
      <c r="CT113" s="228">
        <v>95</v>
      </c>
      <c r="CU113" s="228">
        <v>14</v>
      </c>
      <c r="CV113" s="229">
        <v>0.15129999999999999</v>
      </c>
      <c r="CW113" s="228">
        <v>846</v>
      </c>
      <c r="CX113" s="228">
        <v>788</v>
      </c>
      <c r="CY113" s="228">
        <v>58</v>
      </c>
      <c r="CZ113" s="229">
        <v>7.3800000000000004E-2</v>
      </c>
      <c r="DA113" s="228">
        <v>32.46</v>
      </c>
      <c r="DB113" s="228">
        <v>29.76</v>
      </c>
      <c r="DC113" s="228">
        <v>2.7</v>
      </c>
      <c r="DD113" s="228">
        <v>2.7</v>
      </c>
      <c r="DE113" s="228">
        <v>48.99</v>
      </c>
      <c r="DF113" s="228">
        <v>49.03</v>
      </c>
      <c r="DG113" s="228">
        <v>-16.53</v>
      </c>
      <c r="DH113" s="228">
        <v>-0.04</v>
      </c>
      <c r="DI113" s="228">
        <v>32.479999999999997</v>
      </c>
      <c r="DJ113" s="228">
        <v>29.65</v>
      </c>
      <c r="DK113" s="228">
        <v>2.83</v>
      </c>
      <c r="DL113" s="228">
        <v>2.83</v>
      </c>
      <c r="DM113" s="228">
        <v>32.409999999999997</v>
      </c>
      <c r="DN113" s="228">
        <v>29.91</v>
      </c>
      <c r="DO113" s="228">
        <v>2.5</v>
      </c>
      <c r="DP113" s="228">
        <v>2.5</v>
      </c>
      <c r="DQ113" s="228">
        <v>0.83</v>
      </c>
      <c r="DR113" s="228">
        <v>0.89</v>
      </c>
      <c r="DS113" s="228">
        <v>-0.06</v>
      </c>
      <c r="DT113" s="229">
        <v>-6.7400000000000002E-2</v>
      </c>
      <c r="DU113" s="231">
        <v>4200</v>
      </c>
      <c r="DV113" s="231">
        <v>4200</v>
      </c>
      <c r="DW113" s="228">
        <v>0.3</v>
      </c>
      <c r="DX113" s="228">
        <v>0.71</v>
      </c>
      <c r="DY113" s="228">
        <v>-0.41</v>
      </c>
      <c r="DZ113" s="229">
        <v>-0.57750000000000001</v>
      </c>
      <c r="EA113" s="229">
        <v>1.0800000000000001E-2</v>
      </c>
      <c r="EB113" s="230">
        <v>14175</v>
      </c>
      <c r="EC113" s="229">
        <v>7.7999999999999996E-3</v>
      </c>
      <c r="ED113" s="229">
        <v>1.0800000000000001E-2</v>
      </c>
      <c r="EE113" s="228">
        <v>25.23</v>
      </c>
      <c r="EF113" s="229">
        <v>6.1000000000000004E-3</v>
      </c>
      <c r="EG113" s="230">
        <v>126712</v>
      </c>
      <c r="EH113" s="230">
        <v>195019</v>
      </c>
      <c r="EI113" s="229">
        <v>-0.3503</v>
      </c>
      <c r="EJ113" s="229">
        <v>0.4365</v>
      </c>
      <c r="EK113" s="228">
        <v>493.06</v>
      </c>
      <c r="EL113" s="228">
        <v>142.58000000000001</v>
      </c>
      <c r="EM113" s="228">
        <v>158.22</v>
      </c>
      <c r="EN113" s="228">
        <v>32.270000000000003</v>
      </c>
      <c r="EO113" s="228">
        <v>793.86</v>
      </c>
      <c r="EP113" s="228">
        <v>559.74</v>
      </c>
      <c r="EQ113" s="228">
        <v>234.11</v>
      </c>
      <c r="ER113" s="229">
        <v>0.41830000000000001</v>
      </c>
      <c r="ES113" s="228">
        <v>132.35</v>
      </c>
      <c r="ET113" s="228">
        <v>107.04</v>
      </c>
      <c r="EU113" s="228">
        <v>604.98</v>
      </c>
      <c r="EV113" s="231">
        <v>9313740</v>
      </c>
      <c r="EW113" s="228">
        <v>844.36</v>
      </c>
      <c r="EX113" s="228">
        <v>773.83</v>
      </c>
      <c r="EY113" s="228">
        <v>70.53</v>
      </c>
      <c r="EZ113" s="229">
        <v>9.11E-2</v>
      </c>
      <c r="FA113" s="229">
        <v>0.21859999999999999</v>
      </c>
      <c r="FB113" s="227" t="s">
        <v>555</v>
      </c>
      <c r="FC113">
        <f t="shared" si="1"/>
        <v>7</v>
      </c>
    </row>
    <row r="114" spans="1:159" ht="17.25" thickBot="1" x14ac:dyDescent="0.3">
      <c r="A114" s="226">
        <v>45936</v>
      </c>
      <c r="B114" s="227" t="s">
        <v>175</v>
      </c>
      <c r="C114" s="227" t="s">
        <v>685</v>
      </c>
      <c r="D114" s="228">
        <v>450</v>
      </c>
      <c r="E114" s="228">
        <v>22</v>
      </c>
      <c r="F114" s="231">
        <v>1068</v>
      </c>
      <c r="G114" s="231">
        <v>1070.5999999999999</v>
      </c>
      <c r="H114" s="228">
        <v>-2.6</v>
      </c>
      <c r="I114" s="229">
        <v>-2.3999999999999998E-3</v>
      </c>
      <c r="J114" s="231">
        <v>1062.5</v>
      </c>
      <c r="K114" s="231">
        <v>1067.3</v>
      </c>
      <c r="L114" s="228">
        <v>-4.8</v>
      </c>
      <c r="M114" s="229">
        <v>-4.4999999999999997E-3</v>
      </c>
      <c r="N114" s="231">
        <v>1068</v>
      </c>
      <c r="O114" s="231">
        <v>1070.5999999999999</v>
      </c>
      <c r="P114" s="228">
        <v>-2.6</v>
      </c>
      <c r="Q114" s="229">
        <v>-2.3999999999999998E-3</v>
      </c>
      <c r="R114" s="231">
        <v>1064.8</v>
      </c>
      <c r="S114" s="231">
        <v>1068</v>
      </c>
      <c r="T114" s="228">
        <v>-3.2</v>
      </c>
      <c r="U114" s="229">
        <v>-3.0000000000000001E-3</v>
      </c>
      <c r="V114" s="231">
        <v>1056.5</v>
      </c>
      <c r="W114" s="231">
        <v>1066.9000000000001</v>
      </c>
      <c r="X114" s="228">
        <v>-10.4</v>
      </c>
      <c r="Y114" s="229">
        <v>-9.7000000000000003E-3</v>
      </c>
      <c r="Z114" s="228">
        <v>5.5</v>
      </c>
      <c r="AA114" s="228">
        <v>3.3</v>
      </c>
      <c r="AB114" s="228">
        <v>2.2000000000000002</v>
      </c>
      <c r="AC114" s="229">
        <v>5.1999999999999998E-3</v>
      </c>
      <c r="AD114" s="228">
        <v>5.5</v>
      </c>
      <c r="AE114" s="228">
        <v>3.3</v>
      </c>
      <c r="AF114" s="228">
        <v>2.2000000000000002</v>
      </c>
      <c r="AG114" s="229">
        <v>5.1999999999999998E-3</v>
      </c>
      <c r="AH114" s="228">
        <v>2.2999999999999998</v>
      </c>
      <c r="AI114" s="228">
        <v>0.7</v>
      </c>
      <c r="AJ114" s="228">
        <v>1.6</v>
      </c>
      <c r="AK114" s="229">
        <v>2.2000000000000001E-3</v>
      </c>
      <c r="AL114" s="228">
        <v>-6</v>
      </c>
      <c r="AM114" s="228">
        <v>-0.4</v>
      </c>
      <c r="AN114" s="228">
        <v>-5.6</v>
      </c>
      <c r="AO114" s="229">
        <v>-5.5999999999999999E-3</v>
      </c>
      <c r="AP114" s="231">
        <v>1064.1400000000001</v>
      </c>
      <c r="AQ114" s="231">
        <v>1060.44</v>
      </c>
      <c r="AR114" s="228">
        <v>0</v>
      </c>
      <c r="AS114" s="228">
        <v>43</v>
      </c>
      <c r="AT114" s="228">
        <v>50</v>
      </c>
      <c r="AU114" s="228">
        <v>-7</v>
      </c>
      <c r="AV114" s="229">
        <v>-0.1462</v>
      </c>
      <c r="AW114" s="228">
        <v>41</v>
      </c>
      <c r="AX114" s="228">
        <v>47</v>
      </c>
      <c r="AY114" s="228">
        <v>-6</v>
      </c>
      <c r="AZ114" s="229">
        <v>-0.1336</v>
      </c>
      <c r="BA114" s="228">
        <v>2</v>
      </c>
      <c r="BB114" s="228">
        <v>3</v>
      </c>
      <c r="BC114" s="228">
        <v>-1</v>
      </c>
      <c r="BD114" s="229">
        <v>-0.29820000000000002</v>
      </c>
      <c r="BE114" s="228">
        <v>0</v>
      </c>
      <c r="BF114" s="228">
        <v>0</v>
      </c>
      <c r="BG114" s="228">
        <v>0</v>
      </c>
      <c r="BH114" s="229">
        <v>-0.5</v>
      </c>
      <c r="BI114" s="228">
        <v>63</v>
      </c>
      <c r="BJ114" s="228">
        <v>72</v>
      </c>
      <c r="BK114" s="228">
        <v>-9</v>
      </c>
      <c r="BL114" s="229">
        <v>-0.1221</v>
      </c>
      <c r="BM114" s="228">
        <v>12</v>
      </c>
      <c r="BN114" s="228">
        <v>28</v>
      </c>
      <c r="BO114" s="228">
        <v>-16</v>
      </c>
      <c r="BP114" s="229">
        <v>-0.57389999999999997</v>
      </c>
      <c r="BQ114" s="228">
        <v>118</v>
      </c>
      <c r="BR114" s="228">
        <v>150</v>
      </c>
      <c r="BS114" s="228">
        <v>-32</v>
      </c>
      <c r="BT114" s="229">
        <v>-0.2155</v>
      </c>
      <c r="BU114" s="230">
        <v>732108</v>
      </c>
      <c r="BV114" s="230">
        <v>1171758</v>
      </c>
      <c r="BW114" s="230">
        <v>-439650</v>
      </c>
      <c r="BX114" s="229">
        <v>-0.37519999999999998</v>
      </c>
      <c r="BY114" s="228">
        <v>254</v>
      </c>
      <c r="BZ114" s="228">
        <v>248</v>
      </c>
      <c r="CA114" s="228">
        <v>6</v>
      </c>
      <c r="CB114" s="229">
        <v>2.5600000000000001E-2</v>
      </c>
      <c r="CC114" s="228">
        <v>245</v>
      </c>
      <c r="CD114" s="228">
        <v>239</v>
      </c>
      <c r="CE114" s="228">
        <v>6</v>
      </c>
      <c r="CF114" s="229">
        <v>2.35E-2</v>
      </c>
      <c r="CG114" s="228">
        <v>9</v>
      </c>
      <c r="CH114" s="228">
        <v>8</v>
      </c>
      <c r="CI114" s="228">
        <v>1</v>
      </c>
      <c r="CJ114" s="229">
        <v>6.9800000000000001E-2</v>
      </c>
      <c r="CK114" s="228">
        <v>1</v>
      </c>
      <c r="CL114" s="228">
        <v>0</v>
      </c>
      <c r="CM114" s="228">
        <v>0</v>
      </c>
      <c r="CN114" s="229">
        <v>0.33329999999999999</v>
      </c>
      <c r="CO114" s="228">
        <v>100</v>
      </c>
      <c r="CP114" s="228">
        <v>82</v>
      </c>
      <c r="CQ114" s="228">
        <v>18</v>
      </c>
      <c r="CR114" s="229">
        <v>0.22140000000000001</v>
      </c>
      <c r="CS114" s="228">
        <v>50</v>
      </c>
      <c r="CT114" s="228">
        <v>49</v>
      </c>
      <c r="CU114" s="228">
        <v>1</v>
      </c>
      <c r="CV114" s="229">
        <v>1.46E-2</v>
      </c>
      <c r="CW114" s="228">
        <v>404</v>
      </c>
      <c r="CX114" s="228">
        <v>379</v>
      </c>
      <c r="CY114" s="228">
        <v>25</v>
      </c>
      <c r="CZ114" s="229">
        <v>6.6400000000000001E-2</v>
      </c>
      <c r="DA114" s="228">
        <v>37.01</v>
      </c>
      <c r="DB114" s="228">
        <v>36.229999999999997</v>
      </c>
      <c r="DC114" s="228">
        <v>0.78</v>
      </c>
      <c r="DD114" s="228">
        <v>0.78</v>
      </c>
      <c r="DE114" s="228">
        <v>56.21</v>
      </c>
      <c r="DF114" s="228">
        <v>56.35</v>
      </c>
      <c r="DG114" s="228">
        <v>-19.2</v>
      </c>
      <c r="DH114" s="228">
        <v>-0.14000000000000001</v>
      </c>
      <c r="DI114" s="228">
        <v>36.770000000000003</v>
      </c>
      <c r="DJ114" s="228">
        <v>35.79</v>
      </c>
      <c r="DK114" s="228">
        <v>0.98</v>
      </c>
      <c r="DL114" s="228">
        <v>0.98</v>
      </c>
      <c r="DM114" s="228">
        <v>38.26</v>
      </c>
      <c r="DN114" s="228">
        <v>37.340000000000003</v>
      </c>
      <c r="DO114" s="228">
        <v>0.92</v>
      </c>
      <c r="DP114" s="228">
        <v>0.92</v>
      </c>
      <c r="DQ114" s="228">
        <v>0.5</v>
      </c>
      <c r="DR114" s="228">
        <v>0.61</v>
      </c>
      <c r="DS114" s="228">
        <v>-0.11</v>
      </c>
      <c r="DT114" s="229">
        <v>-0.18029999999999999</v>
      </c>
      <c r="DU114" s="231">
        <v>1100</v>
      </c>
      <c r="DV114" s="231">
        <v>1100</v>
      </c>
      <c r="DW114" s="228">
        <v>0.19</v>
      </c>
      <c r="DX114" s="228">
        <v>0.4</v>
      </c>
      <c r="DY114" s="228">
        <v>-0.21</v>
      </c>
      <c r="DZ114" s="229">
        <v>-0.52500000000000002</v>
      </c>
      <c r="EA114" s="229">
        <v>3.7100000000000001E-2</v>
      </c>
      <c r="EB114" s="230">
        <v>81450</v>
      </c>
      <c r="EC114" s="229">
        <v>-3.0000000000000001E-3</v>
      </c>
      <c r="ED114" s="229">
        <v>3.7100000000000001E-2</v>
      </c>
      <c r="EE114" s="228">
        <v>-3.7</v>
      </c>
      <c r="EF114" s="229">
        <v>-3.5000000000000001E-3</v>
      </c>
      <c r="EG114" s="230">
        <v>455681</v>
      </c>
      <c r="EH114" s="230">
        <v>768313</v>
      </c>
      <c r="EI114" s="229">
        <v>-0.40689999999999998</v>
      </c>
      <c r="EJ114" s="229">
        <v>0.62239999999999995</v>
      </c>
      <c r="EK114" s="228">
        <v>67.17</v>
      </c>
      <c r="EL114" s="228">
        <v>11.88</v>
      </c>
      <c r="EM114" s="228">
        <v>42.52</v>
      </c>
      <c r="EN114" s="228">
        <v>28.46</v>
      </c>
      <c r="EO114" s="228">
        <v>121.56</v>
      </c>
      <c r="EP114" s="228">
        <v>154.41999999999999</v>
      </c>
      <c r="EQ114" s="228">
        <v>-32.86</v>
      </c>
      <c r="ER114" s="229">
        <v>-0.21279999999999999</v>
      </c>
      <c r="ES114" s="228">
        <v>105.23</v>
      </c>
      <c r="ET114" s="228">
        <v>49.07</v>
      </c>
      <c r="EU114" s="228">
        <v>253.96</v>
      </c>
      <c r="EV114" s="231">
        <v>19911179</v>
      </c>
      <c r="EW114" s="228">
        <v>408.26</v>
      </c>
      <c r="EX114" s="228">
        <v>382.52</v>
      </c>
      <c r="EY114" s="228">
        <v>25.74</v>
      </c>
      <c r="EZ114" s="229">
        <v>6.7299999999999999E-2</v>
      </c>
      <c r="FA114" s="229">
        <v>0.18990000000000001</v>
      </c>
      <c r="FB114" s="227" t="s">
        <v>567</v>
      </c>
      <c r="FC114">
        <f t="shared" si="1"/>
        <v>9</v>
      </c>
    </row>
    <row r="115" spans="1:159" ht="17.25" thickBot="1" x14ac:dyDescent="0.3">
      <c r="A115" s="226">
        <v>45936</v>
      </c>
      <c r="B115" s="227" t="s">
        <v>172</v>
      </c>
      <c r="C115" s="227" t="s">
        <v>246</v>
      </c>
      <c r="D115" s="228">
        <v>400</v>
      </c>
      <c r="E115" s="228">
        <v>22</v>
      </c>
      <c r="F115" s="231">
        <v>2152.9</v>
      </c>
      <c r="G115" s="231">
        <v>2108.8000000000002</v>
      </c>
      <c r="H115" s="228">
        <v>44.1</v>
      </c>
      <c r="I115" s="229">
        <v>2.0899999999999998E-2</v>
      </c>
      <c r="J115" s="231">
        <v>2146</v>
      </c>
      <c r="K115" s="231">
        <v>2100.5</v>
      </c>
      <c r="L115" s="228">
        <v>45.5</v>
      </c>
      <c r="M115" s="229">
        <v>2.1700000000000001E-2</v>
      </c>
      <c r="N115" s="231">
        <v>2152.9</v>
      </c>
      <c r="O115" s="231">
        <v>2108.8000000000002</v>
      </c>
      <c r="P115" s="228">
        <v>44.1</v>
      </c>
      <c r="Q115" s="229">
        <v>2.0899999999999998E-2</v>
      </c>
      <c r="R115" s="231">
        <v>2163.9</v>
      </c>
      <c r="S115" s="231">
        <v>2119.5</v>
      </c>
      <c r="T115" s="228">
        <v>44.4</v>
      </c>
      <c r="U115" s="229">
        <v>2.0899999999999998E-2</v>
      </c>
      <c r="V115" s="231">
        <v>2177.3000000000002</v>
      </c>
      <c r="W115" s="231">
        <v>2132.6999999999998</v>
      </c>
      <c r="X115" s="228">
        <v>44.6</v>
      </c>
      <c r="Y115" s="229">
        <v>2.0899999999999998E-2</v>
      </c>
      <c r="Z115" s="228">
        <v>6.9</v>
      </c>
      <c r="AA115" s="228">
        <v>8.3000000000000007</v>
      </c>
      <c r="AB115" s="228">
        <v>-1.4</v>
      </c>
      <c r="AC115" s="229">
        <v>3.2000000000000002E-3</v>
      </c>
      <c r="AD115" s="228">
        <v>6.9</v>
      </c>
      <c r="AE115" s="228">
        <v>8.3000000000000007</v>
      </c>
      <c r="AF115" s="228">
        <v>-1.4</v>
      </c>
      <c r="AG115" s="229">
        <v>3.2000000000000002E-3</v>
      </c>
      <c r="AH115" s="228">
        <v>17.899999999999999</v>
      </c>
      <c r="AI115" s="228">
        <v>19</v>
      </c>
      <c r="AJ115" s="228">
        <v>-1.1000000000000001</v>
      </c>
      <c r="AK115" s="229">
        <v>8.3000000000000001E-3</v>
      </c>
      <c r="AL115" s="228">
        <v>31.3</v>
      </c>
      <c r="AM115" s="228">
        <v>32.200000000000003</v>
      </c>
      <c r="AN115" s="228">
        <v>-0.9</v>
      </c>
      <c r="AO115" s="229">
        <v>1.46E-2</v>
      </c>
      <c r="AP115" s="231">
        <v>2138.29</v>
      </c>
      <c r="AQ115" s="231">
        <v>2150.61</v>
      </c>
      <c r="AR115" s="228">
        <v>0</v>
      </c>
      <c r="AS115" s="230">
        <v>2459</v>
      </c>
      <c r="AT115" s="230">
        <v>1742</v>
      </c>
      <c r="AU115" s="228">
        <v>716</v>
      </c>
      <c r="AV115" s="229">
        <v>0.41120000000000001</v>
      </c>
      <c r="AW115" s="230">
        <v>2279</v>
      </c>
      <c r="AX115" s="230">
        <v>1625</v>
      </c>
      <c r="AY115" s="228">
        <v>654</v>
      </c>
      <c r="AZ115" s="229">
        <v>0.40239999999999998</v>
      </c>
      <c r="BA115" s="228">
        <v>78</v>
      </c>
      <c r="BB115" s="228">
        <v>54</v>
      </c>
      <c r="BC115" s="228">
        <v>25</v>
      </c>
      <c r="BD115" s="229">
        <v>0.4582</v>
      </c>
      <c r="BE115" s="228">
        <v>102</v>
      </c>
      <c r="BF115" s="228">
        <v>64</v>
      </c>
      <c r="BG115" s="228">
        <v>38</v>
      </c>
      <c r="BH115" s="229">
        <v>0.59730000000000005</v>
      </c>
      <c r="BI115" s="230">
        <v>7757</v>
      </c>
      <c r="BJ115" s="230">
        <v>6437</v>
      </c>
      <c r="BK115" s="230">
        <v>1321</v>
      </c>
      <c r="BL115" s="229">
        <v>0.20519999999999999</v>
      </c>
      <c r="BM115" s="230">
        <v>4603</v>
      </c>
      <c r="BN115" s="230">
        <v>3594</v>
      </c>
      <c r="BO115" s="230">
        <v>1009</v>
      </c>
      <c r="BP115" s="229">
        <v>0.28070000000000001</v>
      </c>
      <c r="BQ115" s="230">
        <v>14819</v>
      </c>
      <c r="BR115" s="230">
        <v>11773</v>
      </c>
      <c r="BS115" s="230">
        <v>3046</v>
      </c>
      <c r="BT115" s="229">
        <v>0.25869999999999999</v>
      </c>
      <c r="BU115" s="230">
        <v>5352450</v>
      </c>
      <c r="BV115" s="230">
        <v>5458783</v>
      </c>
      <c r="BW115" s="230">
        <v>-106333</v>
      </c>
      <c r="BX115" s="229">
        <v>-1.95E-2</v>
      </c>
      <c r="BY115" s="230">
        <v>7786</v>
      </c>
      <c r="BZ115" s="230">
        <v>7938</v>
      </c>
      <c r="CA115" s="228">
        <v>-152</v>
      </c>
      <c r="CB115" s="229">
        <v>-1.9199999999999998E-2</v>
      </c>
      <c r="CC115" s="230">
        <v>7521</v>
      </c>
      <c r="CD115" s="230">
        <v>7780</v>
      </c>
      <c r="CE115" s="228">
        <v>-259</v>
      </c>
      <c r="CF115" s="229">
        <v>-3.32E-2</v>
      </c>
      <c r="CG115" s="228">
        <v>114</v>
      </c>
      <c r="CH115" s="228">
        <v>100</v>
      </c>
      <c r="CI115" s="228">
        <v>14</v>
      </c>
      <c r="CJ115" s="229">
        <v>0.13830000000000001</v>
      </c>
      <c r="CK115" s="228">
        <v>150</v>
      </c>
      <c r="CL115" s="228">
        <v>58</v>
      </c>
      <c r="CM115" s="228">
        <v>92</v>
      </c>
      <c r="CN115" s="229">
        <v>1.5975999999999999</v>
      </c>
      <c r="CO115" s="230">
        <v>1670</v>
      </c>
      <c r="CP115" s="230">
        <v>1320</v>
      </c>
      <c r="CQ115" s="228">
        <v>350</v>
      </c>
      <c r="CR115" s="229">
        <v>0.26529999999999998</v>
      </c>
      <c r="CS115" s="230">
        <v>1899</v>
      </c>
      <c r="CT115" s="230">
        <v>1546</v>
      </c>
      <c r="CU115" s="228">
        <v>353</v>
      </c>
      <c r="CV115" s="229">
        <v>0.22819999999999999</v>
      </c>
      <c r="CW115" s="230">
        <v>11354</v>
      </c>
      <c r="CX115" s="230">
        <v>10804</v>
      </c>
      <c r="CY115" s="228">
        <v>551</v>
      </c>
      <c r="CZ115" s="229">
        <v>5.0999999999999997E-2</v>
      </c>
      <c r="DA115" s="228">
        <v>20.79</v>
      </c>
      <c r="DB115" s="228">
        <v>20.309999999999999</v>
      </c>
      <c r="DC115" s="228">
        <v>0.48</v>
      </c>
      <c r="DD115" s="228">
        <v>0.48</v>
      </c>
      <c r="DE115" s="228">
        <v>27.86</v>
      </c>
      <c r="DF115" s="228">
        <v>27.78</v>
      </c>
      <c r="DG115" s="228">
        <v>-7.07</v>
      </c>
      <c r="DH115" s="228">
        <v>0.08</v>
      </c>
      <c r="DI115" s="228">
        <v>19.97</v>
      </c>
      <c r="DJ115" s="228">
        <v>19.739999999999998</v>
      </c>
      <c r="DK115" s="228">
        <v>0.23</v>
      </c>
      <c r="DL115" s="228">
        <v>0.23</v>
      </c>
      <c r="DM115" s="228">
        <v>22.17</v>
      </c>
      <c r="DN115" s="228">
        <v>21.32</v>
      </c>
      <c r="DO115" s="228">
        <v>0.85</v>
      </c>
      <c r="DP115" s="228">
        <v>0.85</v>
      </c>
      <c r="DQ115" s="228">
        <v>1.1399999999999999</v>
      </c>
      <c r="DR115" s="228">
        <v>1.17</v>
      </c>
      <c r="DS115" s="228">
        <v>-0.03</v>
      </c>
      <c r="DT115" s="229">
        <v>-2.5600000000000001E-2</v>
      </c>
      <c r="DU115" s="231">
        <v>2100</v>
      </c>
      <c r="DV115" s="231">
        <v>2100</v>
      </c>
      <c r="DW115" s="228">
        <v>0.59</v>
      </c>
      <c r="DX115" s="228">
        <v>0.56000000000000005</v>
      </c>
      <c r="DY115" s="228">
        <v>0.03</v>
      </c>
      <c r="DZ115" s="229">
        <v>5.3600000000000002E-2</v>
      </c>
      <c r="EA115" s="229">
        <v>3.39E-2</v>
      </c>
      <c r="EB115" s="230">
        <v>734000</v>
      </c>
      <c r="EC115" s="229">
        <v>5.1000000000000004E-3</v>
      </c>
      <c r="ED115" s="229">
        <v>3.39E-2</v>
      </c>
      <c r="EE115" s="228">
        <v>12.32</v>
      </c>
      <c r="EF115" s="229">
        <v>5.7999999999999996E-3</v>
      </c>
      <c r="EG115" s="230">
        <v>3087422</v>
      </c>
      <c r="EH115" s="230">
        <v>3975073</v>
      </c>
      <c r="EI115" s="229">
        <v>-0.2233</v>
      </c>
      <c r="EJ115" s="229">
        <v>0.57679999999999998</v>
      </c>
      <c r="EK115" s="231">
        <v>7952.4</v>
      </c>
      <c r="EL115" s="231">
        <v>4480.6400000000003</v>
      </c>
      <c r="EM115" s="231">
        <v>2444.31</v>
      </c>
      <c r="EN115" s="228">
        <v>327.26</v>
      </c>
      <c r="EO115" s="231">
        <v>14877.35</v>
      </c>
      <c r="EP115" s="231">
        <v>11636.44</v>
      </c>
      <c r="EQ115" s="231">
        <v>3240.91</v>
      </c>
      <c r="ER115" s="229">
        <v>0.27850000000000003</v>
      </c>
      <c r="ES115" s="231">
        <v>1668.42</v>
      </c>
      <c r="ET115" s="231">
        <v>1801.03</v>
      </c>
      <c r="EU115" s="231">
        <v>7787.95</v>
      </c>
      <c r="EV115" s="231">
        <v>215751979</v>
      </c>
      <c r="EW115" s="231">
        <v>11257.4</v>
      </c>
      <c r="EX115" s="231">
        <v>10524.73</v>
      </c>
      <c r="EY115" s="228">
        <v>732.67</v>
      </c>
      <c r="EZ115" s="229">
        <v>6.9599999999999995E-2</v>
      </c>
      <c r="FA115" s="229">
        <v>0.24440000000000001</v>
      </c>
      <c r="FB115" s="227" t="s">
        <v>556</v>
      </c>
      <c r="FC115">
        <f t="shared" si="1"/>
        <v>265</v>
      </c>
    </row>
    <row r="116" spans="1:159" ht="17.25" thickBot="1" x14ac:dyDescent="0.3">
      <c r="A116" s="226">
        <v>45936</v>
      </c>
      <c r="B116" s="227" t="s">
        <v>221</v>
      </c>
      <c r="C116" s="227" t="s">
        <v>578</v>
      </c>
      <c r="D116" s="228">
        <v>400</v>
      </c>
      <c r="E116" s="228">
        <v>22</v>
      </c>
      <c r="F116" s="231">
        <v>1157</v>
      </c>
      <c r="G116" s="231">
        <v>1152</v>
      </c>
      <c r="H116" s="228">
        <v>5</v>
      </c>
      <c r="I116" s="229">
        <v>4.3E-3</v>
      </c>
      <c r="J116" s="231">
        <v>1156.7</v>
      </c>
      <c r="K116" s="231">
        <v>1157.7</v>
      </c>
      <c r="L116" s="228">
        <v>-1</v>
      </c>
      <c r="M116" s="229">
        <v>-8.9999999999999998E-4</v>
      </c>
      <c r="N116" s="231">
        <v>1157</v>
      </c>
      <c r="O116" s="231">
        <v>1152</v>
      </c>
      <c r="P116" s="228">
        <v>5</v>
      </c>
      <c r="Q116" s="229">
        <v>4.3E-3</v>
      </c>
      <c r="R116" s="231">
        <v>1154.3</v>
      </c>
      <c r="S116" s="231">
        <v>1148</v>
      </c>
      <c r="T116" s="228">
        <v>6.3</v>
      </c>
      <c r="U116" s="229">
        <v>5.4999999999999997E-3</v>
      </c>
      <c r="V116" s="231">
        <v>1149</v>
      </c>
      <c r="W116" s="231">
        <v>1147.2</v>
      </c>
      <c r="X116" s="228">
        <v>1.8</v>
      </c>
      <c r="Y116" s="229">
        <v>1.6000000000000001E-3</v>
      </c>
      <c r="Z116" s="228">
        <v>0.3</v>
      </c>
      <c r="AA116" s="228">
        <v>-5.7</v>
      </c>
      <c r="AB116" s="228">
        <v>6</v>
      </c>
      <c r="AC116" s="229">
        <v>2.9999999999999997E-4</v>
      </c>
      <c r="AD116" s="228">
        <v>0.3</v>
      </c>
      <c r="AE116" s="228">
        <v>-5.7</v>
      </c>
      <c r="AF116" s="228">
        <v>6</v>
      </c>
      <c r="AG116" s="229">
        <v>2.9999999999999997E-4</v>
      </c>
      <c r="AH116" s="228">
        <v>-2.4</v>
      </c>
      <c r="AI116" s="228">
        <v>-9.6999999999999993</v>
      </c>
      <c r="AJ116" s="228">
        <v>7.3</v>
      </c>
      <c r="AK116" s="229">
        <v>-2.0999999999999999E-3</v>
      </c>
      <c r="AL116" s="228">
        <v>-7.7</v>
      </c>
      <c r="AM116" s="228">
        <v>-10.5</v>
      </c>
      <c r="AN116" s="228">
        <v>2.8</v>
      </c>
      <c r="AO116" s="229">
        <v>-6.7000000000000002E-3</v>
      </c>
      <c r="AP116" s="231">
        <v>1157.24</v>
      </c>
      <c r="AQ116" s="231">
        <v>1152.07</v>
      </c>
      <c r="AR116" s="228">
        <v>0</v>
      </c>
      <c r="AS116" s="228">
        <v>110</v>
      </c>
      <c r="AT116" s="228">
        <v>110</v>
      </c>
      <c r="AU116" s="228">
        <v>0</v>
      </c>
      <c r="AV116" s="229">
        <v>-2.0999999999999999E-3</v>
      </c>
      <c r="AW116" s="228">
        <v>101</v>
      </c>
      <c r="AX116" s="228">
        <v>103</v>
      </c>
      <c r="AY116" s="228">
        <v>-2</v>
      </c>
      <c r="AZ116" s="229">
        <v>-1.5299999999999999E-2</v>
      </c>
      <c r="BA116" s="228">
        <v>8</v>
      </c>
      <c r="BB116" s="228">
        <v>6</v>
      </c>
      <c r="BC116" s="228">
        <v>1</v>
      </c>
      <c r="BD116" s="229">
        <v>0.21579999999999999</v>
      </c>
      <c r="BE116" s="228">
        <v>1</v>
      </c>
      <c r="BF116" s="228">
        <v>1</v>
      </c>
      <c r="BG116" s="228">
        <v>0</v>
      </c>
      <c r="BH116" s="229">
        <v>-0.04</v>
      </c>
      <c r="BI116" s="228">
        <v>349</v>
      </c>
      <c r="BJ116" s="228">
        <v>203</v>
      </c>
      <c r="BK116" s="228">
        <v>146</v>
      </c>
      <c r="BL116" s="229">
        <v>0.71630000000000005</v>
      </c>
      <c r="BM116" s="228">
        <v>257</v>
      </c>
      <c r="BN116" s="228">
        <v>105</v>
      </c>
      <c r="BO116" s="228">
        <v>152</v>
      </c>
      <c r="BP116" s="229">
        <v>1.4401999999999999</v>
      </c>
      <c r="BQ116" s="228">
        <v>716</v>
      </c>
      <c r="BR116" s="228">
        <v>419</v>
      </c>
      <c r="BS116" s="228">
        <v>297</v>
      </c>
      <c r="BT116" s="229">
        <v>0.70889999999999997</v>
      </c>
      <c r="BU116" s="230">
        <v>772939</v>
      </c>
      <c r="BV116" s="230">
        <v>651148</v>
      </c>
      <c r="BW116" s="230">
        <v>121791</v>
      </c>
      <c r="BX116" s="229">
        <v>0.187</v>
      </c>
      <c r="BY116" s="228">
        <v>512</v>
      </c>
      <c r="BZ116" s="228">
        <v>531</v>
      </c>
      <c r="CA116" s="228">
        <v>-19</v>
      </c>
      <c r="CB116" s="229">
        <v>-3.6400000000000002E-2</v>
      </c>
      <c r="CC116" s="228">
        <v>482</v>
      </c>
      <c r="CD116" s="228">
        <v>503</v>
      </c>
      <c r="CE116" s="228">
        <v>-21</v>
      </c>
      <c r="CF116" s="229">
        <v>-4.2099999999999999E-2</v>
      </c>
      <c r="CG116" s="228">
        <v>27</v>
      </c>
      <c r="CH116" s="228">
        <v>26</v>
      </c>
      <c r="CI116" s="228">
        <v>1</v>
      </c>
      <c r="CJ116" s="229">
        <v>4.8800000000000003E-2</v>
      </c>
      <c r="CK116" s="228">
        <v>3</v>
      </c>
      <c r="CL116" s="228">
        <v>2</v>
      </c>
      <c r="CM116" s="228">
        <v>1</v>
      </c>
      <c r="CN116" s="229">
        <v>0.25</v>
      </c>
      <c r="CO116" s="228">
        <v>302</v>
      </c>
      <c r="CP116" s="228">
        <v>261</v>
      </c>
      <c r="CQ116" s="228">
        <v>42</v>
      </c>
      <c r="CR116" s="229">
        <v>0.15909999999999999</v>
      </c>
      <c r="CS116" s="228">
        <v>240</v>
      </c>
      <c r="CT116" s="228">
        <v>211</v>
      </c>
      <c r="CU116" s="228">
        <v>29</v>
      </c>
      <c r="CV116" s="229">
        <v>0.1361</v>
      </c>
      <c r="CW116" s="230">
        <v>1054</v>
      </c>
      <c r="CX116" s="230">
        <v>1003</v>
      </c>
      <c r="CY116" s="228">
        <v>51</v>
      </c>
      <c r="CZ116" s="229">
        <v>5.0700000000000002E-2</v>
      </c>
      <c r="DA116" s="228">
        <v>30.75</v>
      </c>
      <c r="DB116" s="228">
        <v>31.5</v>
      </c>
      <c r="DC116" s="228">
        <v>-0.75</v>
      </c>
      <c r="DD116" s="228">
        <v>-0.75</v>
      </c>
      <c r="DE116" s="228">
        <v>45.72</v>
      </c>
      <c r="DF116" s="228">
        <v>45.84</v>
      </c>
      <c r="DG116" s="228">
        <v>-14.97</v>
      </c>
      <c r="DH116" s="228">
        <v>-0.12</v>
      </c>
      <c r="DI116" s="228">
        <v>30.4</v>
      </c>
      <c r="DJ116" s="228">
        <v>30.55</v>
      </c>
      <c r="DK116" s="228">
        <v>-0.15</v>
      </c>
      <c r="DL116" s="228">
        <v>-0.15</v>
      </c>
      <c r="DM116" s="228">
        <v>31.22</v>
      </c>
      <c r="DN116" s="228">
        <v>33.35</v>
      </c>
      <c r="DO116" s="228">
        <v>-2.13</v>
      </c>
      <c r="DP116" s="228">
        <v>-2.13</v>
      </c>
      <c r="DQ116" s="228">
        <v>0.79</v>
      </c>
      <c r="DR116" s="228">
        <v>0.81</v>
      </c>
      <c r="DS116" s="228">
        <v>-0.02</v>
      </c>
      <c r="DT116" s="229">
        <v>-2.47E-2</v>
      </c>
      <c r="DU116" s="231">
        <v>1300</v>
      </c>
      <c r="DV116" s="231">
        <v>1100</v>
      </c>
      <c r="DW116" s="228">
        <v>0.74</v>
      </c>
      <c r="DX116" s="228">
        <v>0.52</v>
      </c>
      <c r="DY116" s="228">
        <v>0.22</v>
      </c>
      <c r="DZ116" s="229">
        <v>0.42309999999999998</v>
      </c>
      <c r="EA116" s="229">
        <v>5.8299999999999998E-2</v>
      </c>
      <c r="EB116" s="230">
        <v>242000</v>
      </c>
      <c r="EC116" s="229">
        <v>-2.3E-3</v>
      </c>
      <c r="ED116" s="229">
        <v>5.8299999999999998E-2</v>
      </c>
      <c r="EE116" s="228">
        <v>-5.17</v>
      </c>
      <c r="EF116" s="229">
        <v>-4.4999999999999997E-3</v>
      </c>
      <c r="EG116" s="230">
        <v>314004</v>
      </c>
      <c r="EH116" s="230">
        <v>247040</v>
      </c>
      <c r="EI116" s="229">
        <v>0.27110000000000001</v>
      </c>
      <c r="EJ116" s="229">
        <v>0.40620000000000001</v>
      </c>
      <c r="EK116" s="228">
        <v>370.98</v>
      </c>
      <c r="EL116" s="228">
        <v>254.82</v>
      </c>
      <c r="EM116" s="228">
        <v>110.13</v>
      </c>
      <c r="EN116" s="228">
        <v>96.7</v>
      </c>
      <c r="EO116" s="228">
        <v>735.93</v>
      </c>
      <c r="EP116" s="228">
        <v>422.96</v>
      </c>
      <c r="EQ116" s="228">
        <v>312.97000000000003</v>
      </c>
      <c r="ER116" s="229">
        <v>0.74</v>
      </c>
      <c r="ES116" s="228">
        <v>325.12</v>
      </c>
      <c r="ET116" s="228">
        <v>230.66</v>
      </c>
      <c r="EU116" s="228">
        <v>511.82</v>
      </c>
      <c r="EV116" s="231">
        <v>24568295</v>
      </c>
      <c r="EW116" s="231">
        <v>1067.5999999999999</v>
      </c>
      <c r="EX116" s="231">
        <v>1015.25</v>
      </c>
      <c r="EY116" s="228">
        <v>52.35</v>
      </c>
      <c r="EZ116" s="229">
        <v>5.16E-2</v>
      </c>
      <c r="FA116" s="229">
        <v>0.37090000000000001</v>
      </c>
      <c r="FB116" s="227" t="s">
        <v>556</v>
      </c>
      <c r="FC116">
        <f t="shared" si="1"/>
        <v>30</v>
      </c>
    </row>
    <row r="117" spans="1:159" ht="17.25" thickBot="1" x14ac:dyDescent="0.3">
      <c r="A117" s="226">
        <v>45936</v>
      </c>
      <c r="B117" s="227" t="s">
        <v>170</v>
      </c>
      <c r="C117" s="227" t="s">
        <v>535</v>
      </c>
      <c r="D117" s="228">
        <v>1700</v>
      </c>
      <c r="E117" s="228">
        <v>22</v>
      </c>
      <c r="F117" s="228">
        <v>868.35</v>
      </c>
      <c r="G117" s="228">
        <v>872.75</v>
      </c>
      <c r="H117" s="228">
        <v>-4.4000000000000004</v>
      </c>
      <c r="I117" s="229">
        <v>-5.0000000000000001E-3</v>
      </c>
      <c r="J117" s="228">
        <v>863</v>
      </c>
      <c r="K117" s="228">
        <v>864.4</v>
      </c>
      <c r="L117" s="228">
        <v>-1.4</v>
      </c>
      <c r="M117" s="229">
        <v>-1.6000000000000001E-3</v>
      </c>
      <c r="N117" s="228">
        <v>868.35</v>
      </c>
      <c r="O117" s="228">
        <v>872.75</v>
      </c>
      <c r="P117" s="228">
        <v>-4.4000000000000004</v>
      </c>
      <c r="Q117" s="229">
        <v>-5.0000000000000001E-3</v>
      </c>
      <c r="R117" s="228">
        <v>873.65</v>
      </c>
      <c r="S117" s="228">
        <v>876.2</v>
      </c>
      <c r="T117" s="228">
        <v>-2.5499999999999998</v>
      </c>
      <c r="U117" s="229">
        <v>-2.8999999999999998E-3</v>
      </c>
      <c r="V117" s="228">
        <v>874</v>
      </c>
      <c r="W117" s="228">
        <v>881</v>
      </c>
      <c r="X117" s="228">
        <v>-7</v>
      </c>
      <c r="Y117" s="229">
        <v>-7.9000000000000008E-3</v>
      </c>
      <c r="Z117" s="228">
        <v>5.35</v>
      </c>
      <c r="AA117" s="228">
        <v>8.35</v>
      </c>
      <c r="AB117" s="228">
        <v>-3</v>
      </c>
      <c r="AC117" s="229">
        <v>6.1999999999999998E-3</v>
      </c>
      <c r="AD117" s="228">
        <v>5.35</v>
      </c>
      <c r="AE117" s="228">
        <v>8.35</v>
      </c>
      <c r="AF117" s="228">
        <v>-3</v>
      </c>
      <c r="AG117" s="229">
        <v>6.1999999999999998E-3</v>
      </c>
      <c r="AH117" s="228">
        <v>10.65</v>
      </c>
      <c r="AI117" s="228">
        <v>11.8</v>
      </c>
      <c r="AJ117" s="228">
        <v>-1.1499999999999999</v>
      </c>
      <c r="AK117" s="229">
        <v>1.23E-2</v>
      </c>
      <c r="AL117" s="228">
        <v>11</v>
      </c>
      <c r="AM117" s="228">
        <v>16.600000000000001</v>
      </c>
      <c r="AN117" s="228">
        <v>-5.6</v>
      </c>
      <c r="AO117" s="229">
        <v>1.2699999999999999E-2</v>
      </c>
      <c r="AP117" s="228">
        <v>866.73</v>
      </c>
      <c r="AQ117" s="228">
        <v>871.56</v>
      </c>
      <c r="AR117" s="228">
        <v>0</v>
      </c>
      <c r="AS117" s="228">
        <v>229</v>
      </c>
      <c r="AT117" s="228">
        <v>394</v>
      </c>
      <c r="AU117" s="228">
        <v>-164</v>
      </c>
      <c r="AV117" s="229">
        <v>-0.41749999999999998</v>
      </c>
      <c r="AW117" s="228">
        <v>221</v>
      </c>
      <c r="AX117" s="228">
        <v>371</v>
      </c>
      <c r="AY117" s="228">
        <v>-151</v>
      </c>
      <c r="AZ117" s="229">
        <v>-0.40579999999999999</v>
      </c>
      <c r="BA117" s="228">
        <v>8</v>
      </c>
      <c r="BB117" s="228">
        <v>21</v>
      </c>
      <c r="BC117" s="228">
        <v>-13</v>
      </c>
      <c r="BD117" s="229">
        <v>-0.63190000000000002</v>
      </c>
      <c r="BE117" s="228">
        <v>1</v>
      </c>
      <c r="BF117" s="228">
        <v>1</v>
      </c>
      <c r="BG117" s="228">
        <v>0</v>
      </c>
      <c r="BH117" s="229">
        <v>-0.16669999999999999</v>
      </c>
      <c r="BI117" s="228">
        <v>644</v>
      </c>
      <c r="BJ117" s="228">
        <v>845</v>
      </c>
      <c r="BK117" s="228">
        <v>-202</v>
      </c>
      <c r="BL117" s="229">
        <v>-0.23860000000000001</v>
      </c>
      <c r="BM117" s="228">
        <v>283</v>
      </c>
      <c r="BN117" s="228">
        <v>449</v>
      </c>
      <c r="BO117" s="228">
        <v>-167</v>
      </c>
      <c r="BP117" s="229">
        <v>-0.37119999999999997</v>
      </c>
      <c r="BQ117" s="230">
        <v>1155</v>
      </c>
      <c r="BR117" s="230">
        <v>1688</v>
      </c>
      <c r="BS117" s="228">
        <v>-533</v>
      </c>
      <c r="BT117" s="229">
        <v>-0.31559999999999999</v>
      </c>
      <c r="BU117" s="230">
        <v>1552883</v>
      </c>
      <c r="BV117" s="230">
        <v>2053613</v>
      </c>
      <c r="BW117" s="230">
        <v>-500730</v>
      </c>
      <c r="BX117" s="229">
        <v>-0.24379999999999999</v>
      </c>
      <c r="BY117" s="230">
        <v>1653</v>
      </c>
      <c r="BZ117" s="230">
        <v>1611</v>
      </c>
      <c r="CA117" s="228">
        <v>41</v>
      </c>
      <c r="CB117" s="229">
        <v>2.5700000000000001E-2</v>
      </c>
      <c r="CC117" s="230">
        <v>1598</v>
      </c>
      <c r="CD117" s="230">
        <v>1560</v>
      </c>
      <c r="CE117" s="228">
        <v>39</v>
      </c>
      <c r="CF117" s="229">
        <v>2.4799999999999999E-2</v>
      </c>
      <c r="CG117" s="228">
        <v>52</v>
      </c>
      <c r="CH117" s="228">
        <v>49</v>
      </c>
      <c r="CI117" s="228">
        <v>3</v>
      </c>
      <c r="CJ117" s="229">
        <v>5.4199999999999998E-2</v>
      </c>
      <c r="CK117" s="228">
        <v>3</v>
      </c>
      <c r="CL117" s="228">
        <v>3</v>
      </c>
      <c r="CM117" s="228">
        <v>0</v>
      </c>
      <c r="CN117" s="229">
        <v>0</v>
      </c>
      <c r="CO117" s="228">
        <v>833</v>
      </c>
      <c r="CP117" s="228">
        <v>790</v>
      </c>
      <c r="CQ117" s="228">
        <v>43</v>
      </c>
      <c r="CR117" s="229">
        <v>5.3999999999999999E-2</v>
      </c>
      <c r="CS117" s="228">
        <v>504</v>
      </c>
      <c r="CT117" s="228">
        <v>498</v>
      </c>
      <c r="CU117" s="228">
        <v>5</v>
      </c>
      <c r="CV117" s="229">
        <v>1.04E-2</v>
      </c>
      <c r="CW117" s="230">
        <v>2989</v>
      </c>
      <c r="CX117" s="230">
        <v>2900</v>
      </c>
      <c r="CY117" s="228">
        <v>89</v>
      </c>
      <c r="CZ117" s="229">
        <v>3.0700000000000002E-2</v>
      </c>
      <c r="DA117" s="228">
        <v>32.97</v>
      </c>
      <c r="DB117" s="228">
        <v>32.54</v>
      </c>
      <c r="DC117" s="228">
        <v>0.43</v>
      </c>
      <c r="DD117" s="228">
        <v>0.43</v>
      </c>
      <c r="DE117" s="228">
        <v>41.53</v>
      </c>
      <c r="DF117" s="228">
        <v>41.63</v>
      </c>
      <c r="DG117" s="228">
        <v>-8.56</v>
      </c>
      <c r="DH117" s="228">
        <v>-0.1</v>
      </c>
      <c r="DI117" s="228">
        <v>32.950000000000003</v>
      </c>
      <c r="DJ117" s="228">
        <v>32.590000000000003</v>
      </c>
      <c r="DK117" s="228">
        <v>0.36</v>
      </c>
      <c r="DL117" s="228">
        <v>0.36</v>
      </c>
      <c r="DM117" s="228">
        <v>33.01</v>
      </c>
      <c r="DN117" s="228">
        <v>32.46</v>
      </c>
      <c r="DO117" s="228">
        <v>0.55000000000000004</v>
      </c>
      <c r="DP117" s="228">
        <v>0.55000000000000004</v>
      </c>
      <c r="DQ117" s="228">
        <v>0.6</v>
      </c>
      <c r="DR117" s="228">
        <v>0.63</v>
      </c>
      <c r="DS117" s="228">
        <v>-0.03</v>
      </c>
      <c r="DT117" s="229">
        <v>-4.7600000000000003E-2</v>
      </c>
      <c r="DU117" s="228">
        <v>900</v>
      </c>
      <c r="DV117" s="228">
        <v>800</v>
      </c>
      <c r="DW117" s="228">
        <v>0.44</v>
      </c>
      <c r="DX117" s="228">
        <v>0.53</v>
      </c>
      <c r="DY117" s="228">
        <v>-0.09</v>
      </c>
      <c r="DZ117" s="229">
        <v>-0.16980000000000001</v>
      </c>
      <c r="EA117" s="229">
        <v>3.2899999999999999E-2</v>
      </c>
      <c r="EB117" s="230">
        <v>595000</v>
      </c>
      <c r="EC117" s="229">
        <v>6.1000000000000004E-3</v>
      </c>
      <c r="ED117" s="229">
        <v>3.2899999999999999E-2</v>
      </c>
      <c r="EE117" s="228">
        <v>4.83</v>
      </c>
      <c r="EF117" s="229">
        <v>5.5999999999999999E-3</v>
      </c>
      <c r="EG117" s="230">
        <v>972056</v>
      </c>
      <c r="EH117" s="230">
        <v>1321999</v>
      </c>
      <c r="EI117" s="229">
        <v>-0.26469999999999999</v>
      </c>
      <c r="EJ117" s="229">
        <v>0.626</v>
      </c>
      <c r="EK117" s="228">
        <v>685.84</v>
      </c>
      <c r="EL117" s="228">
        <v>275.47000000000003</v>
      </c>
      <c r="EM117" s="228">
        <v>228.87</v>
      </c>
      <c r="EN117" s="228">
        <v>62.14</v>
      </c>
      <c r="EO117" s="231">
        <v>1190.18</v>
      </c>
      <c r="EP117" s="231">
        <v>1747.99</v>
      </c>
      <c r="EQ117" s="228">
        <v>-557.80999999999995</v>
      </c>
      <c r="ER117" s="229">
        <v>-0.31909999999999999</v>
      </c>
      <c r="ES117" s="228">
        <v>883.76</v>
      </c>
      <c r="ET117" s="228">
        <v>484.91</v>
      </c>
      <c r="EU117" s="231">
        <v>1653.08</v>
      </c>
      <c r="EV117" s="231">
        <v>58629477</v>
      </c>
      <c r="EW117" s="231">
        <v>3021.75</v>
      </c>
      <c r="EX117" s="231">
        <v>2941.73</v>
      </c>
      <c r="EY117" s="228">
        <v>80.02</v>
      </c>
      <c r="EZ117" s="229">
        <v>2.7199999999999998E-2</v>
      </c>
      <c r="FA117" s="229">
        <v>0.58720000000000006</v>
      </c>
      <c r="FB117" s="227" t="s">
        <v>567</v>
      </c>
      <c r="FC117">
        <f t="shared" si="1"/>
        <v>55</v>
      </c>
    </row>
    <row r="118" spans="1:159" ht="17.25" thickBot="1" x14ac:dyDescent="0.3">
      <c r="A118" s="226">
        <v>45936</v>
      </c>
      <c r="B118" s="227" t="s">
        <v>175</v>
      </c>
      <c r="C118" s="227" t="s">
        <v>248</v>
      </c>
      <c r="D118" s="228">
        <v>1000</v>
      </c>
      <c r="E118" s="228">
        <v>22</v>
      </c>
      <c r="F118" s="228">
        <v>580.20000000000005</v>
      </c>
      <c r="G118" s="228">
        <v>582.54999999999995</v>
      </c>
      <c r="H118" s="228">
        <v>-2.35</v>
      </c>
      <c r="I118" s="229">
        <v>-4.0000000000000001E-3</v>
      </c>
      <c r="J118" s="228">
        <v>576.85</v>
      </c>
      <c r="K118" s="228">
        <v>578.45000000000005</v>
      </c>
      <c r="L118" s="228">
        <v>-1.6</v>
      </c>
      <c r="M118" s="229">
        <v>-2.8E-3</v>
      </c>
      <c r="N118" s="228">
        <v>580.20000000000005</v>
      </c>
      <c r="O118" s="228">
        <v>582.54999999999995</v>
      </c>
      <c r="P118" s="228">
        <v>-2.35</v>
      </c>
      <c r="Q118" s="229">
        <v>-4.0000000000000001E-3</v>
      </c>
      <c r="R118" s="228">
        <v>583.65</v>
      </c>
      <c r="S118" s="228">
        <v>585.79999999999995</v>
      </c>
      <c r="T118" s="228">
        <v>-2.15</v>
      </c>
      <c r="U118" s="229">
        <v>-3.7000000000000002E-3</v>
      </c>
      <c r="V118" s="228">
        <v>587.29999999999995</v>
      </c>
      <c r="W118" s="228">
        <v>587.9</v>
      </c>
      <c r="X118" s="228">
        <v>-0.6</v>
      </c>
      <c r="Y118" s="229">
        <v>-1E-3</v>
      </c>
      <c r="Z118" s="228">
        <v>3.35</v>
      </c>
      <c r="AA118" s="228">
        <v>4.0999999999999996</v>
      </c>
      <c r="AB118" s="228">
        <v>-0.75</v>
      </c>
      <c r="AC118" s="229">
        <v>5.7999999999999996E-3</v>
      </c>
      <c r="AD118" s="228">
        <v>3.35</v>
      </c>
      <c r="AE118" s="228">
        <v>4.0999999999999996</v>
      </c>
      <c r="AF118" s="228">
        <v>-0.75</v>
      </c>
      <c r="AG118" s="229">
        <v>5.7999999999999996E-3</v>
      </c>
      <c r="AH118" s="228">
        <v>6.8</v>
      </c>
      <c r="AI118" s="228">
        <v>7.35</v>
      </c>
      <c r="AJ118" s="228">
        <v>-0.55000000000000004</v>
      </c>
      <c r="AK118" s="229">
        <v>1.18E-2</v>
      </c>
      <c r="AL118" s="228">
        <v>10.45</v>
      </c>
      <c r="AM118" s="228">
        <v>9.4499999999999993</v>
      </c>
      <c r="AN118" s="228">
        <v>1</v>
      </c>
      <c r="AO118" s="229">
        <v>1.8100000000000002E-2</v>
      </c>
      <c r="AP118" s="228">
        <v>579.95000000000005</v>
      </c>
      <c r="AQ118" s="228">
        <v>583.11</v>
      </c>
      <c r="AR118" s="228">
        <v>0</v>
      </c>
      <c r="AS118" s="228">
        <v>113</v>
      </c>
      <c r="AT118" s="228">
        <v>154</v>
      </c>
      <c r="AU118" s="228">
        <v>-41</v>
      </c>
      <c r="AV118" s="229">
        <v>-0.26419999999999999</v>
      </c>
      <c r="AW118" s="228">
        <v>108</v>
      </c>
      <c r="AX118" s="228">
        <v>137</v>
      </c>
      <c r="AY118" s="228">
        <v>-29</v>
      </c>
      <c r="AZ118" s="229">
        <v>-0.20949999999999999</v>
      </c>
      <c r="BA118" s="228">
        <v>5</v>
      </c>
      <c r="BB118" s="228">
        <v>17</v>
      </c>
      <c r="BC118" s="228">
        <v>-12</v>
      </c>
      <c r="BD118" s="229">
        <v>-0.70730000000000004</v>
      </c>
      <c r="BE118" s="228">
        <v>0</v>
      </c>
      <c r="BF118" s="228">
        <v>0</v>
      </c>
      <c r="BG118" s="228">
        <v>0</v>
      </c>
      <c r="BH118" s="229">
        <v>-0.5</v>
      </c>
      <c r="BI118" s="228">
        <v>199</v>
      </c>
      <c r="BJ118" s="228">
        <v>267</v>
      </c>
      <c r="BK118" s="228">
        <v>-68</v>
      </c>
      <c r="BL118" s="229">
        <v>-0.2545</v>
      </c>
      <c r="BM118" s="228">
        <v>48</v>
      </c>
      <c r="BN118" s="228">
        <v>83</v>
      </c>
      <c r="BO118" s="228">
        <v>-35</v>
      </c>
      <c r="BP118" s="229">
        <v>-0.41849999999999998</v>
      </c>
      <c r="BQ118" s="228">
        <v>360</v>
      </c>
      <c r="BR118" s="228">
        <v>503</v>
      </c>
      <c r="BS118" s="228">
        <v>-143</v>
      </c>
      <c r="BT118" s="229">
        <v>-0.28449999999999998</v>
      </c>
      <c r="BU118" s="230">
        <v>676739</v>
      </c>
      <c r="BV118" s="230">
        <v>905803</v>
      </c>
      <c r="BW118" s="230">
        <v>-229064</v>
      </c>
      <c r="BX118" s="229">
        <v>-0.25290000000000001</v>
      </c>
      <c r="BY118" s="230">
        <v>1710</v>
      </c>
      <c r="BZ118" s="230">
        <v>1693</v>
      </c>
      <c r="CA118" s="228">
        <v>17</v>
      </c>
      <c r="CB118" s="229">
        <v>1.01E-2</v>
      </c>
      <c r="CC118" s="230">
        <v>1673</v>
      </c>
      <c r="CD118" s="230">
        <v>1657</v>
      </c>
      <c r="CE118" s="228">
        <v>15</v>
      </c>
      <c r="CF118" s="229">
        <v>9.2999999999999992E-3</v>
      </c>
      <c r="CG118" s="228">
        <v>37</v>
      </c>
      <c r="CH118" s="228">
        <v>35</v>
      </c>
      <c r="CI118" s="228">
        <v>2</v>
      </c>
      <c r="CJ118" s="229">
        <v>4.4299999999999999E-2</v>
      </c>
      <c r="CK118" s="228">
        <v>1</v>
      </c>
      <c r="CL118" s="228">
        <v>0</v>
      </c>
      <c r="CM118" s="228">
        <v>0</v>
      </c>
      <c r="CN118" s="229">
        <v>0.375</v>
      </c>
      <c r="CO118" s="228">
        <v>406</v>
      </c>
      <c r="CP118" s="228">
        <v>403</v>
      </c>
      <c r="CQ118" s="228">
        <v>3</v>
      </c>
      <c r="CR118" s="229">
        <v>6.4999999999999997E-3</v>
      </c>
      <c r="CS118" s="228">
        <v>319</v>
      </c>
      <c r="CT118" s="228">
        <v>315</v>
      </c>
      <c r="CU118" s="228">
        <v>4</v>
      </c>
      <c r="CV118" s="229">
        <v>1.2200000000000001E-2</v>
      </c>
      <c r="CW118" s="230">
        <v>2435</v>
      </c>
      <c r="CX118" s="230">
        <v>2411</v>
      </c>
      <c r="CY118" s="228">
        <v>24</v>
      </c>
      <c r="CZ118" s="229">
        <v>9.7999999999999997E-3</v>
      </c>
      <c r="DA118" s="228">
        <v>21.05</v>
      </c>
      <c r="DB118" s="228">
        <v>20.170000000000002</v>
      </c>
      <c r="DC118" s="228">
        <v>0.88</v>
      </c>
      <c r="DD118" s="228">
        <v>0.88</v>
      </c>
      <c r="DE118" s="228">
        <v>35.07</v>
      </c>
      <c r="DF118" s="228">
        <v>35.15</v>
      </c>
      <c r="DG118" s="228">
        <v>-14.02</v>
      </c>
      <c r="DH118" s="228">
        <v>-0.08</v>
      </c>
      <c r="DI118" s="228">
        <v>21</v>
      </c>
      <c r="DJ118" s="228">
        <v>20.04</v>
      </c>
      <c r="DK118" s="228">
        <v>0.96</v>
      </c>
      <c r="DL118" s="228">
        <v>0.96</v>
      </c>
      <c r="DM118" s="228">
        <v>21.24</v>
      </c>
      <c r="DN118" s="228">
        <v>20.57</v>
      </c>
      <c r="DO118" s="228">
        <v>0.67</v>
      </c>
      <c r="DP118" s="228">
        <v>0.67</v>
      </c>
      <c r="DQ118" s="228">
        <v>0.79</v>
      </c>
      <c r="DR118" s="228">
        <v>0.78</v>
      </c>
      <c r="DS118" s="228">
        <v>0.01</v>
      </c>
      <c r="DT118" s="229">
        <v>1.2800000000000001E-2</v>
      </c>
      <c r="DU118" s="228">
        <v>600</v>
      </c>
      <c r="DV118" s="228">
        <v>600</v>
      </c>
      <c r="DW118" s="228">
        <v>0.24</v>
      </c>
      <c r="DX118" s="228">
        <v>0.31</v>
      </c>
      <c r="DY118" s="228">
        <v>-7.0000000000000007E-2</v>
      </c>
      <c r="DZ118" s="229">
        <v>-0.2258</v>
      </c>
      <c r="EA118" s="229">
        <v>2.1999999999999999E-2</v>
      </c>
      <c r="EB118" s="230">
        <v>618000</v>
      </c>
      <c r="EC118" s="229">
        <v>5.8999999999999999E-3</v>
      </c>
      <c r="ED118" s="229">
        <v>2.1999999999999999E-2</v>
      </c>
      <c r="EE118" s="228">
        <v>3.16</v>
      </c>
      <c r="EF118" s="229">
        <v>5.4000000000000003E-3</v>
      </c>
      <c r="EG118" s="230">
        <v>359639</v>
      </c>
      <c r="EH118" s="230">
        <v>398857</v>
      </c>
      <c r="EI118" s="229">
        <v>-9.8299999999999998E-2</v>
      </c>
      <c r="EJ118" s="229">
        <v>0.53139999999999998</v>
      </c>
      <c r="EK118" s="228">
        <v>206.09</v>
      </c>
      <c r="EL118" s="228">
        <v>47.58</v>
      </c>
      <c r="EM118" s="228">
        <v>112.95</v>
      </c>
      <c r="EN118" s="228">
        <v>88.8</v>
      </c>
      <c r="EO118" s="228">
        <v>366.61</v>
      </c>
      <c r="EP118" s="228">
        <v>513.27</v>
      </c>
      <c r="EQ118" s="228">
        <v>-146.66</v>
      </c>
      <c r="ER118" s="229">
        <v>-0.28570000000000001</v>
      </c>
      <c r="ES118" s="228">
        <v>417</v>
      </c>
      <c r="ET118" s="228">
        <v>317.47000000000003</v>
      </c>
      <c r="EU118" s="231">
        <v>1710.6</v>
      </c>
      <c r="EV118" s="231">
        <v>45183075</v>
      </c>
      <c r="EW118" s="231">
        <v>2445.0700000000002</v>
      </c>
      <c r="EX118" s="231">
        <v>2428.64</v>
      </c>
      <c r="EY118" s="228">
        <v>16.43</v>
      </c>
      <c r="EZ118" s="229">
        <v>6.7999999999999996E-3</v>
      </c>
      <c r="FA118" s="229">
        <v>0.92879999999999996</v>
      </c>
      <c r="FB118" s="227" t="s">
        <v>567</v>
      </c>
      <c r="FC118">
        <f t="shared" si="1"/>
        <v>37</v>
      </c>
    </row>
    <row r="119" spans="1:159" ht="17.25" thickBot="1" x14ac:dyDescent="0.3">
      <c r="A119" s="226">
        <v>45936</v>
      </c>
      <c r="B119" s="227" t="s">
        <v>175</v>
      </c>
      <c r="C119" s="227" t="s">
        <v>608</v>
      </c>
      <c r="D119" s="228">
        <v>700</v>
      </c>
      <c r="E119" s="228">
        <v>22</v>
      </c>
      <c r="F119" s="228">
        <v>912.9</v>
      </c>
      <c r="G119" s="228">
        <v>911.25</v>
      </c>
      <c r="H119" s="228">
        <v>1.65</v>
      </c>
      <c r="I119" s="229">
        <v>1.8E-3</v>
      </c>
      <c r="J119" s="228">
        <v>907.15</v>
      </c>
      <c r="K119" s="228">
        <v>905.25</v>
      </c>
      <c r="L119" s="228">
        <v>1.9</v>
      </c>
      <c r="M119" s="229">
        <v>2.0999999999999999E-3</v>
      </c>
      <c r="N119" s="228">
        <v>912.9</v>
      </c>
      <c r="O119" s="228">
        <v>911.25</v>
      </c>
      <c r="P119" s="228">
        <v>1.65</v>
      </c>
      <c r="Q119" s="229">
        <v>1.8E-3</v>
      </c>
      <c r="R119" s="228">
        <v>916.95</v>
      </c>
      <c r="S119" s="228">
        <v>914.95</v>
      </c>
      <c r="T119" s="228">
        <v>2</v>
      </c>
      <c r="U119" s="229">
        <v>2.2000000000000001E-3</v>
      </c>
      <c r="V119" s="228">
        <v>919.1</v>
      </c>
      <c r="W119" s="228">
        <v>917.4</v>
      </c>
      <c r="X119" s="228">
        <v>1.7</v>
      </c>
      <c r="Y119" s="229">
        <v>1.9E-3</v>
      </c>
      <c r="Z119" s="228">
        <v>5.75</v>
      </c>
      <c r="AA119" s="228">
        <v>6</v>
      </c>
      <c r="AB119" s="228">
        <v>-0.25</v>
      </c>
      <c r="AC119" s="229">
        <v>6.3E-3</v>
      </c>
      <c r="AD119" s="228">
        <v>5.75</v>
      </c>
      <c r="AE119" s="228">
        <v>6</v>
      </c>
      <c r="AF119" s="228">
        <v>-0.25</v>
      </c>
      <c r="AG119" s="229">
        <v>6.3E-3</v>
      </c>
      <c r="AH119" s="228">
        <v>9.8000000000000007</v>
      </c>
      <c r="AI119" s="228">
        <v>9.6999999999999993</v>
      </c>
      <c r="AJ119" s="228">
        <v>0.1</v>
      </c>
      <c r="AK119" s="229">
        <v>1.0800000000000001E-2</v>
      </c>
      <c r="AL119" s="228">
        <v>11.95</v>
      </c>
      <c r="AM119" s="228">
        <v>12.15</v>
      </c>
      <c r="AN119" s="228">
        <v>-0.2</v>
      </c>
      <c r="AO119" s="229">
        <v>1.32E-2</v>
      </c>
      <c r="AP119" s="228">
        <v>912.3</v>
      </c>
      <c r="AQ119" s="228">
        <v>915.46</v>
      </c>
      <c r="AR119" s="228">
        <v>0</v>
      </c>
      <c r="AS119" s="228">
        <v>111</v>
      </c>
      <c r="AT119" s="228">
        <v>107</v>
      </c>
      <c r="AU119" s="228">
        <v>4</v>
      </c>
      <c r="AV119" s="229">
        <v>3.8800000000000001E-2</v>
      </c>
      <c r="AW119" s="228">
        <v>96</v>
      </c>
      <c r="AX119" s="228">
        <v>99</v>
      </c>
      <c r="AY119" s="228">
        <v>-4</v>
      </c>
      <c r="AZ119" s="229">
        <v>-3.8600000000000002E-2</v>
      </c>
      <c r="BA119" s="228">
        <v>15</v>
      </c>
      <c r="BB119" s="228">
        <v>7</v>
      </c>
      <c r="BC119" s="228">
        <v>8</v>
      </c>
      <c r="BD119" s="229">
        <v>1.0350999999999999</v>
      </c>
      <c r="BE119" s="228">
        <v>1</v>
      </c>
      <c r="BF119" s="228">
        <v>0</v>
      </c>
      <c r="BG119" s="228">
        <v>0</v>
      </c>
      <c r="BH119" s="229">
        <v>1</v>
      </c>
      <c r="BI119" s="228">
        <v>208</v>
      </c>
      <c r="BJ119" s="228">
        <v>272</v>
      </c>
      <c r="BK119" s="228">
        <v>-64</v>
      </c>
      <c r="BL119" s="229">
        <v>-0.23480000000000001</v>
      </c>
      <c r="BM119" s="228">
        <v>59</v>
      </c>
      <c r="BN119" s="228">
        <v>80</v>
      </c>
      <c r="BO119" s="228">
        <v>-21</v>
      </c>
      <c r="BP119" s="229">
        <v>-0.26519999999999999</v>
      </c>
      <c r="BQ119" s="228">
        <v>378</v>
      </c>
      <c r="BR119" s="228">
        <v>459</v>
      </c>
      <c r="BS119" s="228">
        <v>-81</v>
      </c>
      <c r="BT119" s="229">
        <v>-0.1762</v>
      </c>
      <c r="BU119" s="230">
        <v>1432908</v>
      </c>
      <c r="BV119" s="230">
        <v>990246</v>
      </c>
      <c r="BW119" s="230">
        <v>442662</v>
      </c>
      <c r="BX119" s="229">
        <v>0.44700000000000001</v>
      </c>
      <c r="BY119" s="228">
        <v>679</v>
      </c>
      <c r="BZ119" s="228">
        <v>652</v>
      </c>
      <c r="CA119" s="228">
        <v>27</v>
      </c>
      <c r="CB119" s="229">
        <v>4.0899999999999999E-2</v>
      </c>
      <c r="CC119" s="228">
        <v>644</v>
      </c>
      <c r="CD119" s="228">
        <v>627</v>
      </c>
      <c r="CE119" s="228">
        <v>17</v>
      </c>
      <c r="CF119" s="229">
        <v>2.76E-2</v>
      </c>
      <c r="CG119" s="228">
        <v>33</v>
      </c>
      <c r="CH119" s="228">
        <v>24</v>
      </c>
      <c r="CI119" s="228">
        <v>9</v>
      </c>
      <c r="CJ119" s="229">
        <v>0.36840000000000001</v>
      </c>
      <c r="CK119" s="228">
        <v>1</v>
      </c>
      <c r="CL119" s="228">
        <v>1</v>
      </c>
      <c r="CM119" s="228">
        <v>0</v>
      </c>
      <c r="CN119" s="229">
        <v>0.75</v>
      </c>
      <c r="CO119" s="228">
        <v>317</v>
      </c>
      <c r="CP119" s="228">
        <v>292</v>
      </c>
      <c r="CQ119" s="228">
        <v>25</v>
      </c>
      <c r="CR119" s="229">
        <v>8.4599999999999995E-2</v>
      </c>
      <c r="CS119" s="228">
        <v>138</v>
      </c>
      <c r="CT119" s="228">
        <v>129</v>
      </c>
      <c r="CU119" s="228">
        <v>9</v>
      </c>
      <c r="CV119" s="229">
        <v>6.8199999999999997E-2</v>
      </c>
      <c r="CW119" s="230">
        <v>1134</v>
      </c>
      <c r="CX119" s="230">
        <v>1074</v>
      </c>
      <c r="CY119" s="228">
        <v>60</v>
      </c>
      <c r="CZ119" s="229">
        <v>5.6099999999999997E-2</v>
      </c>
      <c r="DA119" s="228">
        <v>23.09</v>
      </c>
      <c r="DB119" s="228">
        <v>22.3</v>
      </c>
      <c r="DC119" s="228">
        <v>0.79</v>
      </c>
      <c r="DD119" s="228">
        <v>0.79</v>
      </c>
      <c r="DE119" s="228">
        <v>32.619999999999997</v>
      </c>
      <c r="DF119" s="228">
        <v>32.71</v>
      </c>
      <c r="DG119" s="228">
        <v>-9.5299999999999994</v>
      </c>
      <c r="DH119" s="228">
        <v>-0.09</v>
      </c>
      <c r="DI119" s="228">
        <v>23.07</v>
      </c>
      <c r="DJ119" s="228">
        <v>22.32</v>
      </c>
      <c r="DK119" s="228">
        <v>0.75</v>
      </c>
      <c r="DL119" s="228">
        <v>0.75</v>
      </c>
      <c r="DM119" s="228">
        <v>23.17</v>
      </c>
      <c r="DN119" s="228">
        <v>22.23</v>
      </c>
      <c r="DO119" s="228">
        <v>0.94</v>
      </c>
      <c r="DP119" s="228">
        <v>0.94</v>
      </c>
      <c r="DQ119" s="228">
        <v>0.44</v>
      </c>
      <c r="DR119" s="228">
        <v>0.44</v>
      </c>
      <c r="DS119" s="228">
        <v>0</v>
      </c>
      <c r="DT119" s="229">
        <v>0</v>
      </c>
      <c r="DU119" s="231">
        <v>1000</v>
      </c>
      <c r="DV119" s="228">
        <v>900</v>
      </c>
      <c r="DW119" s="228">
        <v>0.28000000000000003</v>
      </c>
      <c r="DX119" s="228">
        <v>0.28999999999999998</v>
      </c>
      <c r="DY119" s="228">
        <v>-0.01</v>
      </c>
      <c r="DZ119" s="229">
        <v>-3.4500000000000003E-2</v>
      </c>
      <c r="EA119" s="229">
        <v>5.0299999999999997E-2</v>
      </c>
      <c r="EB119" s="230">
        <v>271600</v>
      </c>
      <c r="EC119" s="229">
        <v>4.4000000000000003E-3</v>
      </c>
      <c r="ED119" s="229">
        <v>5.0299999999999997E-2</v>
      </c>
      <c r="EE119" s="228">
        <v>3.16</v>
      </c>
      <c r="EF119" s="229">
        <v>3.5000000000000001E-3</v>
      </c>
      <c r="EG119" s="230">
        <v>879390</v>
      </c>
      <c r="EH119" s="230">
        <v>558124</v>
      </c>
      <c r="EI119" s="229">
        <v>0.5756</v>
      </c>
      <c r="EJ119" s="229">
        <v>0.61370000000000002</v>
      </c>
      <c r="EK119" s="228">
        <v>215.82</v>
      </c>
      <c r="EL119" s="228">
        <v>57.46</v>
      </c>
      <c r="EM119" s="228">
        <v>111.3</v>
      </c>
      <c r="EN119" s="228">
        <v>48.97</v>
      </c>
      <c r="EO119" s="228">
        <v>384.59</v>
      </c>
      <c r="EP119" s="228">
        <v>470.61</v>
      </c>
      <c r="EQ119" s="228">
        <v>-86.02</v>
      </c>
      <c r="ER119" s="229">
        <v>-0.18279999999999999</v>
      </c>
      <c r="ES119" s="228">
        <v>328.62</v>
      </c>
      <c r="ET119" s="228">
        <v>132.34</v>
      </c>
      <c r="EU119" s="228">
        <v>678.74</v>
      </c>
      <c r="EV119" s="231">
        <v>32057152</v>
      </c>
      <c r="EW119" s="231">
        <v>1139.7</v>
      </c>
      <c r="EX119" s="231">
        <v>1077.54</v>
      </c>
      <c r="EY119" s="228">
        <v>62.16</v>
      </c>
      <c r="EZ119" s="229">
        <v>5.7700000000000001E-2</v>
      </c>
      <c r="FA119" s="229">
        <v>0.38740000000000002</v>
      </c>
      <c r="FB119" s="227" t="s">
        <v>555</v>
      </c>
      <c r="FC119">
        <f t="shared" si="1"/>
        <v>35</v>
      </c>
    </row>
    <row r="120" spans="1:159" ht="17.25" thickBot="1" x14ac:dyDescent="0.3">
      <c r="A120" s="226">
        <v>45936</v>
      </c>
      <c r="B120" s="227" t="s">
        <v>206</v>
      </c>
      <c r="C120" s="227" t="s">
        <v>589</v>
      </c>
      <c r="D120" s="228">
        <v>450</v>
      </c>
      <c r="E120" s="228">
        <v>22</v>
      </c>
      <c r="F120" s="231">
        <v>1122.5</v>
      </c>
      <c r="G120" s="231">
        <v>1120.4000000000001</v>
      </c>
      <c r="H120" s="228">
        <v>2.1</v>
      </c>
      <c r="I120" s="229">
        <v>1.9E-3</v>
      </c>
      <c r="J120" s="231">
        <v>1115.0999999999999</v>
      </c>
      <c r="K120" s="231">
        <v>1113</v>
      </c>
      <c r="L120" s="228">
        <v>2.1</v>
      </c>
      <c r="M120" s="229">
        <v>1.9E-3</v>
      </c>
      <c r="N120" s="231">
        <v>1122.5</v>
      </c>
      <c r="O120" s="231">
        <v>1120.4000000000001</v>
      </c>
      <c r="P120" s="228">
        <v>2.1</v>
      </c>
      <c r="Q120" s="229">
        <v>1.9E-3</v>
      </c>
      <c r="R120" s="231">
        <v>1128.3</v>
      </c>
      <c r="S120" s="231">
        <v>1127.0999999999999</v>
      </c>
      <c r="T120" s="228">
        <v>1.2</v>
      </c>
      <c r="U120" s="229">
        <v>1.1000000000000001E-3</v>
      </c>
      <c r="V120" s="231">
        <v>1134.8</v>
      </c>
      <c r="W120" s="231">
        <v>1132.7</v>
      </c>
      <c r="X120" s="228">
        <v>2.1</v>
      </c>
      <c r="Y120" s="229">
        <v>1.9E-3</v>
      </c>
      <c r="Z120" s="228">
        <v>7.4</v>
      </c>
      <c r="AA120" s="228">
        <v>7.4</v>
      </c>
      <c r="AB120" s="228">
        <v>0</v>
      </c>
      <c r="AC120" s="229">
        <v>6.6E-3</v>
      </c>
      <c r="AD120" s="228">
        <v>7.4</v>
      </c>
      <c r="AE120" s="228">
        <v>7.4</v>
      </c>
      <c r="AF120" s="228">
        <v>0</v>
      </c>
      <c r="AG120" s="229">
        <v>6.6E-3</v>
      </c>
      <c r="AH120" s="228">
        <v>13.2</v>
      </c>
      <c r="AI120" s="228">
        <v>14.1</v>
      </c>
      <c r="AJ120" s="228">
        <v>-0.9</v>
      </c>
      <c r="AK120" s="229">
        <v>1.18E-2</v>
      </c>
      <c r="AL120" s="228">
        <v>19.7</v>
      </c>
      <c r="AM120" s="228">
        <v>19.7</v>
      </c>
      <c r="AN120" s="228">
        <v>0</v>
      </c>
      <c r="AO120" s="229">
        <v>1.77E-2</v>
      </c>
      <c r="AP120" s="231">
        <v>1118.99</v>
      </c>
      <c r="AQ120" s="231">
        <v>1125.71</v>
      </c>
      <c r="AR120" s="228">
        <v>0</v>
      </c>
      <c r="AS120" s="228">
        <v>175</v>
      </c>
      <c r="AT120" s="228">
        <v>212</v>
      </c>
      <c r="AU120" s="228">
        <v>-38</v>
      </c>
      <c r="AV120" s="229">
        <v>-0.17680000000000001</v>
      </c>
      <c r="AW120" s="228">
        <v>163</v>
      </c>
      <c r="AX120" s="228">
        <v>185</v>
      </c>
      <c r="AY120" s="228">
        <v>-22</v>
      </c>
      <c r="AZ120" s="229">
        <v>-0.1193</v>
      </c>
      <c r="BA120" s="228">
        <v>11</v>
      </c>
      <c r="BB120" s="228">
        <v>26</v>
      </c>
      <c r="BC120" s="228">
        <v>-14</v>
      </c>
      <c r="BD120" s="229">
        <v>-0.56720000000000004</v>
      </c>
      <c r="BE120" s="228">
        <v>1</v>
      </c>
      <c r="BF120" s="228">
        <v>2</v>
      </c>
      <c r="BG120" s="228">
        <v>-1</v>
      </c>
      <c r="BH120" s="229">
        <v>-0.57579999999999998</v>
      </c>
      <c r="BI120" s="228">
        <v>432</v>
      </c>
      <c r="BJ120" s="228">
        <v>381</v>
      </c>
      <c r="BK120" s="228">
        <v>51</v>
      </c>
      <c r="BL120" s="229">
        <v>0.13270000000000001</v>
      </c>
      <c r="BM120" s="228">
        <v>119</v>
      </c>
      <c r="BN120" s="228">
        <v>171</v>
      </c>
      <c r="BO120" s="228">
        <v>-52</v>
      </c>
      <c r="BP120" s="229">
        <v>-0.30420000000000003</v>
      </c>
      <c r="BQ120" s="228">
        <v>726</v>
      </c>
      <c r="BR120" s="228">
        <v>764</v>
      </c>
      <c r="BS120" s="228">
        <v>-39</v>
      </c>
      <c r="BT120" s="229">
        <v>-5.0799999999999998E-2</v>
      </c>
      <c r="BU120" s="230">
        <v>1442729</v>
      </c>
      <c r="BV120" s="230">
        <v>1725508</v>
      </c>
      <c r="BW120" s="230">
        <v>-282779</v>
      </c>
      <c r="BX120" s="229">
        <v>-0.16389999999999999</v>
      </c>
      <c r="BY120" s="230">
        <v>1229</v>
      </c>
      <c r="BZ120" s="230">
        <v>1175</v>
      </c>
      <c r="CA120" s="228">
        <v>55</v>
      </c>
      <c r="CB120" s="229">
        <v>4.65E-2</v>
      </c>
      <c r="CC120" s="230">
        <v>1191</v>
      </c>
      <c r="CD120" s="230">
        <v>1140</v>
      </c>
      <c r="CE120" s="228">
        <v>51</v>
      </c>
      <c r="CF120" s="229">
        <v>4.4699999999999997E-2</v>
      </c>
      <c r="CG120" s="228">
        <v>36</v>
      </c>
      <c r="CH120" s="228">
        <v>33</v>
      </c>
      <c r="CI120" s="228">
        <v>3</v>
      </c>
      <c r="CJ120" s="229">
        <v>9.9099999999999994E-2</v>
      </c>
      <c r="CK120" s="228">
        <v>2</v>
      </c>
      <c r="CL120" s="228">
        <v>2</v>
      </c>
      <c r="CM120" s="228">
        <v>0</v>
      </c>
      <c r="CN120" s="229">
        <v>0.3</v>
      </c>
      <c r="CO120" s="228">
        <v>294</v>
      </c>
      <c r="CP120" s="228">
        <v>270</v>
      </c>
      <c r="CQ120" s="228">
        <v>24</v>
      </c>
      <c r="CR120" s="229">
        <v>8.9899999999999994E-2</v>
      </c>
      <c r="CS120" s="228">
        <v>147</v>
      </c>
      <c r="CT120" s="228">
        <v>131</v>
      </c>
      <c r="CU120" s="228">
        <v>16</v>
      </c>
      <c r="CV120" s="229">
        <v>0.1192</v>
      </c>
      <c r="CW120" s="230">
        <v>1670</v>
      </c>
      <c r="CX120" s="230">
        <v>1575</v>
      </c>
      <c r="CY120" s="228">
        <v>95</v>
      </c>
      <c r="CZ120" s="229">
        <v>0.06</v>
      </c>
      <c r="DA120" s="228">
        <v>34.49</v>
      </c>
      <c r="DB120" s="228">
        <v>33.44</v>
      </c>
      <c r="DC120" s="228">
        <v>1.05</v>
      </c>
      <c r="DD120" s="228">
        <v>1.05</v>
      </c>
      <c r="DE120" s="228">
        <v>48.03</v>
      </c>
      <c r="DF120" s="228">
        <v>48.15</v>
      </c>
      <c r="DG120" s="228">
        <v>-13.54</v>
      </c>
      <c r="DH120" s="228">
        <v>-0.12</v>
      </c>
      <c r="DI120" s="228">
        <v>34.6</v>
      </c>
      <c r="DJ120" s="228">
        <v>33.53</v>
      </c>
      <c r="DK120" s="228">
        <v>1.07</v>
      </c>
      <c r="DL120" s="228">
        <v>1.07</v>
      </c>
      <c r="DM120" s="228">
        <v>34.090000000000003</v>
      </c>
      <c r="DN120" s="228">
        <v>33.25</v>
      </c>
      <c r="DO120" s="228">
        <v>0.84</v>
      </c>
      <c r="DP120" s="228">
        <v>0.84</v>
      </c>
      <c r="DQ120" s="228">
        <v>0.5</v>
      </c>
      <c r="DR120" s="228">
        <v>0.49</v>
      </c>
      <c r="DS120" s="228">
        <v>0.01</v>
      </c>
      <c r="DT120" s="229">
        <v>2.0400000000000001E-2</v>
      </c>
      <c r="DU120" s="231">
        <v>1200</v>
      </c>
      <c r="DV120" s="231">
        <v>1100</v>
      </c>
      <c r="DW120" s="228">
        <v>0.27</v>
      </c>
      <c r="DX120" s="228">
        <v>0.45</v>
      </c>
      <c r="DY120" s="228">
        <v>-0.18</v>
      </c>
      <c r="DZ120" s="229">
        <v>-0.4</v>
      </c>
      <c r="EA120" s="229">
        <v>3.0800000000000001E-2</v>
      </c>
      <c r="EB120" s="230">
        <v>304200</v>
      </c>
      <c r="EC120" s="229">
        <v>5.1999999999999998E-3</v>
      </c>
      <c r="ED120" s="229">
        <v>3.0800000000000001E-2</v>
      </c>
      <c r="EE120" s="228">
        <v>6.72</v>
      </c>
      <c r="EF120" s="229">
        <v>6.0000000000000001E-3</v>
      </c>
      <c r="EG120" s="230">
        <v>939532</v>
      </c>
      <c r="EH120" s="230">
        <v>1003083</v>
      </c>
      <c r="EI120" s="229">
        <v>-6.3399999999999998E-2</v>
      </c>
      <c r="EJ120" s="229">
        <v>0.6512</v>
      </c>
      <c r="EK120" s="228">
        <v>461.39</v>
      </c>
      <c r="EL120" s="228">
        <v>117.8</v>
      </c>
      <c r="EM120" s="228">
        <v>174.3</v>
      </c>
      <c r="EN120" s="228">
        <v>75.489999999999995</v>
      </c>
      <c r="EO120" s="228">
        <v>753.49</v>
      </c>
      <c r="EP120" s="228">
        <v>792.29</v>
      </c>
      <c r="EQ120" s="228">
        <v>-38.799999999999997</v>
      </c>
      <c r="ER120" s="229">
        <v>-4.9000000000000002E-2</v>
      </c>
      <c r="ES120" s="228">
        <v>312.89</v>
      </c>
      <c r="ET120" s="228">
        <v>145.75</v>
      </c>
      <c r="EU120" s="231">
        <v>1229.3800000000001</v>
      </c>
      <c r="EV120" s="231">
        <v>42060143</v>
      </c>
      <c r="EW120" s="231">
        <v>1688.02</v>
      </c>
      <c r="EX120" s="231">
        <v>1592.57</v>
      </c>
      <c r="EY120" s="228">
        <v>95.45</v>
      </c>
      <c r="EZ120" s="229">
        <v>5.9900000000000002E-2</v>
      </c>
      <c r="FA120" s="229">
        <v>0.35370000000000001</v>
      </c>
      <c r="FB120" s="227" t="s">
        <v>555</v>
      </c>
      <c r="FC120">
        <f t="shared" si="1"/>
        <v>38</v>
      </c>
    </row>
    <row r="121" spans="1:159" ht="17.25" thickBot="1" x14ac:dyDescent="0.3">
      <c r="A121" s="226">
        <v>45936</v>
      </c>
      <c r="B121" s="227" t="s">
        <v>184</v>
      </c>
      <c r="C121" s="227" t="s">
        <v>249</v>
      </c>
      <c r="D121" s="228">
        <v>175</v>
      </c>
      <c r="E121" s="228">
        <v>22</v>
      </c>
      <c r="F121" s="231">
        <v>3753.4</v>
      </c>
      <c r="G121" s="231">
        <v>3751.1</v>
      </c>
      <c r="H121" s="228">
        <v>2.2999999999999998</v>
      </c>
      <c r="I121" s="229">
        <v>5.9999999999999995E-4</v>
      </c>
      <c r="J121" s="231">
        <v>3737</v>
      </c>
      <c r="K121" s="231">
        <v>3733.1</v>
      </c>
      <c r="L121" s="228">
        <v>3.9</v>
      </c>
      <c r="M121" s="229">
        <v>1E-3</v>
      </c>
      <c r="N121" s="231">
        <v>3753.4</v>
      </c>
      <c r="O121" s="231">
        <v>3751.1</v>
      </c>
      <c r="P121" s="228">
        <v>2.2999999999999998</v>
      </c>
      <c r="Q121" s="229">
        <v>5.9999999999999995E-4</v>
      </c>
      <c r="R121" s="231">
        <v>3777.1</v>
      </c>
      <c r="S121" s="231">
        <v>3772.1</v>
      </c>
      <c r="T121" s="228">
        <v>5</v>
      </c>
      <c r="U121" s="229">
        <v>1.2999999999999999E-3</v>
      </c>
      <c r="V121" s="231">
        <v>3792.8</v>
      </c>
      <c r="W121" s="231">
        <v>3790.9</v>
      </c>
      <c r="X121" s="228">
        <v>1.9</v>
      </c>
      <c r="Y121" s="229">
        <v>5.0000000000000001E-4</v>
      </c>
      <c r="Z121" s="228">
        <v>16.399999999999999</v>
      </c>
      <c r="AA121" s="228">
        <v>18</v>
      </c>
      <c r="AB121" s="228">
        <v>-1.6</v>
      </c>
      <c r="AC121" s="229">
        <v>4.4000000000000003E-3</v>
      </c>
      <c r="AD121" s="228">
        <v>16.399999999999999</v>
      </c>
      <c r="AE121" s="228">
        <v>18</v>
      </c>
      <c r="AF121" s="228">
        <v>-1.6</v>
      </c>
      <c r="AG121" s="229">
        <v>4.4000000000000003E-3</v>
      </c>
      <c r="AH121" s="228">
        <v>40.1</v>
      </c>
      <c r="AI121" s="228">
        <v>39</v>
      </c>
      <c r="AJ121" s="228">
        <v>1.1000000000000001</v>
      </c>
      <c r="AK121" s="229">
        <v>1.0699999999999999E-2</v>
      </c>
      <c r="AL121" s="228">
        <v>55.8</v>
      </c>
      <c r="AM121" s="228">
        <v>57.8</v>
      </c>
      <c r="AN121" s="228">
        <v>-2</v>
      </c>
      <c r="AO121" s="229">
        <v>1.49E-2</v>
      </c>
      <c r="AP121" s="231">
        <v>3754.34</v>
      </c>
      <c r="AQ121" s="231">
        <v>3775</v>
      </c>
      <c r="AR121" s="228">
        <v>0</v>
      </c>
      <c r="AS121" s="228">
        <v>672</v>
      </c>
      <c r="AT121" s="228">
        <v>948</v>
      </c>
      <c r="AU121" s="228">
        <v>-276</v>
      </c>
      <c r="AV121" s="229">
        <v>-0.2908</v>
      </c>
      <c r="AW121" s="228">
        <v>643</v>
      </c>
      <c r="AX121" s="228">
        <v>855</v>
      </c>
      <c r="AY121" s="228">
        <v>-212</v>
      </c>
      <c r="AZ121" s="229">
        <v>-0.2485</v>
      </c>
      <c r="BA121" s="228">
        <v>24</v>
      </c>
      <c r="BB121" s="228">
        <v>25</v>
      </c>
      <c r="BC121" s="228">
        <v>-1</v>
      </c>
      <c r="BD121" s="229">
        <v>-5.2600000000000001E-2</v>
      </c>
      <c r="BE121" s="228">
        <v>6</v>
      </c>
      <c r="BF121" s="228">
        <v>68</v>
      </c>
      <c r="BG121" s="228">
        <v>-62</v>
      </c>
      <c r="BH121" s="229">
        <v>-0.90939999999999999</v>
      </c>
      <c r="BI121" s="230">
        <v>3944</v>
      </c>
      <c r="BJ121" s="230">
        <v>3169</v>
      </c>
      <c r="BK121" s="228">
        <v>775</v>
      </c>
      <c r="BL121" s="229">
        <v>0.2445</v>
      </c>
      <c r="BM121" s="230">
        <v>1105</v>
      </c>
      <c r="BN121" s="230">
        <v>1125</v>
      </c>
      <c r="BO121" s="228">
        <v>-20</v>
      </c>
      <c r="BP121" s="229">
        <v>-1.8200000000000001E-2</v>
      </c>
      <c r="BQ121" s="230">
        <v>5721</v>
      </c>
      <c r="BR121" s="230">
        <v>5242</v>
      </c>
      <c r="BS121" s="228">
        <v>479</v>
      </c>
      <c r="BT121" s="229">
        <v>9.1300000000000006E-2</v>
      </c>
      <c r="BU121" s="230">
        <v>1698977</v>
      </c>
      <c r="BV121" s="230">
        <v>2040998</v>
      </c>
      <c r="BW121" s="230">
        <v>-342021</v>
      </c>
      <c r="BX121" s="229">
        <v>-0.1676</v>
      </c>
      <c r="BY121" s="230">
        <v>6249</v>
      </c>
      <c r="BZ121" s="230">
        <v>6247</v>
      </c>
      <c r="CA121" s="228">
        <v>2</v>
      </c>
      <c r="CB121" s="229">
        <v>2.9999999999999997E-4</v>
      </c>
      <c r="CC121" s="230">
        <v>6115</v>
      </c>
      <c r="CD121" s="230">
        <v>6117</v>
      </c>
      <c r="CE121" s="228">
        <v>-2</v>
      </c>
      <c r="CF121" s="229">
        <v>-4.0000000000000002E-4</v>
      </c>
      <c r="CG121" s="228">
        <v>64</v>
      </c>
      <c r="CH121" s="228">
        <v>62</v>
      </c>
      <c r="CI121" s="228">
        <v>2</v>
      </c>
      <c r="CJ121" s="229">
        <v>3.0700000000000002E-2</v>
      </c>
      <c r="CK121" s="228">
        <v>70</v>
      </c>
      <c r="CL121" s="228">
        <v>67</v>
      </c>
      <c r="CM121" s="228">
        <v>2</v>
      </c>
      <c r="CN121" s="229">
        <v>3.7100000000000001E-2</v>
      </c>
      <c r="CO121" s="230">
        <v>1977</v>
      </c>
      <c r="CP121" s="230">
        <v>1703</v>
      </c>
      <c r="CQ121" s="228">
        <v>274</v>
      </c>
      <c r="CR121" s="229">
        <v>0.16059999999999999</v>
      </c>
      <c r="CS121" s="228">
        <v>984</v>
      </c>
      <c r="CT121" s="228">
        <v>937</v>
      </c>
      <c r="CU121" s="228">
        <v>46</v>
      </c>
      <c r="CV121" s="229">
        <v>4.9500000000000002E-2</v>
      </c>
      <c r="CW121" s="230">
        <v>9209</v>
      </c>
      <c r="CX121" s="230">
        <v>8887</v>
      </c>
      <c r="CY121" s="228">
        <v>322</v>
      </c>
      <c r="CZ121" s="229">
        <v>3.6200000000000003E-2</v>
      </c>
      <c r="DA121" s="228">
        <v>19.47</v>
      </c>
      <c r="DB121" s="228">
        <v>18.59</v>
      </c>
      <c r="DC121" s="228">
        <v>0.88</v>
      </c>
      <c r="DD121" s="228">
        <v>0.88</v>
      </c>
      <c r="DE121" s="228">
        <v>28.33</v>
      </c>
      <c r="DF121" s="228">
        <v>28.4</v>
      </c>
      <c r="DG121" s="228">
        <v>-8.86</v>
      </c>
      <c r="DH121" s="228">
        <v>-7.0000000000000007E-2</v>
      </c>
      <c r="DI121" s="228">
        <v>19.48</v>
      </c>
      <c r="DJ121" s="228">
        <v>18.52</v>
      </c>
      <c r="DK121" s="228">
        <v>0.96</v>
      </c>
      <c r="DL121" s="228">
        <v>0.96</v>
      </c>
      <c r="DM121" s="228">
        <v>19.43</v>
      </c>
      <c r="DN121" s="228">
        <v>18.8</v>
      </c>
      <c r="DO121" s="228">
        <v>0.63</v>
      </c>
      <c r="DP121" s="228">
        <v>0.63</v>
      </c>
      <c r="DQ121" s="228">
        <v>0.5</v>
      </c>
      <c r="DR121" s="228">
        <v>0.55000000000000004</v>
      </c>
      <c r="DS121" s="228">
        <v>-0.05</v>
      </c>
      <c r="DT121" s="229">
        <v>-9.0899999999999995E-2</v>
      </c>
      <c r="DU121" s="231">
        <v>3800</v>
      </c>
      <c r="DV121" s="231">
        <v>3600</v>
      </c>
      <c r="DW121" s="228">
        <v>0.28000000000000003</v>
      </c>
      <c r="DX121" s="228">
        <v>0.36</v>
      </c>
      <c r="DY121" s="228">
        <v>-0.08</v>
      </c>
      <c r="DZ121" s="229">
        <v>-0.22220000000000001</v>
      </c>
      <c r="EA121" s="229">
        <v>2.1399999999999999E-2</v>
      </c>
      <c r="EB121" s="230">
        <v>344750</v>
      </c>
      <c r="EC121" s="229">
        <v>6.3E-3</v>
      </c>
      <c r="ED121" s="229">
        <v>2.1399999999999999E-2</v>
      </c>
      <c r="EE121" s="228">
        <v>20.66</v>
      </c>
      <c r="EF121" s="229">
        <v>5.4999999999999997E-3</v>
      </c>
      <c r="EG121" s="230">
        <v>1021931</v>
      </c>
      <c r="EH121" s="230">
        <v>1319348</v>
      </c>
      <c r="EI121" s="229">
        <v>-0.22539999999999999</v>
      </c>
      <c r="EJ121" s="229">
        <v>0.60150000000000003</v>
      </c>
      <c r="EK121" s="231">
        <v>4085.47</v>
      </c>
      <c r="EL121" s="231">
        <v>1090.8599999999999</v>
      </c>
      <c r="EM121" s="228">
        <v>672.71</v>
      </c>
      <c r="EN121" s="228">
        <v>297.25</v>
      </c>
      <c r="EO121" s="231">
        <v>5849.04</v>
      </c>
      <c r="EP121" s="231">
        <v>5290.83</v>
      </c>
      <c r="EQ121" s="228">
        <v>558.21</v>
      </c>
      <c r="ER121" s="229">
        <v>0.1055</v>
      </c>
      <c r="ES121" s="231">
        <v>2030.89</v>
      </c>
      <c r="ET121" s="228">
        <v>948.7</v>
      </c>
      <c r="EU121" s="231">
        <v>6249.77</v>
      </c>
      <c r="EV121" s="231">
        <v>136007303</v>
      </c>
      <c r="EW121" s="231">
        <v>9229.36</v>
      </c>
      <c r="EX121" s="231">
        <v>8891.34</v>
      </c>
      <c r="EY121" s="228">
        <v>338.02</v>
      </c>
      <c r="EZ121" s="229">
        <v>3.7999999999999999E-2</v>
      </c>
      <c r="FA121" s="229">
        <v>0.1804</v>
      </c>
      <c r="FB121" s="227" t="s">
        <v>555</v>
      </c>
      <c r="FC121">
        <f t="shared" si="1"/>
        <v>134</v>
      </c>
    </row>
    <row r="122" spans="1:159" ht="17.25" thickBot="1" x14ac:dyDescent="0.3">
      <c r="A122" s="226">
        <v>45936</v>
      </c>
      <c r="B122" s="227" t="s">
        <v>175</v>
      </c>
      <c r="C122" s="227" t="s">
        <v>565</v>
      </c>
      <c r="D122" s="228">
        <v>4462</v>
      </c>
      <c r="E122" s="228">
        <v>22</v>
      </c>
      <c r="F122" s="228">
        <v>261.11</v>
      </c>
      <c r="G122" s="228">
        <v>263.36</v>
      </c>
      <c r="H122" s="228">
        <v>-2.25</v>
      </c>
      <c r="I122" s="229">
        <v>-8.5000000000000006E-3</v>
      </c>
      <c r="J122" s="228">
        <v>259.87</v>
      </c>
      <c r="K122" s="228">
        <v>262.33</v>
      </c>
      <c r="L122" s="228">
        <v>-2.46</v>
      </c>
      <c r="M122" s="229">
        <v>-9.4000000000000004E-3</v>
      </c>
      <c r="N122" s="228">
        <v>261.11</v>
      </c>
      <c r="O122" s="228">
        <v>263.36</v>
      </c>
      <c r="P122" s="228">
        <v>-2.25</v>
      </c>
      <c r="Q122" s="229">
        <v>-8.5000000000000006E-3</v>
      </c>
      <c r="R122" s="228">
        <v>261.70999999999998</v>
      </c>
      <c r="S122" s="228">
        <v>263.61</v>
      </c>
      <c r="T122" s="228">
        <v>-1.9</v>
      </c>
      <c r="U122" s="229">
        <v>-7.1999999999999998E-3</v>
      </c>
      <c r="V122" s="228">
        <v>261.83999999999997</v>
      </c>
      <c r="W122" s="228">
        <v>264.14</v>
      </c>
      <c r="X122" s="228">
        <v>-2.2999999999999998</v>
      </c>
      <c r="Y122" s="229">
        <v>-8.6999999999999994E-3</v>
      </c>
      <c r="Z122" s="228">
        <v>1.24</v>
      </c>
      <c r="AA122" s="228">
        <v>1.03</v>
      </c>
      <c r="AB122" s="228">
        <v>0.21</v>
      </c>
      <c r="AC122" s="229">
        <v>4.7999999999999996E-3</v>
      </c>
      <c r="AD122" s="228">
        <v>1.24</v>
      </c>
      <c r="AE122" s="228">
        <v>1.03</v>
      </c>
      <c r="AF122" s="228">
        <v>0.21</v>
      </c>
      <c r="AG122" s="229">
        <v>4.7999999999999996E-3</v>
      </c>
      <c r="AH122" s="228">
        <v>1.84</v>
      </c>
      <c r="AI122" s="228">
        <v>1.28</v>
      </c>
      <c r="AJ122" s="228">
        <v>0.56000000000000005</v>
      </c>
      <c r="AK122" s="229">
        <v>7.1000000000000004E-3</v>
      </c>
      <c r="AL122" s="228">
        <v>1.97</v>
      </c>
      <c r="AM122" s="228">
        <v>1.81</v>
      </c>
      <c r="AN122" s="228">
        <v>0.16</v>
      </c>
      <c r="AO122" s="229">
        <v>7.6E-3</v>
      </c>
      <c r="AP122" s="228">
        <v>257.93</v>
      </c>
      <c r="AQ122" s="228">
        <v>258.70999999999998</v>
      </c>
      <c r="AR122" s="228">
        <v>0</v>
      </c>
      <c r="AS122" s="228">
        <v>733</v>
      </c>
      <c r="AT122" s="228">
        <v>507</v>
      </c>
      <c r="AU122" s="228">
        <v>225</v>
      </c>
      <c r="AV122" s="229">
        <v>0.44440000000000002</v>
      </c>
      <c r="AW122" s="228">
        <v>695</v>
      </c>
      <c r="AX122" s="228">
        <v>483</v>
      </c>
      <c r="AY122" s="228">
        <v>212</v>
      </c>
      <c r="AZ122" s="229">
        <v>0.43869999999999998</v>
      </c>
      <c r="BA122" s="228">
        <v>33</v>
      </c>
      <c r="BB122" s="228">
        <v>21</v>
      </c>
      <c r="BC122" s="228">
        <v>12</v>
      </c>
      <c r="BD122" s="229">
        <v>0.55430000000000001</v>
      </c>
      <c r="BE122" s="228">
        <v>4</v>
      </c>
      <c r="BF122" s="228">
        <v>2</v>
      </c>
      <c r="BG122" s="228">
        <v>2</v>
      </c>
      <c r="BH122" s="229">
        <v>0.61899999999999999</v>
      </c>
      <c r="BI122" s="230">
        <v>1393</v>
      </c>
      <c r="BJ122" s="230">
        <v>1226</v>
      </c>
      <c r="BK122" s="228">
        <v>166</v>
      </c>
      <c r="BL122" s="229">
        <v>0.1356</v>
      </c>
      <c r="BM122" s="228">
        <v>768</v>
      </c>
      <c r="BN122" s="228">
        <v>644</v>
      </c>
      <c r="BO122" s="228">
        <v>124</v>
      </c>
      <c r="BP122" s="229">
        <v>0.1925</v>
      </c>
      <c r="BQ122" s="230">
        <v>2893</v>
      </c>
      <c r="BR122" s="230">
        <v>2378</v>
      </c>
      <c r="BS122" s="228">
        <v>516</v>
      </c>
      <c r="BT122" s="229">
        <v>0.21690000000000001</v>
      </c>
      <c r="BU122" s="230">
        <v>10017508</v>
      </c>
      <c r="BV122" s="230">
        <v>9355519</v>
      </c>
      <c r="BW122" s="230">
        <v>661989</v>
      </c>
      <c r="BX122" s="229">
        <v>7.0800000000000002E-2</v>
      </c>
      <c r="BY122" s="230">
        <v>1251</v>
      </c>
      <c r="BZ122" s="230">
        <v>1256</v>
      </c>
      <c r="CA122" s="228">
        <v>-5</v>
      </c>
      <c r="CB122" s="229">
        <v>-4.1000000000000003E-3</v>
      </c>
      <c r="CC122" s="230">
        <v>1207</v>
      </c>
      <c r="CD122" s="230">
        <v>1218</v>
      </c>
      <c r="CE122" s="228">
        <v>-10</v>
      </c>
      <c r="CF122" s="229">
        <v>-8.5000000000000006E-3</v>
      </c>
      <c r="CG122" s="228">
        <v>40</v>
      </c>
      <c r="CH122" s="228">
        <v>37</v>
      </c>
      <c r="CI122" s="228">
        <v>3</v>
      </c>
      <c r="CJ122" s="229">
        <v>9.2100000000000001E-2</v>
      </c>
      <c r="CK122" s="228">
        <v>4</v>
      </c>
      <c r="CL122" s="228">
        <v>2</v>
      </c>
      <c r="CM122" s="228">
        <v>2</v>
      </c>
      <c r="CN122" s="229">
        <v>0.94120000000000004</v>
      </c>
      <c r="CO122" s="228">
        <v>613</v>
      </c>
      <c r="CP122" s="228">
        <v>543</v>
      </c>
      <c r="CQ122" s="228">
        <v>70</v>
      </c>
      <c r="CR122" s="229">
        <v>0.1285</v>
      </c>
      <c r="CS122" s="228">
        <v>583</v>
      </c>
      <c r="CT122" s="228">
        <v>584</v>
      </c>
      <c r="CU122" s="228">
        <v>0</v>
      </c>
      <c r="CV122" s="229">
        <v>-8.0000000000000004E-4</v>
      </c>
      <c r="CW122" s="230">
        <v>2447</v>
      </c>
      <c r="CX122" s="230">
        <v>2383</v>
      </c>
      <c r="CY122" s="228">
        <v>64</v>
      </c>
      <c r="CZ122" s="229">
        <v>2.69E-2</v>
      </c>
      <c r="DA122" s="228">
        <v>32.97</v>
      </c>
      <c r="DB122" s="228">
        <v>31.43</v>
      </c>
      <c r="DC122" s="228">
        <v>1.54</v>
      </c>
      <c r="DD122" s="228">
        <v>1.54</v>
      </c>
      <c r="DE122" s="228">
        <v>38.83</v>
      </c>
      <c r="DF122" s="228">
        <v>38.909999999999997</v>
      </c>
      <c r="DG122" s="228">
        <v>-5.86</v>
      </c>
      <c r="DH122" s="228">
        <v>-0.08</v>
      </c>
      <c r="DI122" s="228">
        <v>31.88</v>
      </c>
      <c r="DJ122" s="228">
        <v>30.41</v>
      </c>
      <c r="DK122" s="228">
        <v>1.47</v>
      </c>
      <c r="DL122" s="228">
        <v>1.47</v>
      </c>
      <c r="DM122" s="228">
        <v>34.97</v>
      </c>
      <c r="DN122" s="228">
        <v>33.369999999999997</v>
      </c>
      <c r="DO122" s="228">
        <v>1.6</v>
      </c>
      <c r="DP122" s="228">
        <v>1.6</v>
      </c>
      <c r="DQ122" s="228">
        <v>0.95</v>
      </c>
      <c r="DR122" s="228">
        <v>1.08</v>
      </c>
      <c r="DS122" s="228">
        <v>-0.13</v>
      </c>
      <c r="DT122" s="229">
        <v>-0.12039999999999999</v>
      </c>
      <c r="DU122" s="228">
        <v>265</v>
      </c>
      <c r="DV122" s="228">
        <v>230</v>
      </c>
      <c r="DW122" s="228">
        <v>0.55000000000000004</v>
      </c>
      <c r="DX122" s="228">
        <v>0.53</v>
      </c>
      <c r="DY122" s="228">
        <v>0.02</v>
      </c>
      <c r="DZ122" s="229">
        <v>3.7699999999999997E-2</v>
      </c>
      <c r="EA122" s="229">
        <v>3.5099999999999999E-2</v>
      </c>
      <c r="EB122" s="230">
        <v>1481384</v>
      </c>
      <c r="EC122" s="229">
        <v>2.3E-3</v>
      </c>
      <c r="ED122" s="229">
        <v>3.5099999999999999E-2</v>
      </c>
      <c r="EE122" s="228">
        <v>0.78</v>
      </c>
      <c r="EF122" s="229">
        <v>3.0000000000000001E-3</v>
      </c>
      <c r="EG122" s="230">
        <v>2714024</v>
      </c>
      <c r="EH122" s="230">
        <v>4352059</v>
      </c>
      <c r="EI122" s="229">
        <v>-0.37640000000000001</v>
      </c>
      <c r="EJ122" s="229">
        <v>0.27089999999999997</v>
      </c>
      <c r="EK122" s="231">
        <v>1448.17</v>
      </c>
      <c r="EL122" s="228">
        <v>735.25</v>
      </c>
      <c r="EM122" s="228">
        <v>723.9</v>
      </c>
      <c r="EN122" s="228">
        <v>67.739999999999995</v>
      </c>
      <c r="EO122" s="231">
        <v>2907.33</v>
      </c>
      <c r="EP122" s="231">
        <v>2415.61</v>
      </c>
      <c r="EQ122" s="228">
        <v>491.72</v>
      </c>
      <c r="ER122" s="229">
        <v>0.2036</v>
      </c>
      <c r="ES122" s="228">
        <v>615.09</v>
      </c>
      <c r="ET122" s="228">
        <v>531.9</v>
      </c>
      <c r="EU122" s="231">
        <v>1251.27</v>
      </c>
      <c r="EV122" s="231">
        <v>126777205</v>
      </c>
      <c r="EW122" s="231">
        <v>2398.2600000000002</v>
      </c>
      <c r="EX122" s="231">
        <v>2340.81</v>
      </c>
      <c r="EY122" s="228">
        <v>57.45</v>
      </c>
      <c r="EZ122" s="229">
        <v>2.4500000000000001E-2</v>
      </c>
      <c r="FA122" s="229">
        <v>0.73929999999999996</v>
      </c>
      <c r="FB122" s="227" t="s">
        <v>568</v>
      </c>
      <c r="FC122">
        <f t="shared" si="1"/>
        <v>44</v>
      </c>
    </row>
    <row r="123" spans="1:159" ht="17.25" thickBot="1" x14ac:dyDescent="0.3">
      <c r="A123" s="226">
        <v>45936</v>
      </c>
      <c r="B123" s="227" t="s">
        <v>221</v>
      </c>
      <c r="C123" s="227" t="s">
        <v>561</v>
      </c>
      <c r="D123" s="228">
        <v>150</v>
      </c>
      <c r="E123" s="228">
        <v>22</v>
      </c>
      <c r="F123" s="231">
        <v>5264.5</v>
      </c>
      <c r="G123" s="231">
        <v>5116.5</v>
      </c>
      <c r="H123" s="228">
        <v>148</v>
      </c>
      <c r="I123" s="229">
        <v>2.8899999999999999E-2</v>
      </c>
      <c r="J123" s="231">
        <v>5274</v>
      </c>
      <c r="K123" s="231">
        <v>5120</v>
      </c>
      <c r="L123" s="228">
        <v>154</v>
      </c>
      <c r="M123" s="229">
        <v>3.0099999999999998E-2</v>
      </c>
      <c r="N123" s="231">
        <v>5264.5</v>
      </c>
      <c r="O123" s="231">
        <v>5116.5</v>
      </c>
      <c r="P123" s="228">
        <v>148</v>
      </c>
      <c r="Q123" s="229">
        <v>2.8899999999999999E-2</v>
      </c>
      <c r="R123" s="231">
        <v>5234.5</v>
      </c>
      <c r="S123" s="231">
        <v>5086</v>
      </c>
      <c r="T123" s="228">
        <v>148.5</v>
      </c>
      <c r="U123" s="229">
        <v>2.92E-2</v>
      </c>
      <c r="V123" s="231">
        <v>5212</v>
      </c>
      <c r="W123" s="231">
        <v>5064.5</v>
      </c>
      <c r="X123" s="228">
        <v>147.5</v>
      </c>
      <c r="Y123" s="229">
        <v>2.9100000000000001E-2</v>
      </c>
      <c r="Z123" s="228">
        <v>-9.5</v>
      </c>
      <c r="AA123" s="228">
        <v>-3.5</v>
      </c>
      <c r="AB123" s="228">
        <v>-6</v>
      </c>
      <c r="AC123" s="229">
        <v>-1.8E-3</v>
      </c>
      <c r="AD123" s="228">
        <v>-9.5</v>
      </c>
      <c r="AE123" s="228">
        <v>-3.5</v>
      </c>
      <c r="AF123" s="228">
        <v>-6</v>
      </c>
      <c r="AG123" s="229">
        <v>-1.8E-3</v>
      </c>
      <c r="AH123" s="228">
        <v>-39.5</v>
      </c>
      <c r="AI123" s="228">
        <v>-34</v>
      </c>
      <c r="AJ123" s="228">
        <v>-5.5</v>
      </c>
      <c r="AK123" s="229">
        <v>-7.4999999999999997E-3</v>
      </c>
      <c r="AL123" s="228">
        <v>-62</v>
      </c>
      <c r="AM123" s="228">
        <v>-55.5</v>
      </c>
      <c r="AN123" s="228">
        <v>-6.5</v>
      </c>
      <c r="AO123" s="229">
        <v>-1.18E-2</v>
      </c>
      <c r="AP123" s="231">
        <v>5225.47</v>
      </c>
      <c r="AQ123" s="231">
        <v>5183.59</v>
      </c>
      <c r="AR123" s="228">
        <v>0</v>
      </c>
      <c r="AS123" s="228">
        <v>287</v>
      </c>
      <c r="AT123" s="228">
        <v>165</v>
      </c>
      <c r="AU123" s="228">
        <v>123</v>
      </c>
      <c r="AV123" s="229">
        <v>0.74519999999999997</v>
      </c>
      <c r="AW123" s="228">
        <v>276</v>
      </c>
      <c r="AX123" s="228">
        <v>160</v>
      </c>
      <c r="AY123" s="228">
        <v>116</v>
      </c>
      <c r="AZ123" s="229">
        <v>0.72560000000000002</v>
      </c>
      <c r="BA123" s="228">
        <v>10</v>
      </c>
      <c r="BB123" s="228">
        <v>4</v>
      </c>
      <c r="BC123" s="228">
        <v>6</v>
      </c>
      <c r="BD123" s="229">
        <v>1.6</v>
      </c>
      <c r="BE123" s="228">
        <v>1</v>
      </c>
      <c r="BF123" s="228">
        <v>1</v>
      </c>
      <c r="BG123" s="228">
        <v>0</v>
      </c>
      <c r="BH123" s="229">
        <v>0.375</v>
      </c>
      <c r="BI123" s="230">
        <v>1264</v>
      </c>
      <c r="BJ123" s="228">
        <v>349</v>
      </c>
      <c r="BK123" s="228">
        <v>915</v>
      </c>
      <c r="BL123" s="229">
        <v>2.6185999999999998</v>
      </c>
      <c r="BM123" s="228">
        <v>292</v>
      </c>
      <c r="BN123" s="228">
        <v>126</v>
      </c>
      <c r="BO123" s="228">
        <v>166</v>
      </c>
      <c r="BP123" s="229">
        <v>1.3174999999999999</v>
      </c>
      <c r="BQ123" s="230">
        <v>1843</v>
      </c>
      <c r="BR123" s="228">
        <v>640</v>
      </c>
      <c r="BS123" s="230">
        <v>1203</v>
      </c>
      <c r="BT123" s="229">
        <v>1.8804000000000001</v>
      </c>
      <c r="BU123" s="230">
        <v>225840</v>
      </c>
      <c r="BV123" s="230">
        <v>123776</v>
      </c>
      <c r="BW123" s="230">
        <v>102064</v>
      </c>
      <c r="BX123" s="229">
        <v>0.8246</v>
      </c>
      <c r="BY123" s="230">
        <v>1350</v>
      </c>
      <c r="BZ123" s="230">
        <v>1373</v>
      </c>
      <c r="CA123" s="228">
        <v>-23</v>
      </c>
      <c r="CB123" s="229">
        <v>-1.7000000000000001E-2</v>
      </c>
      <c r="CC123" s="230">
        <v>1322</v>
      </c>
      <c r="CD123" s="230">
        <v>1345</v>
      </c>
      <c r="CE123" s="228">
        <v>-23</v>
      </c>
      <c r="CF123" s="229">
        <v>-1.6799999999999999E-2</v>
      </c>
      <c r="CG123" s="228">
        <v>26</v>
      </c>
      <c r="CH123" s="228">
        <v>27</v>
      </c>
      <c r="CI123" s="228">
        <v>-1</v>
      </c>
      <c r="CJ123" s="229">
        <v>-3.4599999999999999E-2</v>
      </c>
      <c r="CK123" s="228">
        <v>1</v>
      </c>
      <c r="CL123" s="228">
        <v>1</v>
      </c>
      <c r="CM123" s="228">
        <v>0</v>
      </c>
      <c r="CN123" s="229">
        <v>0.44440000000000002</v>
      </c>
      <c r="CO123" s="228">
        <v>339</v>
      </c>
      <c r="CP123" s="228">
        <v>284</v>
      </c>
      <c r="CQ123" s="228">
        <v>54</v>
      </c>
      <c r="CR123" s="229">
        <v>0.19040000000000001</v>
      </c>
      <c r="CS123" s="228">
        <v>219</v>
      </c>
      <c r="CT123" s="228">
        <v>207</v>
      </c>
      <c r="CU123" s="228">
        <v>12</v>
      </c>
      <c r="CV123" s="229">
        <v>5.6800000000000003E-2</v>
      </c>
      <c r="CW123" s="230">
        <v>1907</v>
      </c>
      <c r="CX123" s="230">
        <v>1865</v>
      </c>
      <c r="CY123" s="228">
        <v>43</v>
      </c>
      <c r="CZ123" s="229">
        <v>2.29E-2</v>
      </c>
      <c r="DA123" s="228">
        <v>30.49</v>
      </c>
      <c r="DB123" s="228">
        <v>29.97</v>
      </c>
      <c r="DC123" s="228">
        <v>0.52</v>
      </c>
      <c r="DD123" s="228">
        <v>0.52</v>
      </c>
      <c r="DE123" s="228">
        <v>34.19</v>
      </c>
      <c r="DF123" s="228">
        <v>34.06</v>
      </c>
      <c r="DG123" s="228">
        <v>-3.7</v>
      </c>
      <c r="DH123" s="228">
        <v>0.13</v>
      </c>
      <c r="DI123" s="228">
        <v>30.33</v>
      </c>
      <c r="DJ123" s="228">
        <v>29.84</v>
      </c>
      <c r="DK123" s="228">
        <v>0.49</v>
      </c>
      <c r="DL123" s="228">
        <v>0.49</v>
      </c>
      <c r="DM123" s="228">
        <v>31.14</v>
      </c>
      <c r="DN123" s="228">
        <v>30.31</v>
      </c>
      <c r="DO123" s="228">
        <v>0.83</v>
      </c>
      <c r="DP123" s="228">
        <v>0.83</v>
      </c>
      <c r="DQ123" s="228">
        <v>0.65</v>
      </c>
      <c r="DR123" s="228">
        <v>0.73</v>
      </c>
      <c r="DS123" s="228">
        <v>-0.08</v>
      </c>
      <c r="DT123" s="229">
        <v>-0.1096</v>
      </c>
      <c r="DU123" s="231">
        <v>6000</v>
      </c>
      <c r="DV123" s="231">
        <v>5000</v>
      </c>
      <c r="DW123" s="228">
        <v>0.23</v>
      </c>
      <c r="DX123" s="228">
        <v>0.36</v>
      </c>
      <c r="DY123" s="228">
        <v>-0.13</v>
      </c>
      <c r="DZ123" s="229">
        <v>-0.36109999999999998</v>
      </c>
      <c r="EA123" s="229">
        <v>2.0400000000000001E-2</v>
      </c>
      <c r="EB123" s="230">
        <v>53400</v>
      </c>
      <c r="EC123" s="229">
        <v>-5.7000000000000002E-3</v>
      </c>
      <c r="ED123" s="229">
        <v>2.0400000000000001E-2</v>
      </c>
      <c r="EE123" s="228">
        <v>-41.88</v>
      </c>
      <c r="EF123" s="229">
        <v>-8.0000000000000002E-3</v>
      </c>
      <c r="EG123" s="230">
        <v>65541</v>
      </c>
      <c r="EH123" s="230">
        <v>72828</v>
      </c>
      <c r="EI123" s="229">
        <v>-0.10009999999999999</v>
      </c>
      <c r="EJ123" s="229">
        <v>0.29020000000000001</v>
      </c>
      <c r="EK123" s="231">
        <v>1319.93</v>
      </c>
      <c r="EL123" s="228">
        <v>282.39</v>
      </c>
      <c r="EM123" s="228">
        <v>284.98</v>
      </c>
      <c r="EN123" s="228">
        <v>66.58</v>
      </c>
      <c r="EO123" s="231">
        <v>1887.3</v>
      </c>
      <c r="EP123" s="228">
        <v>646.02</v>
      </c>
      <c r="EQ123" s="231">
        <v>1241.28</v>
      </c>
      <c r="ER123" s="229">
        <v>1.9214</v>
      </c>
      <c r="ES123" s="228">
        <v>356.56</v>
      </c>
      <c r="ET123" s="228">
        <v>202.97</v>
      </c>
      <c r="EU123" s="231">
        <v>1349.79</v>
      </c>
      <c r="EV123" s="231">
        <v>9315942</v>
      </c>
      <c r="EW123" s="231">
        <v>1909.32</v>
      </c>
      <c r="EX123" s="231">
        <v>1823.57</v>
      </c>
      <c r="EY123" s="228">
        <v>85.75</v>
      </c>
      <c r="EZ123" s="229">
        <v>4.7E-2</v>
      </c>
      <c r="FA123" s="229">
        <v>0.38890000000000002</v>
      </c>
      <c r="FB123" s="227" t="s">
        <v>556</v>
      </c>
      <c r="FC123">
        <f t="shared" si="1"/>
        <v>28</v>
      </c>
    </row>
    <row r="124" spans="1:159" ht="17.25" thickBot="1" x14ac:dyDescent="0.3">
      <c r="A124" s="226">
        <v>45936</v>
      </c>
      <c r="B124" s="227" t="s">
        <v>170</v>
      </c>
      <c r="C124" s="227" t="s">
        <v>250</v>
      </c>
      <c r="D124" s="228">
        <v>425</v>
      </c>
      <c r="E124" s="228">
        <v>22</v>
      </c>
      <c r="F124" s="231">
        <v>1949</v>
      </c>
      <c r="G124" s="231">
        <v>1986.3</v>
      </c>
      <c r="H124" s="228">
        <v>-37.299999999999997</v>
      </c>
      <c r="I124" s="229">
        <v>-1.8800000000000001E-2</v>
      </c>
      <c r="J124" s="231">
        <v>1937.3</v>
      </c>
      <c r="K124" s="231">
        <v>1973.6</v>
      </c>
      <c r="L124" s="228">
        <v>-36.299999999999997</v>
      </c>
      <c r="M124" s="229">
        <v>-1.84E-2</v>
      </c>
      <c r="N124" s="231">
        <v>1949</v>
      </c>
      <c r="O124" s="231">
        <v>1986.3</v>
      </c>
      <c r="P124" s="228">
        <v>-37.299999999999997</v>
      </c>
      <c r="Q124" s="229">
        <v>-1.8800000000000001E-2</v>
      </c>
      <c r="R124" s="231">
        <v>1960.2</v>
      </c>
      <c r="S124" s="231">
        <v>1996.8</v>
      </c>
      <c r="T124" s="228">
        <v>-36.6</v>
      </c>
      <c r="U124" s="229">
        <v>-1.83E-2</v>
      </c>
      <c r="V124" s="231">
        <v>1966.1</v>
      </c>
      <c r="W124" s="231">
        <v>2007</v>
      </c>
      <c r="X124" s="228">
        <v>-40.9</v>
      </c>
      <c r="Y124" s="229">
        <v>-2.0400000000000001E-2</v>
      </c>
      <c r="Z124" s="228">
        <v>11.7</v>
      </c>
      <c r="AA124" s="228">
        <v>12.7</v>
      </c>
      <c r="AB124" s="228">
        <v>-1</v>
      </c>
      <c r="AC124" s="229">
        <v>6.0000000000000001E-3</v>
      </c>
      <c r="AD124" s="228">
        <v>11.7</v>
      </c>
      <c r="AE124" s="228">
        <v>12.7</v>
      </c>
      <c r="AF124" s="228">
        <v>-1</v>
      </c>
      <c r="AG124" s="229">
        <v>6.0000000000000001E-3</v>
      </c>
      <c r="AH124" s="228">
        <v>22.9</v>
      </c>
      <c r="AI124" s="228">
        <v>23.2</v>
      </c>
      <c r="AJ124" s="228">
        <v>-0.3</v>
      </c>
      <c r="AK124" s="229">
        <v>1.18E-2</v>
      </c>
      <c r="AL124" s="228">
        <v>28.8</v>
      </c>
      <c r="AM124" s="228">
        <v>33.4</v>
      </c>
      <c r="AN124" s="228">
        <v>-4.5999999999999996</v>
      </c>
      <c r="AO124" s="229">
        <v>1.49E-2</v>
      </c>
      <c r="AP124" s="231">
        <v>1951.29</v>
      </c>
      <c r="AQ124" s="231">
        <v>1962.69</v>
      </c>
      <c r="AR124" s="228">
        <v>0</v>
      </c>
      <c r="AS124" s="228">
        <v>316</v>
      </c>
      <c r="AT124" s="228">
        <v>177</v>
      </c>
      <c r="AU124" s="228">
        <v>139</v>
      </c>
      <c r="AV124" s="229">
        <v>0.78590000000000004</v>
      </c>
      <c r="AW124" s="228">
        <v>304</v>
      </c>
      <c r="AX124" s="228">
        <v>171</v>
      </c>
      <c r="AY124" s="228">
        <v>133</v>
      </c>
      <c r="AZ124" s="229">
        <v>0.77780000000000005</v>
      </c>
      <c r="BA124" s="228">
        <v>10</v>
      </c>
      <c r="BB124" s="228">
        <v>5</v>
      </c>
      <c r="BC124" s="228">
        <v>5</v>
      </c>
      <c r="BD124" s="229">
        <v>0.9667</v>
      </c>
      <c r="BE124" s="228">
        <v>2</v>
      </c>
      <c r="BF124" s="228">
        <v>1</v>
      </c>
      <c r="BG124" s="228">
        <v>1</v>
      </c>
      <c r="BH124" s="229">
        <v>1.4443999999999999</v>
      </c>
      <c r="BI124" s="228">
        <v>874</v>
      </c>
      <c r="BJ124" s="228">
        <v>486</v>
      </c>
      <c r="BK124" s="228">
        <v>388</v>
      </c>
      <c r="BL124" s="229">
        <v>0.79720000000000002</v>
      </c>
      <c r="BM124" s="228">
        <v>555</v>
      </c>
      <c r="BN124" s="228">
        <v>289</v>
      </c>
      <c r="BO124" s="228">
        <v>266</v>
      </c>
      <c r="BP124" s="229">
        <v>0.92220000000000002</v>
      </c>
      <c r="BQ124" s="230">
        <v>1745</v>
      </c>
      <c r="BR124" s="228">
        <v>952</v>
      </c>
      <c r="BS124" s="228">
        <v>793</v>
      </c>
      <c r="BT124" s="229">
        <v>0.83299999999999996</v>
      </c>
      <c r="BU124" s="230">
        <v>1014988</v>
      </c>
      <c r="BV124" s="230">
        <v>779055</v>
      </c>
      <c r="BW124" s="230">
        <v>235933</v>
      </c>
      <c r="BX124" s="229">
        <v>0.30280000000000001</v>
      </c>
      <c r="BY124" s="230">
        <v>2086</v>
      </c>
      <c r="BZ124" s="230">
        <v>2075</v>
      </c>
      <c r="CA124" s="228">
        <v>10</v>
      </c>
      <c r="CB124" s="229">
        <v>5.0000000000000001E-3</v>
      </c>
      <c r="CC124" s="230">
        <v>2067</v>
      </c>
      <c r="CD124" s="230">
        <v>2060</v>
      </c>
      <c r="CE124" s="228">
        <v>7</v>
      </c>
      <c r="CF124" s="229">
        <v>3.5000000000000001E-3</v>
      </c>
      <c r="CG124" s="228">
        <v>16</v>
      </c>
      <c r="CH124" s="228">
        <v>14</v>
      </c>
      <c r="CI124" s="228">
        <v>2</v>
      </c>
      <c r="CJ124" s="229">
        <v>0.17860000000000001</v>
      </c>
      <c r="CK124" s="228">
        <v>2</v>
      </c>
      <c r="CL124" s="228">
        <v>1</v>
      </c>
      <c r="CM124" s="228">
        <v>1</v>
      </c>
      <c r="CN124" s="229">
        <v>0.5625</v>
      </c>
      <c r="CO124" s="228">
        <v>499</v>
      </c>
      <c r="CP124" s="228">
        <v>336</v>
      </c>
      <c r="CQ124" s="228">
        <v>162</v>
      </c>
      <c r="CR124" s="229">
        <v>0.48249999999999998</v>
      </c>
      <c r="CS124" s="228">
        <v>360</v>
      </c>
      <c r="CT124" s="228">
        <v>287</v>
      </c>
      <c r="CU124" s="228">
        <v>73</v>
      </c>
      <c r="CV124" s="229">
        <v>0.25419999999999998</v>
      </c>
      <c r="CW124" s="230">
        <v>2944</v>
      </c>
      <c r="CX124" s="230">
        <v>2698</v>
      </c>
      <c r="CY124" s="228">
        <v>246</v>
      </c>
      <c r="CZ124" s="229">
        <v>9.0999999999999998E-2</v>
      </c>
      <c r="DA124" s="228">
        <v>22.98</v>
      </c>
      <c r="DB124" s="228">
        <v>22.47</v>
      </c>
      <c r="DC124" s="228">
        <v>0.51</v>
      </c>
      <c r="DD124" s="228">
        <v>0.51</v>
      </c>
      <c r="DE124" s="228">
        <v>32.700000000000003</v>
      </c>
      <c r="DF124" s="228">
        <v>32.69</v>
      </c>
      <c r="DG124" s="228">
        <v>-9.7200000000000006</v>
      </c>
      <c r="DH124" s="228">
        <v>0.01</v>
      </c>
      <c r="DI124" s="228">
        <v>23.13</v>
      </c>
      <c r="DJ124" s="228">
        <v>22.32</v>
      </c>
      <c r="DK124" s="228">
        <v>0.81</v>
      </c>
      <c r="DL124" s="228">
        <v>0.81</v>
      </c>
      <c r="DM124" s="228">
        <v>22.74</v>
      </c>
      <c r="DN124" s="228">
        <v>22.72</v>
      </c>
      <c r="DO124" s="228">
        <v>0.02</v>
      </c>
      <c r="DP124" s="228">
        <v>0.02</v>
      </c>
      <c r="DQ124" s="228">
        <v>0.72</v>
      </c>
      <c r="DR124" s="228">
        <v>0.85</v>
      </c>
      <c r="DS124" s="228">
        <v>-0.13</v>
      </c>
      <c r="DT124" s="229">
        <v>-0.15290000000000001</v>
      </c>
      <c r="DU124" s="231">
        <v>2000</v>
      </c>
      <c r="DV124" s="231">
        <v>1860</v>
      </c>
      <c r="DW124" s="228">
        <v>0.63</v>
      </c>
      <c r="DX124" s="228">
        <v>0.59</v>
      </c>
      <c r="DY124" s="228">
        <v>0.04</v>
      </c>
      <c r="DZ124" s="229">
        <v>6.7799999999999999E-2</v>
      </c>
      <c r="EA124" s="229">
        <v>8.8999999999999999E-3</v>
      </c>
      <c r="EB124" s="230">
        <v>78200</v>
      </c>
      <c r="EC124" s="229">
        <v>5.7000000000000002E-3</v>
      </c>
      <c r="ED124" s="229">
        <v>8.8999999999999999E-3</v>
      </c>
      <c r="EE124" s="228">
        <v>11.4</v>
      </c>
      <c r="EF124" s="229">
        <v>5.7999999999999996E-3</v>
      </c>
      <c r="EG124" s="230">
        <v>608043</v>
      </c>
      <c r="EH124" s="230">
        <v>544477</v>
      </c>
      <c r="EI124" s="229">
        <v>0.1167</v>
      </c>
      <c r="EJ124" s="229">
        <v>0.59909999999999997</v>
      </c>
      <c r="EK124" s="228">
        <v>911.02</v>
      </c>
      <c r="EL124" s="228">
        <v>557.29999999999995</v>
      </c>
      <c r="EM124" s="228">
        <v>316.29000000000002</v>
      </c>
      <c r="EN124" s="228">
        <v>78.489999999999995</v>
      </c>
      <c r="EO124" s="231">
        <v>1784.61</v>
      </c>
      <c r="EP124" s="228">
        <v>989.43</v>
      </c>
      <c r="EQ124" s="228">
        <v>795.18</v>
      </c>
      <c r="ER124" s="229">
        <v>0.80369999999999997</v>
      </c>
      <c r="ES124" s="228">
        <v>522.13</v>
      </c>
      <c r="ET124" s="228">
        <v>352.97</v>
      </c>
      <c r="EU124" s="231">
        <v>2085.83</v>
      </c>
      <c r="EV124" s="231">
        <v>35341043</v>
      </c>
      <c r="EW124" s="231">
        <v>2960.93</v>
      </c>
      <c r="EX124" s="231">
        <v>2754.67</v>
      </c>
      <c r="EY124" s="228">
        <v>206.26</v>
      </c>
      <c r="EZ124" s="229">
        <v>7.4899999999999994E-2</v>
      </c>
      <c r="FA124" s="229">
        <v>0.4274</v>
      </c>
      <c r="FB124" s="227" t="s">
        <v>567</v>
      </c>
      <c r="FC124">
        <f t="shared" si="1"/>
        <v>19</v>
      </c>
    </row>
    <row r="125" spans="1:159" ht="17.25" thickBot="1" x14ac:dyDescent="0.3">
      <c r="A125" s="226">
        <v>45936</v>
      </c>
      <c r="B125" s="227" t="s">
        <v>162</v>
      </c>
      <c r="C125" s="227" t="s">
        <v>251</v>
      </c>
      <c r="D125" s="228">
        <v>200</v>
      </c>
      <c r="E125" s="228">
        <v>22</v>
      </c>
      <c r="F125" s="231">
        <v>3492.2</v>
      </c>
      <c r="G125" s="231">
        <v>3474.3</v>
      </c>
      <c r="H125" s="228">
        <v>17.899999999999999</v>
      </c>
      <c r="I125" s="229">
        <v>5.1999999999999998E-3</v>
      </c>
      <c r="J125" s="231">
        <v>3472</v>
      </c>
      <c r="K125" s="231">
        <v>3462</v>
      </c>
      <c r="L125" s="228">
        <v>10</v>
      </c>
      <c r="M125" s="229">
        <v>2.8999999999999998E-3</v>
      </c>
      <c r="N125" s="231">
        <v>3492.2</v>
      </c>
      <c r="O125" s="231">
        <v>3474.3</v>
      </c>
      <c r="P125" s="228">
        <v>17.899999999999999</v>
      </c>
      <c r="Q125" s="229">
        <v>5.1999999999999998E-3</v>
      </c>
      <c r="R125" s="231">
        <v>3511.7</v>
      </c>
      <c r="S125" s="231">
        <v>3492.3</v>
      </c>
      <c r="T125" s="228">
        <v>19.399999999999999</v>
      </c>
      <c r="U125" s="229">
        <v>5.5999999999999999E-3</v>
      </c>
      <c r="V125" s="231">
        <v>3529.2</v>
      </c>
      <c r="W125" s="231">
        <v>3509.3</v>
      </c>
      <c r="X125" s="228">
        <v>19.899999999999999</v>
      </c>
      <c r="Y125" s="229">
        <v>5.7000000000000002E-3</v>
      </c>
      <c r="Z125" s="228">
        <v>20.2</v>
      </c>
      <c r="AA125" s="228">
        <v>12.3</v>
      </c>
      <c r="AB125" s="228">
        <v>7.9</v>
      </c>
      <c r="AC125" s="229">
        <v>5.7999999999999996E-3</v>
      </c>
      <c r="AD125" s="228">
        <v>20.2</v>
      </c>
      <c r="AE125" s="228">
        <v>12.3</v>
      </c>
      <c r="AF125" s="228">
        <v>7.9</v>
      </c>
      <c r="AG125" s="229">
        <v>5.7999999999999996E-3</v>
      </c>
      <c r="AH125" s="228">
        <v>39.700000000000003</v>
      </c>
      <c r="AI125" s="228">
        <v>30.3</v>
      </c>
      <c r="AJ125" s="228">
        <v>9.4</v>
      </c>
      <c r="AK125" s="229">
        <v>1.14E-2</v>
      </c>
      <c r="AL125" s="228">
        <v>57.2</v>
      </c>
      <c r="AM125" s="228">
        <v>47.3</v>
      </c>
      <c r="AN125" s="228">
        <v>9.9</v>
      </c>
      <c r="AO125" s="229">
        <v>1.6500000000000001E-2</v>
      </c>
      <c r="AP125" s="231">
        <v>3475.76</v>
      </c>
      <c r="AQ125" s="231">
        <v>3492.63</v>
      </c>
      <c r="AR125" s="228">
        <v>0</v>
      </c>
      <c r="AS125" s="228">
        <v>453</v>
      </c>
      <c r="AT125" s="230">
        <v>1144</v>
      </c>
      <c r="AU125" s="228">
        <v>-691</v>
      </c>
      <c r="AV125" s="229">
        <v>-0.60409999999999997</v>
      </c>
      <c r="AW125" s="228">
        <v>433</v>
      </c>
      <c r="AX125" s="230">
        <v>1077</v>
      </c>
      <c r="AY125" s="228">
        <v>-643</v>
      </c>
      <c r="AZ125" s="229">
        <v>-0.59750000000000003</v>
      </c>
      <c r="BA125" s="228">
        <v>17</v>
      </c>
      <c r="BB125" s="228">
        <v>27</v>
      </c>
      <c r="BC125" s="228">
        <v>-10</v>
      </c>
      <c r="BD125" s="229">
        <v>-0.35659999999999997</v>
      </c>
      <c r="BE125" s="228">
        <v>2</v>
      </c>
      <c r="BF125" s="228">
        <v>41</v>
      </c>
      <c r="BG125" s="228">
        <v>-38</v>
      </c>
      <c r="BH125" s="229">
        <v>-0.94010000000000005</v>
      </c>
      <c r="BI125" s="230">
        <v>1673</v>
      </c>
      <c r="BJ125" s="230">
        <v>2219</v>
      </c>
      <c r="BK125" s="228">
        <v>-547</v>
      </c>
      <c r="BL125" s="229">
        <v>-0.24629999999999999</v>
      </c>
      <c r="BM125" s="228">
        <v>700</v>
      </c>
      <c r="BN125" s="230">
        <v>1254</v>
      </c>
      <c r="BO125" s="228">
        <v>-553</v>
      </c>
      <c r="BP125" s="229">
        <v>-0.44140000000000001</v>
      </c>
      <c r="BQ125" s="230">
        <v>2826</v>
      </c>
      <c r="BR125" s="230">
        <v>4617</v>
      </c>
      <c r="BS125" s="230">
        <v>-1791</v>
      </c>
      <c r="BT125" s="229">
        <v>-0.38790000000000002</v>
      </c>
      <c r="BU125" s="230">
        <v>1218133</v>
      </c>
      <c r="BV125" s="230">
        <v>2392186</v>
      </c>
      <c r="BW125" s="230">
        <v>-1174053</v>
      </c>
      <c r="BX125" s="229">
        <v>-0.49080000000000001</v>
      </c>
      <c r="BY125" s="230">
        <v>7012</v>
      </c>
      <c r="BZ125" s="230">
        <v>7010</v>
      </c>
      <c r="CA125" s="228">
        <v>2</v>
      </c>
      <c r="CB125" s="229">
        <v>2.0000000000000001E-4</v>
      </c>
      <c r="CC125" s="230">
        <v>6896</v>
      </c>
      <c r="CD125" s="230">
        <v>6896</v>
      </c>
      <c r="CE125" s="228">
        <v>0</v>
      </c>
      <c r="CF125" s="229">
        <v>0</v>
      </c>
      <c r="CG125" s="228">
        <v>78</v>
      </c>
      <c r="CH125" s="228">
        <v>77</v>
      </c>
      <c r="CI125" s="228">
        <v>1</v>
      </c>
      <c r="CJ125" s="229">
        <v>1.46E-2</v>
      </c>
      <c r="CK125" s="228">
        <v>39</v>
      </c>
      <c r="CL125" s="228">
        <v>38</v>
      </c>
      <c r="CM125" s="228">
        <v>1</v>
      </c>
      <c r="CN125" s="229">
        <v>1.47E-2</v>
      </c>
      <c r="CO125" s="230">
        <v>1556</v>
      </c>
      <c r="CP125" s="230">
        <v>1469</v>
      </c>
      <c r="CQ125" s="228">
        <v>86</v>
      </c>
      <c r="CR125" s="229">
        <v>5.8799999999999998E-2</v>
      </c>
      <c r="CS125" s="228">
        <v>936</v>
      </c>
      <c r="CT125" s="228">
        <v>950</v>
      </c>
      <c r="CU125" s="228">
        <v>-13</v>
      </c>
      <c r="CV125" s="229">
        <v>-1.38E-2</v>
      </c>
      <c r="CW125" s="230">
        <v>9504</v>
      </c>
      <c r="CX125" s="230">
        <v>9429</v>
      </c>
      <c r="CY125" s="228">
        <v>75</v>
      </c>
      <c r="CZ125" s="229">
        <v>7.9000000000000008E-3</v>
      </c>
      <c r="DA125" s="228">
        <v>24.32</v>
      </c>
      <c r="DB125" s="228">
        <v>24.27</v>
      </c>
      <c r="DC125" s="228">
        <v>0.05</v>
      </c>
      <c r="DD125" s="228">
        <v>0.05</v>
      </c>
      <c r="DE125" s="228">
        <v>34.69</v>
      </c>
      <c r="DF125" s="228">
        <v>34.78</v>
      </c>
      <c r="DG125" s="228">
        <v>-10.37</v>
      </c>
      <c r="DH125" s="228">
        <v>-0.09</v>
      </c>
      <c r="DI125" s="228">
        <v>24.23</v>
      </c>
      <c r="DJ125" s="228">
        <v>24.27</v>
      </c>
      <c r="DK125" s="228">
        <v>-0.04</v>
      </c>
      <c r="DL125" s="228">
        <v>-0.04</v>
      </c>
      <c r="DM125" s="228">
        <v>24.53</v>
      </c>
      <c r="DN125" s="228">
        <v>24.28</v>
      </c>
      <c r="DO125" s="228">
        <v>0.25</v>
      </c>
      <c r="DP125" s="228">
        <v>0.25</v>
      </c>
      <c r="DQ125" s="228">
        <v>0.6</v>
      </c>
      <c r="DR125" s="228">
        <v>0.65</v>
      </c>
      <c r="DS125" s="228">
        <v>-0.05</v>
      </c>
      <c r="DT125" s="229">
        <v>-7.6899999999999996E-2</v>
      </c>
      <c r="DU125" s="231">
        <v>3600</v>
      </c>
      <c r="DV125" s="231">
        <v>3400</v>
      </c>
      <c r="DW125" s="228">
        <v>0.42</v>
      </c>
      <c r="DX125" s="228">
        <v>0.56000000000000005</v>
      </c>
      <c r="DY125" s="228">
        <v>-0.14000000000000001</v>
      </c>
      <c r="DZ125" s="229">
        <v>-0.25</v>
      </c>
      <c r="EA125" s="229">
        <v>1.66E-2</v>
      </c>
      <c r="EB125" s="230">
        <v>328200</v>
      </c>
      <c r="EC125" s="229">
        <v>5.5999999999999999E-3</v>
      </c>
      <c r="ED125" s="229">
        <v>1.66E-2</v>
      </c>
      <c r="EE125" s="228">
        <v>16.87</v>
      </c>
      <c r="EF125" s="229">
        <v>4.8999999999999998E-3</v>
      </c>
      <c r="EG125" s="230">
        <v>654915</v>
      </c>
      <c r="EH125" s="230">
        <v>1548515</v>
      </c>
      <c r="EI125" s="229">
        <v>-0.57709999999999995</v>
      </c>
      <c r="EJ125" s="229">
        <v>0.53759999999999997</v>
      </c>
      <c r="EK125" s="231">
        <v>1745.46</v>
      </c>
      <c r="EL125" s="228">
        <v>678.81</v>
      </c>
      <c r="EM125" s="228">
        <v>451.12</v>
      </c>
      <c r="EN125" s="228">
        <v>257.67</v>
      </c>
      <c r="EO125" s="231">
        <v>2875.4</v>
      </c>
      <c r="EP125" s="231">
        <v>4667.7299999999996</v>
      </c>
      <c r="EQ125" s="231">
        <v>-1792.34</v>
      </c>
      <c r="ER125" s="229">
        <v>-0.38400000000000001</v>
      </c>
      <c r="ES125" s="231">
        <v>1624.67</v>
      </c>
      <c r="ET125" s="228">
        <v>904.6</v>
      </c>
      <c r="EU125" s="231">
        <v>7012.76</v>
      </c>
      <c r="EV125" s="231">
        <v>100261459</v>
      </c>
      <c r="EW125" s="231">
        <v>9542.0300000000007</v>
      </c>
      <c r="EX125" s="231">
        <v>9424.27</v>
      </c>
      <c r="EY125" s="228">
        <v>117.76</v>
      </c>
      <c r="EZ125" s="229">
        <v>1.2500000000000001E-2</v>
      </c>
      <c r="FA125" s="229">
        <v>0.27139999999999997</v>
      </c>
      <c r="FB125" s="227" t="s">
        <v>555</v>
      </c>
      <c r="FC125">
        <f t="shared" si="1"/>
        <v>116</v>
      </c>
    </row>
    <row r="126" spans="1:159" ht="17.25" thickBot="1" x14ac:dyDescent="0.3">
      <c r="A126" s="226">
        <v>45936</v>
      </c>
      <c r="B126" s="227" t="s">
        <v>175</v>
      </c>
      <c r="C126" s="227" t="s">
        <v>253</v>
      </c>
      <c r="D126" s="228">
        <v>3000</v>
      </c>
      <c r="E126" s="228">
        <v>22</v>
      </c>
      <c r="F126" s="228">
        <v>292.5</v>
      </c>
      <c r="G126" s="228">
        <v>287.45</v>
      </c>
      <c r="H126" s="228">
        <v>5.05</v>
      </c>
      <c r="I126" s="229">
        <v>1.7600000000000001E-2</v>
      </c>
      <c r="J126" s="228">
        <v>290.75</v>
      </c>
      <c r="K126" s="228">
        <v>286.2</v>
      </c>
      <c r="L126" s="228">
        <v>4.55</v>
      </c>
      <c r="M126" s="229">
        <v>1.5900000000000001E-2</v>
      </c>
      <c r="N126" s="228">
        <v>292.5</v>
      </c>
      <c r="O126" s="228">
        <v>287.45</v>
      </c>
      <c r="P126" s="228">
        <v>5.05</v>
      </c>
      <c r="Q126" s="229">
        <v>1.7600000000000001E-2</v>
      </c>
      <c r="R126" s="228">
        <v>293.10000000000002</v>
      </c>
      <c r="S126" s="228">
        <v>287.7</v>
      </c>
      <c r="T126" s="228">
        <v>5.4</v>
      </c>
      <c r="U126" s="229">
        <v>1.8800000000000001E-2</v>
      </c>
      <c r="V126" s="228">
        <v>296</v>
      </c>
      <c r="W126" s="228">
        <v>288.8</v>
      </c>
      <c r="X126" s="228">
        <v>7.2</v>
      </c>
      <c r="Y126" s="229">
        <v>2.4899999999999999E-2</v>
      </c>
      <c r="Z126" s="228">
        <v>1.75</v>
      </c>
      <c r="AA126" s="228">
        <v>1.25</v>
      </c>
      <c r="AB126" s="228">
        <v>0.5</v>
      </c>
      <c r="AC126" s="229">
        <v>6.0000000000000001E-3</v>
      </c>
      <c r="AD126" s="228">
        <v>1.75</v>
      </c>
      <c r="AE126" s="228">
        <v>1.25</v>
      </c>
      <c r="AF126" s="228">
        <v>0.5</v>
      </c>
      <c r="AG126" s="229">
        <v>6.0000000000000001E-3</v>
      </c>
      <c r="AH126" s="228">
        <v>2.35</v>
      </c>
      <c r="AI126" s="228">
        <v>1.5</v>
      </c>
      <c r="AJ126" s="228">
        <v>0.85</v>
      </c>
      <c r="AK126" s="229">
        <v>8.0999999999999996E-3</v>
      </c>
      <c r="AL126" s="228">
        <v>5.25</v>
      </c>
      <c r="AM126" s="228">
        <v>2.6</v>
      </c>
      <c r="AN126" s="228">
        <v>2.65</v>
      </c>
      <c r="AO126" s="229">
        <v>1.8100000000000002E-2</v>
      </c>
      <c r="AP126" s="228">
        <v>291.41000000000003</v>
      </c>
      <c r="AQ126" s="228">
        <v>292.52</v>
      </c>
      <c r="AR126" s="228">
        <v>0</v>
      </c>
      <c r="AS126" s="228">
        <v>181</v>
      </c>
      <c r="AT126" s="228">
        <v>92</v>
      </c>
      <c r="AU126" s="228">
        <v>89</v>
      </c>
      <c r="AV126" s="229">
        <v>0.97030000000000005</v>
      </c>
      <c r="AW126" s="228">
        <v>171</v>
      </c>
      <c r="AX126" s="228">
        <v>87</v>
      </c>
      <c r="AY126" s="228">
        <v>84</v>
      </c>
      <c r="AZ126" s="229">
        <v>0.96379999999999999</v>
      </c>
      <c r="BA126" s="228">
        <v>8</v>
      </c>
      <c r="BB126" s="228">
        <v>4</v>
      </c>
      <c r="BC126" s="228">
        <v>4</v>
      </c>
      <c r="BD126" s="229">
        <v>1.2439</v>
      </c>
      <c r="BE126" s="228">
        <v>1</v>
      </c>
      <c r="BF126" s="228">
        <v>1</v>
      </c>
      <c r="BG126" s="228">
        <v>0</v>
      </c>
      <c r="BH126" s="229">
        <v>0.375</v>
      </c>
      <c r="BI126" s="228">
        <v>544</v>
      </c>
      <c r="BJ126" s="228">
        <v>214</v>
      </c>
      <c r="BK126" s="228">
        <v>330</v>
      </c>
      <c r="BL126" s="229">
        <v>1.5427999999999999</v>
      </c>
      <c r="BM126" s="228">
        <v>166</v>
      </c>
      <c r="BN126" s="228">
        <v>72</v>
      </c>
      <c r="BO126" s="228">
        <v>94</v>
      </c>
      <c r="BP126" s="229">
        <v>1.3202</v>
      </c>
      <c r="BQ126" s="228">
        <v>891</v>
      </c>
      <c r="BR126" s="228">
        <v>377</v>
      </c>
      <c r="BS126" s="228">
        <v>514</v>
      </c>
      <c r="BT126" s="229">
        <v>1.3615999999999999</v>
      </c>
      <c r="BU126" s="230">
        <v>3781648</v>
      </c>
      <c r="BV126" s="230">
        <v>1964734</v>
      </c>
      <c r="BW126" s="230">
        <v>1816914</v>
      </c>
      <c r="BX126" s="229">
        <v>0.92479999999999996</v>
      </c>
      <c r="BY126" s="228">
        <v>794</v>
      </c>
      <c r="BZ126" s="228">
        <v>808</v>
      </c>
      <c r="CA126" s="228">
        <v>-15</v>
      </c>
      <c r="CB126" s="229">
        <v>-1.8200000000000001E-2</v>
      </c>
      <c r="CC126" s="228">
        <v>781</v>
      </c>
      <c r="CD126" s="228">
        <v>797</v>
      </c>
      <c r="CE126" s="228">
        <v>-16</v>
      </c>
      <c r="CF126" s="229">
        <v>-2.07E-2</v>
      </c>
      <c r="CG126" s="228">
        <v>11</v>
      </c>
      <c r="CH126" s="228">
        <v>10</v>
      </c>
      <c r="CI126" s="228">
        <v>1</v>
      </c>
      <c r="CJ126" s="229">
        <v>9.6500000000000002E-2</v>
      </c>
      <c r="CK126" s="228">
        <v>2</v>
      </c>
      <c r="CL126" s="228">
        <v>1</v>
      </c>
      <c r="CM126" s="228">
        <v>1</v>
      </c>
      <c r="CN126" s="229">
        <v>1</v>
      </c>
      <c r="CO126" s="228">
        <v>268</v>
      </c>
      <c r="CP126" s="228">
        <v>226</v>
      </c>
      <c r="CQ126" s="228">
        <v>41</v>
      </c>
      <c r="CR126" s="229">
        <v>0.1822</v>
      </c>
      <c r="CS126" s="228">
        <v>135</v>
      </c>
      <c r="CT126" s="228">
        <v>127</v>
      </c>
      <c r="CU126" s="228">
        <v>8</v>
      </c>
      <c r="CV126" s="229">
        <v>6.3E-2</v>
      </c>
      <c r="CW126" s="230">
        <v>1196</v>
      </c>
      <c r="CX126" s="230">
        <v>1161</v>
      </c>
      <c r="CY126" s="228">
        <v>34</v>
      </c>
      <c r="CZ126" s="229">
        <v>2.9700000000000001E-2</v>
      </c>
      <c r="DA126" s="228">
        <v>32.19</v>
      </c>
      <c r="DB126" s="228">
        <v>30.23</v>
      </c>
      <c r="DC126" s="228">
        <v>1.96</v>
      </c>
      <c r="DD126" s="228">
        <v>1.96</v>
      </c>
      <c r="DE126" s="228">
        <v>43.78</v>
      </c>
      <c r="DF126" s="228">
        <v>43.84</v>
      </c>
      <c r="DG126" s="228">
        <v>-11.59</v>
      </c>
      <c r="DH126" s="228">
        <v>-0.06</v>
      </c>
      <c r="DI126" s="228">
        <v>32.01</v>
      </c>
      <c r="DJ126" s="228">
        <v>30.14</v>
      </c>
      <c r="DK126" s="228">
        <v>1.87</v>
      </c>
      <c r="DL126" s="228">
        <v>1.87</v>
      </c>
      <c r="DM126" s="228">
        <v>32.78</v>
      </c>
      <c r="DN126" s="228">
        <v>30.5</v>
      </c>
      <c r="DO126" s="228">
        <v>2.2799999999999998</v>
      </c>
      <c r="DP126" s="228">
        <v>2.2799999999999998</v>
      </c>
      <c r="DQ126" s="228">
        <v>0.5</v>
      </c>
      <c r="DR126" s="228">
        <v>0.56000000000000005</v>
      </c>
      <c r="DS126" s="228">
        <v>-0.06</v>
      </c>
      <c r="DT126" s="229">
        <v>-0.1071</v>
      </c>
      <c r="DU126" s="228">
        <v>300</v>
      </c>
      <c r="DV126" s="228">
        <v>260</v>
      </c>
      <c r="DW126" s="228">
        <v>0.3</v>
      </c>
      <c r="DX126" s="228">
        <v>0.33</v>
      </c>
      <c r="DY126" s="228">
        <v>-0.03</v>
      </c>
      <c r="DZ126" s="229">
        <v>-9.0899999999999995E-2</v>
      </c>
      <c r="EA126" s="229">
        <v>1.5800000000000002E-2</v>
      </c>
      <c r="EB126" s="230">
        <v>369000</v>
      </c>
      <c r="EC126" s="229">
        <v>2.0999999999999999E-3</v>
      </c>
      <c r="ED126" s="229">
        <v>1.5800000000000002E-2</v>
      </c>
      <c r="EE126" s="228">
        <v>1.1100000000000001</v>
      </c>
      <c r="EF126" s="229">
        <v>3.8E-3</v>
      </c>
      <c r="EG126" s="230">
        <v>1213988</v>
      </c>
      <c r="EH126" s="230">
        <v>869736</v>
      </c>
      <c r="EI126" s="229">
        <v>0.39579999999999999</v>
      </c>
      <c r="EJ126" s="229">
        <v>0.32100000000000001</v>
      </c>
      <c r="EK126" s="228">
        <v>569.80999999999995</v>
      </c>
      <c r="EL126" s="228">
        <v>160.41</v>
      </c>
      <c r="EM126" s="228">
        <v>179.86</v>
      </c>
      <c r="EN126" s="228">
        <v>34.369999999999997</v>
      </c>
      <c r="EO126" s="228">
        <v>910.09</v>
      </c>
      <c r="EP126" s="228">
        <v>378.66</v>
      </c>
      <c r="EQ126" s="228">
        <v>531.41999999999996</v>
      </c>
      <c r="ER126" s="229">
        <v>1.4034</v>
      </c>
      <c r="ES126" s="228">
        <v>273.83</v>
      </c>
      <c r="ET126" s="228">
        <v>125.77</v>
      </c>
      <c r="EU126" s="228">
        <v>793.56</v>
      </c>
      <c r="EV126" s="231">
        <v>82205057</v>
      </c>
      <c r="EW126" s="231">
        <v>1193.17</v>
      </c>
      <c r="EX126" s="231">
        <v>1142.67</v>
      </c>
      <c r="EY126" s="228">
        <v>50.5</v>
      </c>
      <c r="EZ126" s="229">
        <v>4.4200000000000003E-2</v>
      </c>
      <c r="FA126" s="229">
        <v>0.49730000000000002</v>
      </c>
      <c r="FB126" s="227" t="s">
        <v>556</v>
      </c>
      <c r="FC126">
        <f t="shared" si="1"/>
        <v>13</v>
      </c>
    </row>
    <row r="127" spans="1:159" ht="17.25" thickBot="1" x14ac:dyDescent="0.3">
      <c r="A127" s="226">
        <v>45936</v>
      </c>
      <c r="B127" s="227" t="s">
        <v>170</v>
      </c>
      <c r="C127" s="227" t="s">
        <v>674</v>
      </c>
      <c r="D127" s="228">
        <v>225</v>
      </c>
      <c r="E127" s="228">
        <v>22</v>
      </c>
      <c r="F127" s="231">
        <v>2468.9</v>
      </c>
      <c r="G127" s="231">
        <v>2456</v>
      </c>
      <c r="H127" s="228">
        <v>12.9</v>
      </c>
      <c r="I127" s="229">
        <v>5.3E-3</v>
      </c>
      <c r="J127" s="231">
        <v>2456.3000000000002</v>
      </c>
      <c r="K127" s="231">
        <v>2448</v>
      </c>
      <c r="L127" s="228">
        <v>8.3000000000000007</v>
      </c>
      <c r="M127" s="229">
        <v>3.3999999999999998E-3</v>
      </c>
      <c r="N127" s="231">
        <v>2468.9</v>
      </c>
      <c r="O127" s="231">
        <v>2456</v>
      </c>
      <c r="P127" s="228">
        <v>12.9</v>
      </c>
      <c r="Q127" s="229">
        <v>5.3E-3</v>
      </c>
      <c r="R127" s="231">
        <v>2482.5</v>
      </c>
      <c r="S127" s="231">
        <v>2473.4</v>
      </c>
      <c r="T127" s="228">
        <v>9.1</v>
      </c>
      <c r="U127" s="229">
        <v>3.7000000000000002E-3</v>
      </c>
      <c r="V127" s="231">
        <v>2486.3000000000002</v>
      </c>
      <c r="W127" s="231">
        <v>2464.6</v>
      </c>
      <c r="X127" s="228">
        <v>21.7</v>
      </c>
      <c r="Y127" s="229">
        <v>8.8000000000000005E-3</v>
      </c>
      <c r="Z127" s="228">
        <v>12.6</v>
      </c>
      <c r="AA127" s="228">
        <v>8</v>
      </c>
      <c r="AB127" s="228">
        <v>4.5999999999999996</v>
      </c>
      <c r="AC127" s="229">
        <v>5.1000000000000004E-3</v>
      </c>
      <c r="AD127" s="228">
        <v>12.6</v>
      </c>
      <c r="AE127" s="228">
        <v>8</v>
      </c>
      <c r="AF127" s="228">
        <v>4.5999999999999996</v>
      </c>
      <c r="AG127" s="229">
        <v>5.1000000000000004E-3</v>
      </c>
      <c r="AH127" s="228">
        <v>26.2</v>
      </c>
      <c r="AI127" s="228">
        <v>25.4</v>
      </c>
      <c r="AJ127" s="228">
        <v>0.8</v>
      </c>
      <c r="AK127" s="229">
        <v>1.0699999999999999E-2</v>
      </c>
      <c r="AL127" s="228">
        <v>30</v>
      </c>
      <c r="AM127" s="228">
        <v>16.600000000000001</v>
      </c>
      <c r="AN127" s="228">
        <v>13.4</v>
      </c>
      <c r="AO127" s="229">
        <v>1.2200000000000001E-2</v>
      </c>
      <c r="AP127" s="231">
        <v>2443.6799999999998</v>
      </c>
      <c r="AQ127" s="231">
        <v>2452.67</v>
      </c>
      <c r="AR127" s="228">
        <v>0</v>
      </c>
      <c r="AS127" s="228">
        <v>85</v>
      </c>
      <c r="AT127" s="228">
        <v>99</v>
      </c>
      <c r="AU127" s="228">
        <v>-14</v>
      </c>
      <c r="AV127" s="229">
        <v>-0.1449</v>
      </c>
      <c r="AW127" s="228">
        <v>81</v>
      </c>
      <c r="AX127" s="228">
        <v>93</v>
      </c>
      <c r="AY127" s="228">
        <v>-12</v>
      </c>
      <c r="AZ127" s="229">
        <v>-0.12870000000000001</v>
      </c>
      <c r="BA127" s="228">
        <v>3</v>
      </c>
      <c r="BB127" s="228">
        <v>6</v>
      </c>
      <c r="BC127" s="228">
        <v>-3</v>
      </c>
      <c r="BD127" s="229">
        <v>-0.44440000000000002</v>
      </c>
      <c r="BE127" s="228">
        <v>0</v>
      </c>
      <c r="BF127" s="228">
        <v>0</v>
      </c>
      <c r="BG127" s="228">
        <v>0</v>
      </c>
      <c r="BH127" s="229">
        <v>5</v>
      </c>
      <c r="BI127" s="228">
        <v>105</v>
      </c>
      <c r="BJ127" s="228">
        <v>86</v>
      </c>
      <c r="BK127" s="228">
        <v>19</v>
      </c>
      <c r="BL127" s="229">
        <v>0.21909999999999999</v>
      </c>
      <c r="BM127" s="228">
        <v>55</v>
      </c>
      <c r="BN127" s="228">
        <v>50</v>
      </c>
      <c r="BO127" s="228">
        <v>5</v>
      </c>
      <c r="BP127" s="229">
        <v>0.1069</v>
      </c>
      <c r="BQ127" s="228">
        <v>245</v>
      </c>
      <c r="BR127" s="228">
        <v>235</v>
      </c>
      <c r="BS127" s="228">
        <v>10</v>
      </c>
      <c r="BT127" s="229">
        <v>4.1799999999999997E-2</v>
      </c>
      <c r="BU127" s="230">
        <v>395008</v>
      </c>
      <c r="BV127" s="230">
        <v>611459</v>
      </c>
      <c r="BW127" s="230">
        <v>-216451</v>
      </c>
      <c r="BX127" s="229">
        <v>-0.35399999999999998</v>
      </c>
      <c r="BY127" s="228">
        <v>424</v>
      </c>
      <c r="BZ127" s="228">
        <v>407</v>
      </c>
      <c r="CA127" s="228">
        <v>17</v>
      </c>
      <c r="CB127" s="229">
        <v>4.1399999999999999E-2</v>
      </c>
      <c r="CC127" s="228">
        <v>412</v>
      </c>
      <c r="CD127" s="228">
        <v>397</v>
      </c>
      <c r="CE127" s="228">
        <v>16</v>
      </c>
      <c r="CF127" s="229">
        <v>3.95E-2</v>
      </c>
      <c r="CG127" s="228">
        <v>11</v>
      </c>
      <c r="CH127" s="228">
        <v>10</v>
      </c>
      <c r="CI127" s="228">
        <v>1</v>
      </c>
      <c r="CJ127" s="229">
        <v>8.9899999999999994E-2</v>
      </c>
      <c r="CK127" s="228">
        <v>1</v>
      </c>
      <c r="CL127" s="228">
        <v>0</v>
      </c>
      <c r="CM127" s="228">
        <v>0</v>
      </c>
      <c r="CN127" s="229">
        <v>0.71430000000000005</v>
      </c>
      <c r="CO127" s="228">
        <v>120</v>
      </c>
      <c r="CP127" s="228">
        <v>105</v>
      </c>
      <c r="CQ127" s="228">
        <v>15</v>
      </c>
      <c r="CR127" s="229">
        <v>0.1429</v>
      </c>
      <c r="CS127" s="228">
        <v>71</v>
      </c>
      <c r="CT127" s="228">
        <v>68</v>
      </c>
      <c r="CU127" s="228">
        <v>3</v>
      </c>
      <c r="CV127" s="229">
        <v>4.07E-2</v>
      </c>
      <c r="CW127" s="228">
        <v>614</v>
      </c>
      <c r="CX127" s="228">
        <v>580</v>
      </c>
      <c r="CY127" s="228">
        <v>35</v>
      </c>
      <c r="CZ127" s="229">
        <v>5.96E-2</v>
      </c>
      <c r="DA127" s="228">
        <v>27.84</v>
      </c>
      <c r="DB127" s="228">
        <v>27.69</v>
      </c>
      <c r="DC127" s="228">
        <v>0.15</v>
      </c>
      <c r="DD127" s="228">
        <v>0.15</v>
      </c>
      <c r="DE127" s="228">
        <v>35.03</v>
      </c>
      <c r="DF127" s="228">
        <v>35.11</v>
      </c>
      <c r="DG127" s="228">
        <v>-7.19</v>
      </c>
      <c r="DH127" s="228">
        <v>-0.08</v>
      </c>
      <c r="DI127" s="228">
        <v>27.52</v>
      </c>
      <c r="DJ127" s="228">
        <v>27.8</v>
      </c>
      <c r="DK127" s="228">
        <v>-0.28000000000000003</v>
      </c>
      <c r="DL127" s="228">
        <v>-0.28000000000000003</v>
      </c>
      <c r="DM127" s="228">
        <v>28.46</v>
      </c>
      <c r="DN127" s="228">
        <v>27.51</v>
      </c>
      <c r="DO127" s="228">
        <v>0.95</v>
      </c>
      <c r="DP127" s="228">
        <v>0.95</v>
      </c>
      <c r="DQ127" s="228">
        <v>0.59</v>
      </c>
      <c r="DR127" s="228">
        <v>0.65</v>
      </c>
      <c r="DS127" s="228">
        <v>-0.06</v>
      </c>
      <c r="DT127" s="229">
        <v>-9.2299999999999993E-2</v>
      </c>
      <c r="DU127" s="231">
        <v>2600</v>
      </c>
      <c r="DV127" s="231">
        <v>2300</v>
      </c>
      <c r="DW127" s="228">
        <v>0.53</v>
      </c>
      <c r="DX127" s="228">
        <v>0.57999999999999996</v>
      </c>
      <c r="DY127" s="228">
        <v>-0.05</v>
      </c>
      <c r="DZ127" s="229">
        <v>-8.6199999999999999E-2</v>
      </c>
      <c r="EA127" s="229">
        <v>2.7E-2</v>
      </c>
      <c r="EB127" s="230">
        <v>41625</v>
      </c>
      <c r="EC127" s="229">
        <v>5.4999999999999997E-3</v>
      </c>
      <c r="ED127" s="229">
        <v>2.7E-2</v>
      </c>
      <c r="EE127" s="228">
        <v>8.99</v>
      </c>
      <c r="EF127" s="229">
        <v>3.7000000000000002E-3</v>
      </c>
      <c r="EG127" s="230">
        <v>192502</v>
      </c>
      <c r="EH127" s="230">
        <v>410715</v>
      </c>
      <c r="EI127" s="229">
        <v>-0.53129999999999999</v>
      </c>
      <c r="EJ127" s="229">
        <v>0.48730000000000001</v>
      </c>
      <c r="EK127" s="228">
        <v>110.49</v>
      </c>
      <c r="EL127" s="228">
        <v>53.09</v>
      </c>
      <c r="EM127" s="228">
        <v>84.03</v>
      </c>
      <c r="EN127" s="228">
        <v>33.979999999999997</v>
      </c>
      <c r="EO127" s="228">
        <v>247.61</v>
      </c>
      <c r="EP127" s="228">
        <v>238.32</v>
      </c>
      <c r="EQ127" s="228">
        <v>9.3000000000000007</v>
      </c>
      <c r="ER127" s="229">
        <v>3.9E-2</v>
      </c>
      <c r="ES127" s="228">
        <v>128.47999999999999</v>
      </c>
      <c r="ET127" s="228">
        <v>69</v>
      </c>
      <c r="EU127" s="228">
        <v>423.8</v>
      </c>
      <c r="EV127" s="231">
        <v>16915220</v>
      </c>
      <c r="EW127" s="228">
        <v>621.28</v>
      </c>
      <c r="EX127" s="228">
        <v>583.91</v>
      </c>
      <c r="EY127" s="228">
        <v>37.369999999999997</v>
      </c>
      <c r="EZ127" s="229">
        <v>6.4000000000000001E-2</v>
      </c>
      <c r="FA127" s="229">
        <v>0.14710000000000001</v>
      </c>
      <c r="FB127" s="227" t="s">
        <v>555</v>
      </c>
      <c r="FC127">
        <f t="shared" si="1"/>
        <v>12</v>
      </c>
    </row>
    <row r="128" spans="1:159" ht="17.25" thickBot="1" x14ac:dyDescent="0.3">
      <c r="A128" s="226">
        <v>45936</v>
      </c>
      <c r="B128" s="227" t="s">
        <v>168</v>
      </c>
      <c r="C128" s="227" t="s">
        <v>254</v>
      </c>
      <c r="D128" s="228">
        <v>1200</v>
      </c>
      <c r="E128" s="228">
        <v>22</v>
      </c>
      <c r="F128" s="228">
        <v>719.3</v>
      </c>
      <c r="G128" s="228">
        <v>713.65</v>
      </c>
      <c r="H128" s="228">
        <v>5.65</v>
      </c>
      <c r="I128" s="229">
        <v>7.9000000000000008E-3</v>
      </c>
      <c r="J128" s="228">
        <v>715.55</v>
      </c>
      <c r="K128" s="228">
        <v>710.95</v>
      </c>
      <c r="L128" s="228">
        <v>4.5999999999999996</v>
      </c>
      <c r="M128" s="229">
        <v>6.4999999999999997E-3</v>
      </c>
      <c r="N128" s="228">
        <v>719.3</v>
      </c>
      <c r="O128" s="228">
        <v>713.65</v>
      </c>
      <c r="P128" s="228">
        <v>5.65</v>
      </c>
      <c r="Q128" s="229">
        <v>7.9000000000000008E-3</v>
      </c>
      <c r="R128" s="228">
        <v>720.95</v>
      </c>
      <c r="S128" s="228">
        <v>715.25</v>
      </c>
      <c r="T128" s="228">
        <v>5.7</v>
      </c>
      <c r="U128" s="229">
        <v>8.0000000000000002E-3</v>
      </c>
      <c r="V128" s="228">
        <v>722.1</v>
      </c>
      <c r="W128" s="228">
        <v>0</v>
      </c>
      <c r="X128" s="228">
        <v>722.1</v>
      </c>
      <c r="Y128" s="229">
        <v>0</v>
      </c>
      <c r="Z128" s="228">
        <v>3.75</v>
      </c>
      <c r="AA128" s="228">
        <v>2.7</v>
      </c>
      <c r="AB128" s="228">
        <v>1.05</v>
      </c>
      <c r="AC128" s="229">
        <v>5.1999999999999998E-3</v>
      </c>
      <c r="AD128" s="228">
        <v>3.75</v>
      </c>
      <c r="AE128" s="228">
        <v>2.7</v>
      </c>
      <c r="AF128" s="228">
        <v>1.05</v>
      </c>
      <c r="AG128" s="229">
        <v>5.1999999999999998E-3</v>
      </c>
      <c r="AH128" s="228">
        <v>5.4</v>
      </c>
      <c r="AI128" s="228">
        <v>4.3</v>
      </c>
      <c r="AJ128" s="228">
        <v>1.1000000000000001</v>
      </c>
      <c r="AK128" s="229">
        <v>7.4999999999999997E-3</v>
      </c>
      <c r="AL128" s="228">
        <v>6.55</v>
      </c>
      <c r="AM128" s="228">
        <v>0</v>
      </c>
      <c r="AN128" s="228">
        <v>6.55</v>
      </c>
      <c r="AO128" s="229">
        <v>9.1999999999999998E-3</v>
      </c>
      <c r="AP128" s="228">
        <v>714.7</v>
      </c>
      <c r="AQ128" s="228">
        <v>716.48</v>
      </c>
      <c r="AR128" s="228">
        <v>0</v>
      </c>
      <c r="AS128" s="228">
        <v>213</v>
      </c>
      <c r="AT128" s="228">
        <v>169</v>
      </c>
      <c r="AU128" s="228">
        <v>44</v>
      </c>
      <c r="AV128" s="229">
        <v>0.26119999999999999</v>
      </c>
      <c r="AW128" s="228">
        <v>209</v>
      </c>
      <c r="AX128" s="228">
        <v>167</v>
      </c>
      <c r="AY128" s="228">
        <v>43</v>
      </c>
      <c r="AZ128" s="229">
        <v>0.25619999999999998</v>
      </c>
      <c r="BA128" s="228">
        <v>4</v>
      </c>
      <c r="BB128" s="228">
        <v>2</v>
      </c>
      <c r="BC128" s="228">
        <v>1</v>
      </c>
      <c r="BD128" s="229">
        <v>0.46429999999999999</v>
      </c>
      <c r="BE128" s="228">
        <v>0</v>
      </c>
      <c r="BF128" s="228">
        <v>0</v>
      </c>
      <c r="BG128" s="228">
        <v>0</v>
      </c>
      <c r="BH128" s="229">
        <v>0</v>
      </c>
      <c r="BI128" s="228">
        <v>451</v>
      </c>
      <c r="BJ128" s="228">
        <v>308</v>
      </c>
      <c r="BK128" s="228">
        <v>143</v>
      </c>
      <c r="BL128" s="229">
        <v>0.46389999999999998</v>
      </c>
      <c r="BM128" s="228">
        <v>239</v>
      </c>
      <c r="BN128" s="228">
        <v>123</v>
      </c>
      <c r="BO128" s="228">
        <v>116</v>
      </c>
      <c r="BP128" s="229">
        <v>0.9405</v>
      </c>
      <c r="BQ128" s="228">
        <v>904</v>
      </c>
      <c r="BR128" s="228">
        <v>601</v>
      </c>
      <c r="BS128" s="228">
        <v>303</v>
      </c>
      <c r="BT128" s="229">
        <v>0.50460000000000005</v>
      </c>
      <c r="BU128" s="230">
        <v>2004937</v>
      </c>
      <c r="BV128" s="230">
        <v>1512054</v>
      </c>
      <c r="BW128" s="230">
        <v>492883</v>
      </c>
      <c r="BX128" s="229">
        <v>0.32600000000000001</v>
      </c>
      <c r="BY128" s="230">
        <v>2058</v>
      </c>
      <c r="BZ128" s="230">
        <v>2047</v>
      </c>
      <c r="CA128" s="228">
        <v>11</v>
      </c>
      <c r="CB128" s="229">
        <v>5.4999999999999997E-3</v>
      </c>
      <c r="CC128" s="230">
        <v>2049</v>
      </c>
      <c r="CD128" s="230">
        <v>2038</v>
      </c>
      <c r="CE128" s="228">
        <v>11</v>
      </c>
      <c r="CF128" s="229">
        <v>5.3E-3</v>
      </c>
      <c r="CG128" s="228">
        <v>9</v>
      </c>
      <c r="CH128" s="228">
        <v>9</v>
      </c>
      <c r="CI128" s="228">
        <v>0</v>
      </c>
      <c r="CJ128" s="229">
        <v>0.03</v>
      </c>
      <c r="CK128" s="228">
        <v>0</v>
      </c>
      <c r="CL128" s="228">
        <v>0</v>
      </c>
      <c r="CM128" s="228">
        <v>0</v>
      </c>
      <c r="CN128" s="229">
        <v>0</v>
      </c>
      <c r="CO128" s="228">
        <v>201</v>
      </c>
      <c r="CP128" s="228">
        <v>229</v>
      </c>
      <c r="CQ128" s="228">
        <v>-28</v>
      </c>
      <c r="CR128" s="229">
        <v>-0.12239999999999999</v>
      </c>
      <c r="CS128" s="228">
        <v>163</v>
      </c>
      <c r="CT128" s="228">
        <v>169</v>
      </c>
      <c r="CU128" s="228">
        <v>-6</v>
      </c>
      <c r="CV128" s="229">
        <v>-3.78E-2</v>
      </c>
      <c r="CW128" s="230">
        <v>2422</v>
      </c>
      <c r="CX128" s="230">
        <v>2445</v>
      </c>
      <c r="CY128" s="228">
        <v>-23</v>
      </c>
      <c r="CZ128" s="229">
        <v>-9.4999999999999998E-3</v>
      </c>
      <c r="DA128" s="228">
        <v>20.27</v>
      </c>
      <c r="DB128" s="228">
        <v>21.46</v>
      </c>
      <c r="DC128" s="228">
        <v>-1.19</v>
      </c>
      <c r="DD128" s="228">
        <v>-1.19</v>
      </c>
      <c r="DE128" s="228">
        <v>26.15</v>
      </c>
      <c r="DF128" s="228">
        <v>26.2</v>
      </c>
      <c r="DG128" s="228">
        <v>-5.88</v>
      </c>
      <c r="DH128" s="228">
        <v>-0.05</v>
      </c>
      <c r="DI128" s="228">
        <v>20.13</v>
      </c>
      <c r="DJ128" s="228">
        <v>21.36</v>
      </c>
      <c r="DK128" s="228">
        <v>-1.23</v>
      </c>
      <c r="DL128" s="228">
        <v>-1.23</v>
      </c>
      <c r="DM128" s="228">
        <v>20.55</v>
      </c>
      <c r="DN128" s="228">
        <v>21.7</v>
      </c>
      <c r="DO128" s="228">
        <v>-1.1499999999999999</v>
      </c>
      <c r="DP128" s="228">
        <v>-1.1499999999999999</v>
      </c>
      <c r="DQ128" s="228">
        <v>0.81</v>
      </c>
      <c r="DR128" s="228">
        <v>0.74</v>
      </c>
      <c r="DS128" s="228">
        <v>7.0000000000000007E-2</v>
      </c>
      <c r="DT128" s="229">
        <v>9.4600000000000004E-2</v>
      </c>
      <c r="DU128" s="228">
        <v>740</v>
      </c>
      <c r="DV128" s="228">
        <v>700</v>
      </c>
      <c r="DW128" s="228">
        <v>0.53</v>
      </c>
      <c r="DX128" s="228">
        <v>0.4</v>
      </c>
      <c r="DY128" s="228">
        <v>0.13</v>
      </c>
      <c r="DZ128" s="229">
        <v>0.32500000000000001</v>
      </c>
      <c r="EA128" s="229">
        <v>4.4000000000000003E-3</v>
      </c>
      <c r="EB128" s="230">
        <v>120000</v>
      </c>
      <c r="EC128" s="229">
        <v>2.3E-3</v>
      </c>
      <c r="ED128" s="229">
        <v>4.4000000000000003E-3</v>
      </c>
      <c r="EE128" s="228">
        <v>1.78</v>
      </c>
      <c r="EF128" s="229">
        <v>2.5000000000000001E-3</v>
      </c>
      <c r="EG128" s="230">
        <v>1304078</v>
      </c>
      <c r="EH128" s="230">
        <v>995022</v>
      </c>
      <c r="EI128" s="229">
        <v>0.31059999999999999</v>
      </c>
      <c r="EJ128" s="229">
        <v>0.65039999999999998</v>
      </c>
      <c r="EK128" s="228">
        <v>463.38</v>
      </c>
      <c r="EL128" s="228">
        <v>233.55</v>
      </c>
      <c r="EM128" s="228">
        <v>212.02</v>
      </c>
      <c r="EN128" s="228">
        <v>54.69</v>
      </c>
      <c r="EO128" s="228">
        <v>908.95</v>
      </c>
      <c r="EP128" s="228">
        <v>603.88</v>
      </c>
      <c r="EQ128" s="228">
        <v>305.07</v>
      </c>
      <c r="ER128" s="229">
        <v>0.50519999999999998</v>
      </c>
      <c r="ES128" s="228">
        <v>206.85</v>
      </c>
      <c r="ET128" s="228">
        <v>156.13999999999999</v>
      </c>
      <c r="EU128" s="231">
        <v>2058.23</v>
      </c>
      <c r="EV128" s="231">
        <v>79408529</v>
      </c>
      <c r="EW128" s="231">
        <v>2421.21</v>
      </c>
      <c r="EX128" s="231">
        <v>2427.89</v>
      </c>
      <c r="EY128" s="228">
        <v>-6.68</v>
      </c>
      <c r="EZ128" s="229">
        <v>-2.8E-3</v>
      </c>
      <c r="FA128" s="229">
        <v>0.42409999999999998</v>
      </c>
      <c r="FB128" s="227" t="s">
        <v>555</v>
      </c>
      <c r="FC128">
        <f t="shared" si="1"/>
        <v>9</v>
      </c>
    </row>
    <row r="129" spans="1:159" ht="17.25" thickBot="1" x14ac:dyDescent="0.3">
      <c r="A129" s="226">
        <v>45936</v>
      </c>
      <c r="B129" s="227" t="s">
        <v>162</v>
      </c>
      <c r="C129" s="227" t="s">
        <v>255</v>
      </c>
      <c r="D129" s="228">
        <v>50</v>
      </c>
      <c r="E129" s="228">
        <v>22</v>
      </c>
      <c r="F129" s="231">
        <v>16063</v>
      </c>
      <c r="G129" s="231">
        <v>15904</v>
      </c>
      <c r="H129" s="228">
        <v>159</v>
      </c>
      <c r="I129" s="229">
        <v>0.01</v>
      </c>
      <c r="J129" s="231">
        <v>15998</v>
      </c>
      <c r="K129" s="231">
        <v>15806</v>
      </c>
      <c r="L129" s="228">
        <v>192</v>
      </c>
      <c r="M129" s="229">
        <v>1.21E-2</v>
      </c>
      <c r="N129" s="231">
        <v>16063</v>
      </c>
      <c r="O129" s="231">
        <v>15904</v>
      </c>
      <c r="P129" s="228">
        <v>159</v>
      </c>
      <c r="Q129" s="229">
        <v>0.01</v>
      </c>
      <c r="R129" s="231">
        <v>16150</v>
      </c>
      <c r="S129" s="231">
        <v>15985</v>
      </c>
      <c r="T129" s="228">
        <v>165</v>
      </c>
      <c r="U129" s="229">
        <v>1.03E-2</v>
      </c>
      <c r="V129" s="231">
        <v>16218</v>
      </c>
      <c r="W129" s="231">
        <v>16056</v>
      </c>
      <c r="X129" s="228">
        <v>162</v>
      </c>
      <c r="Y129" s="229">
        <v>1.01E-2</v>
      </c>
      <c r="Z129" s="228">
        <v>65</v>
      </c>
      <c r="AA129" s="228">
        <v>98</v>
      </c>
      <c r="AB129" s="228">
        <v>-33</v>
      </c>
      <c r="AC129" s="229">
        <v>4.1000000000000003E-3</v>
      </c>
      <c r="AD129" s="228">
        <v>65</v>
      </c>
      <c r="AE129" s="228">
        <v>98</v>
      </c>
      <c r="AF129" s="228">
        <v>-33</v>
      </c>
      <c r="AG129" s="229">
        <v>4.1000000000000003E-3</v>
      </c>
      <c r="AH129" s="228">
        <v>152</v>
      </c>
      <c r="AI129" s="228">
        <v>179</v>
      </c>
      <c r="AJ129" s="228">
        <v>-27</v>
      </c>
      <c r="AK129" s="229">
        <v>9.4999999999999998E-3</v>
      </c>
      <c r="AL129" s="228">
        <v>220</v>
      </c>
      <c r="AM129" s="228">
        <v>250</v>
      </c>
      <c r="AN129" s="228">
        <v>-30</v>
      </c>
      <c r="AO129" s="229">
        <v>1.38E-2</v>
      </c>
      <c r="AP129" s="231">
        <v>16014.23</v>
      </c>
      <c r="AQ129" s="231">
        <v>16127.21</v>
      </c>
      <c r="AR129" s="228">
        <v>0</v>
      </c>
      <c r="AS129" s="228">
        <v>900</v>
      </c>
      <c r="AT129" s="230">
        <v>1309</v>
      </c>
      <c r="AU129" s="228">
        <v>-409</v>
      </c>
      <c r="AV129" s="229">
        <v>-0.31219999999999998</v>
      </c>
      <c r="AW129" s="228">
        <v>840</v>
      </c>
      <c r="AX129" s="230">
        <v>1265</v>
      </c>
      <c r="AY129" s="228">
        <v>-425</v>
      </c>
      <c r="AZ129" s="229">
        <v>-0.33610000000000001</v>
      </c>
      <c r="BA129" s="228">
        <v>56</v>
      </c>
      <c r="BB129" s="228">
        <v>40</v>
      </c>
      <c r="BC129" s="228">
        <v>16</v>
      </c>
      <c r="BD129" s="229">
        <v>0.39200000000000002</v>
      </c>
      <c r="BE129" s="228">
        <v>5</v>
      </c>
      <c r="BF129" s="228">
        <v>4</v>
      </c>
      <c r="BG129" s="228">
        <v>1</v>
      </c>
      <c r="BH129" s="229">
        <v>0.2041</v>
      </c>
      <c r="BI129" s="230">
        <v>7720</v>
      </c>
      <c r="BJ129" s="230">
        <v>7365</v>
      </c>
      <c r="BK129" s="228">
        <v>355</v>
      </c>
      <c r="BL129" s="229">
        <v>4.8300000000000003E-2</v>
      </c>
      <c r="BM129" s="230">
        <v>3302</v>
      </c>
      <c r="BN129" s="230">
        <v>3878</v>
      </c>
      <c r="BO129" s="228">
        <v>-576</v>
      </c>
      <c r="BP129" s="229">
        <v>-0.14860000000000001</v>
      </c>
      <c r="BQ129" s="230">
        <v>11922</v>
      </c>
      <c r="BR129" s="230">
        <v>12552</v>
      </c>
      <c r="BS129" s="228">
        <v>-629</v>
      </c>
      <c r="BT129" s="229">
        <v>-5.0099999999999999E-2</v>
      </c>
      <c r="BU129" s="230">
        <v>287363</v>
      </c>
      <c r="BV129" s="230">
        <v>480702</v>
      </c>
      <c r="BW129" s="230">
        <v>-193339</v>
      </c>
      <c r="BX129" s="229">
        <v>-0.4022</v>
      </c>
      <c r="BY129" s="230">
        <v>4597</v>
      </c>
      <c r="BZ129" s="230">
        <v>4668</v>
      </c>
      <c r="CA129" s="228">
        <v>-71</v>
      </c>
      <c r="CB129" s="229">
        <v>-1.52E-2</v>
      </c>
      <c r="CC129" s="230">
        <v>4480</v>
      </c>
      <c r="CD129" s="230">
        <v>4539</v>
      </c>
      <c r="CE129" s="228">
        <v>-60</v>
      </c>
      <c r="CF129" s="229">
        <v>-1.32E-2</v>
      </c>
      <c r="CG129" s="228">
        <v>112</v>
      </c>
      <c r="CH129" s="228">
        <v>125</v>
      </c>
      <c r="CI129" s="228">
        <v>-12</v>
      </c>
      <c r="CJ129" s="229">
        <v>-9.8000000000000004E-2</v>
      </c>
      <c r="CK129" s="228">
        <v>5</v>
      </c>
      <c r="CL129" s="228">
        <v>4</v>
      </c>
      <c r="CM129" s="228">
        <v>1</v>
      </c>
      <c r="CN129" s="229">
        <v>0.26090000000000002</v>
      </c>
      <c r="CO129" s="230">
        <v>3829</v>
      </c>
      <c r="CP129" s="230">
        <v>3754</v>
      </c>
      <c r="CQ129" s="228">
        <v>76</v>
      </c>
      <c r="CR129" s="229">
        <v>2.01E-2</v>
      </c>
      <c r="CS129" s="230">
        <v>2094</v>
      </c>
      <c r="CT129" s="230">
        <v>1924</v>
      </c>
      <c r="CU129" s="228">
        <v>170</v>
      </c>
      <c r="CV129" s="229">
        <v>8.8499999999999995E-2</v>
      </c>
      <c r="CW129" s="230">
        <v>10520</v>
      </c>
      <c r="CX129" s="230">
        <v>10345</v>
      </c>
      <c r="CY129" s="228">
        <v>175</v>
      </c>
      <c r="CZ129" s="229">
        <v>1.6899999999999998E-2</v>
      </c>
      <c r="DA129" s="228">
        <v>19.559999999999999</v>
      </c>
      <c r="DB129" s="228">
        <v>20.170000000000002</v>
      </c>
      <c r="DC129" s="228">
        <v>-0.61</v>
      </c>
      <c r="DD129" s="228">
        <v>-0.61</v>
      </c>
      <c r="DE129" s="228">
        <v>26.09</v>
      </c>
      <c r="DF129" s="228">
        <v>26.1</v>
      </c>
      <c r="DG129" s="228">
        <v>-6.53</v>
      </c>
      <c r="DH129" s="228">
        <v>-0.01</v>
      </c>
      <c r="DI129" s="228">
        <v>19.38</v>
      </c>
      <c r="DJ129" s="228">
        <v>20.32</v>
      </c>
      <c r="DK129" s="228">
        <v>-0.94</v>
      </c>
      <c r="DL129" s="228">
        <v>-0.94</v>
      </c>
      <c r="DM129" s="228">
        <v>19.989999999999998</v>
      </c>
      <c r="DN129" s="228">
        <v>19.89</v>
      </c>
      <c r="DO129" s="228">
        <v>0.1</v>
      </c>
      <c r="DP129" s="228">
        <v>0.1</v>
      </c>
      <c r="DQ129" s="228">
        <v>0.55000000000000004</v>
      </c>
      <c r="DR129" s="228">
        <v>0.51</v>
      </c>
      <c r="DS129" s="228">
        <v>0.04</v>
      </c>
      <c r="DT129" s="229">
        <v>7.8399999999999997E-2</v>
      </c>
      <c r="DU129" s="231">
        <v>17000</v>
      </c>
      <c r="DV129" s="231">
        <v>15000</v>
      </c>
      <c r="DW129" s="228">
        <v>0.43</v>
      </c>
      <c r="DX129" s="228">
        <v>0.53</v>
      </c>
      <c r="DY129" s="228">
        <v>-0.1</v>
      </c>
      <c r="DZ129" s="229">
        <v>-0.18870000000000001</v>
      </c>
      <c r="EA129" s="229">
        <v>2.5499999999999998E-2</v>
      </c>
      <c r="EB129" s="230">
        <v>79850</v>
      </c>
      <c r="EC129" s="229">
        <v>5.4000000000000003E-3</v>
      </c>
      <c r="ED129" s="229">
        <v>2.5499999999999998E-2</v>
      </c>
      <c r="EE129" s="228">
        <v>112.98</v>
      </c>
      <c r="EF129" s="229">
        <v>7.1000000000000004E-3</v>
      </c>
      <c r="EG129" s="230">
        <v>142948</v>
      </c>
      <c r="EH129" s="230">
        <v>292068</v>
      </c>
      <c r="EI129" s="229">
        <v>-0.51060000000000005</v>
      </c>
      <c r="EJ129" s="229">
        <v>0.49740000000000001</v>
      </c>
      <c r="EK129" s="231">
        <v>8024.04</v>
      </c>
      <c r="EL129" s="231">
        <v>3218.81</v>
      </c>
      <c r="EM129" s="228">
        <v>897.96</v>
      </c>
      <c r="EN129" s="228">
        <v>289.51</v>
      </c>
      <c r="EO129" s="231">
        <v>12140.81</v>
      </c>
      <c r="EP129" s="231">
        <v>12750.61</v>
      </c>
      <c r="EQ129" s="228">
        <v>-609.79999999999995</v>
      </c>
      <c r="ER129" s="229">
        <v>-4.7800000000000002E-2</v>
      </c>
      <c r="ES129" s="231">
        <v>3997.66</v>
      </c>
      <c r="ET129" s="231">
        <v>1976.11</v>
      </c>
      <c r="EU129" s="231">
        <v>4597.32</v>
      </c>
      <c r="EV129" s="231">
        <v>16752897</v>
      </c>
      <c r="EW129" s="231">
        <v>10571.1</v>
      </c>
      <c r="EX129" s="231">
        <v>10351.17</v>
      </c>
      <c r="EY129" s="228">
        <v>219.93</v>
      </c>
      <c r="EZ129" s="229">
        <v>2.12E-2</v>
      </c>
      <c r="FA129" s="229">
        <v>0.39090000000000003</v>
      </c>
      <c r="FB129" s="227" t="s">
        <v>556</v>
      </c>
      <c r="FC129">
        <f t="shared" si="1"/>
        <v>117</v>
      </c>
    </row>
    <row r="130" spans="1:159" ht="17.25" thickBot="1" x14ac:dyDescent="0.3">
      <c r="A130" s="226">
        <v>45936</v>
      </c>
      <c r="B130" s="227" t="s">
        <v>170</v>
      </c>
      <c r="C130" s="227" t="s">
        <v>604</v>
      </c>
      <c r="D130" s="228">
        <v>525</v>
      </c>
      <c r="E130" s="228">
        <v>22</v>
      </c>
      <c r="F130" s="231">
        <v>1143.2</v>
      </c>
      <c r="G130" s="231">
        <v>1073.5</v>
      </c>
      <c r="H130" s="228">
        <v>69.7</v>
      </c>
      <c r="I130" s="229">
        <v>6.4899999999999999E-2</v>
      </c>
      <c r="J130" s="231">
        <v>1139.7</v>
      </c>
      <c r="K130" s="231">
        <v>1069.2</v>
      </c>
      <c r="L130" s="228">
        <v>70.5</v>
      </c>
      <c r="M130" s="229">
        <v>6.59E-2</v>
      </c>
      <c r="N130" s="231">
        <v>1143.2</v>
      </c>
      <c r="O130" s="231">
        <v>1073.5</v>
      </c>
      <c r="P130" s="228">
        <v>69.7</v>
      </c>
      <c r="Q130" s="229">
        <v>6.4899999999999999E-2</v>
      </c>
      <c r="R130" s="231">
        <v>1149</v>
      </c>
      <c r="S130" s="231">
        <v>1080</v>
      </c>
      <c r="T130" s="228">
        <v>69</v>
      </c>
      <c r="U130" s="229">
        <v>6.3899999999999998E-2</v>
      </c>
      <c r="V130" s="231">
        <v>1153.5999999999999</v>
      </c>
      <c r="W130" s="231">
        <v>1086.4000000000001</v>
      </c>
      <c r="X130" s="228">
        <v>67.2</v>
      </c>
      <c r="Y130" s="229">
        <v>6.1899999999999997E-2</v>
      </c>
      <c r="Z130" s="228">
        <v>3.5</v>
      </c>
      <c r="AA130" s="228">
        <v>4.3</v>
      </c>
      <c r="AB130" s="228">
        <v>-0.8</v>
      </c>
      <c r="AC130" s="229">
        <v>3.0999999999999999E-3</v>
      </c>
      <c r="AD130" s="228">
        <v>3.5</v>
      </c>
      <c r="AE130" s="228">
        <v>4.3</v>
      </c>
      <c r="AF130" s="228">
        <v>-0.8</v>
      </c>
      <c r="AG130" s="229">
        <v>3.0999999999999999E-3</v>
      </c>
      <c r="AH130" s="228">
        <v>9.3000000000000007</v>
      </c>
      <c r="AI130" s="228">
        <v>10.8</v>
      </c>
      <c r="AJ130" s="228">
        <v>-1.5</v>
      </c>
      <c r="AK130" s="229">
        <v>8.2000000000000007E-3</v>
      </c>
      <c r="AL130" s="228">
        <v>13.9</v>
      </c>
      <c r="AM130" s="228">
        <v>17.2</v>
      </c>
      <c r="AN130" s="228">
        <v>-3.3</v>
      </c>
      <c r="AO130" s="229">
        <v>1.2200000000000001E-2</v>
      </c>
      <c r="AP130" s="231">
        <v>1122.43</v>
      </c>
      <c r="AQ130" s="231">
        <v>1126.17</v>
      </c>
      <c r="AR130" s="228">
        <v>0</v>
      </c>
      <c r="AS130" s="228">
        <v>932</v>
      </c>
      <c r="AT130" s="228">
        <v>499</v>
      </c>
      <c r="AU130" s="228">
        <v>433</v>
      </c>
      <c r="AV130" s="229">
        <v>0.86680000000000001</v>
      </c>
      <c r="AW130" s="228">
        <v>883</v>
      </c>
      <c r="AX130" s="228">
        <v>465</v>
      </c>
      <c r="AY130" s="228">
        <v>417</v>
      </c>
      <c r="AZ130" s="229">
        <v>0.8962</v>
      </c>
      <c r="BA130" s="228">
        <v>42</v>
      </c>
      <c r="BB130" s="228">
        <v>30</v>
      </c>
      <c r="BC130" s="228">
        <v>13</v>
      </c>
      <c r="BD130" s="229">
        <v>0.42709999999999998</v>
      </c>
      <c r="BE130" s="228">
        <v>7</v>
      </c>
      <c r="BF130" s="228">
        <v>4</v>
      </c>
      <c r="BG130" s="228">
        <v>3</v>
      </c>
      <c r="BH130" s="229">
        <v>0.69699999999999995</v>
      </c>
      <c r="BI130" s="230">
        <v>3725</v>
      </c>
      <c r="BJ130" s="230">
        <v>1524</v>
      </c>
      <c r="BK130" s="230">
        <v>2201</v>
      </c>
      <c r="BL130" s="229">
        <v>1.4439</v>
      </c>
      <c r="BM130" s="230">
        <v>1727</v>
      </c>
      <c r="BN130" s="230">
        <v>1286</v>
      </c>
      <c r="BO130" s="228">
        <v>441</v>
      </c>
      <c r="BP130" s="229">
        <v>0.34260000000000002</v>
      </c>
      <c r="BQ130" s="230">
        <v>6384</v>
      </c>
      <c r="BR130" s="230">
        <v>3310</v>
      </c>
      <c r="BS130" s="230">
        <v>3074</v>
      </c>
      <c r="BT130" s="229">
        <v>0.92889999999999995</v>
      </c>
      <c r="BU130" s="230">
        <v>8798675</v>
      </c>
      <c r="BV130" s="230">
        <v>6094094</v>
      </c>
      <c r="BW130" s="230">
        <v>2704581</v>
      </c>
      <c r="BX130" s="229">
        <v>0.44379999999999997</v>
      </c>
      <c r="BY130" s="230">
        <v>2059</v>
      </c>
      <c r="BZ130" s="230">
        <v>2148</v>
      </c>
      <c r="CA130" s="228">
        <v>-89</v>
      </c>
      <c r="CB130" s="229">
        <v>-4.1500000000000002E-2</v>
      </c>
      <c r="CC130" s="230">
        <v>2030</v>
      </c>
      <c r="CD130" s="230">
        <v>2106</v>
      </c>
      <c r="CE130" s="228">
        <v>-77</v>
      </c>
      <c r="CF130" s="229">
        <v>-3.6400000000000002E-2</v>
      </c>
      <c r="CG130" s="228">
        <v>27</v>
      </c>
      <c r="CH130" s="228">
        <v>38</v>
      </c>
      <c r="CI130" s="228">
        <v>-11</v>
      </c>
      <c r="CJ130" s="229">
        <v>-0.2989</v>
      </c>
      <c r="CK130" s="228">
        <v>3</v>
      </c>
      <c r="CL130" s="228">
        <v>4</v>
      </c>
      <c r="CM130" s="228">
        <v>-1</v>
      </c>
      <c r="CN130" s="229">
        <v>-0.28810000000000002</v>
      </c>
      <c r="CO130" s="228">
        <v>407</v>
      </c>
      <c r="CP130" s="228">
        <v>565</v>
      </c>
      <c r="CQ130" s="228">
        <v>-158</v>
      </c>
      <c r="CR130" s="229">
        <v>-0.27900000000000003</v>
      </c>
      <c r="CS130" s="228">
        <v>334</v>
      </c>
      <c r="CT130" s="228">
        <v>282</v>
      </c>
      <c r="CU130" s="228">
        <v>53</v>
      </c>
      <c r="CV130" s="229">
        <v>0.18659999999999999</v>
      </c>
      <c r="CW130" s="230">
        <v>2801</v>
      </c>
      <c r="CX130" s="230">
        <v>2995</v>
      </c>
      <c r="CY130" s="228">
        <v>-194</v>
      </c>
      <c r="CZ130" s="229">
        <v>-6.4899999999999999E-2</v>
      </c>
      <c r="DA130" s="228">
        <v>28.43</v>
      </c>
      <c r="DB130" s="228">
        <v>28.6</v>
      </c>
      <c r="DC130" s="228">
        <v>-0.17</v>
      </c>
      <c r="DD130" s="228">
        <v>-0.17</v>
      </c>
      <c r="DE130" s="228">
        <v>41.77</v>
      </c>
      <c r="DF130" s="228">
        <v>40.97</v>
      </c>
      <c r="DG130" s="228">
        <v>-13.34</v>
      </c>
      <c r="DH130" s="228">
        <v>0.8</v>
      </c>
      <c r="DI130" s="228">
        <v>27.7</v>
      </c>
      <c r="DJ130" s="228">
        <v>28.74</v>
      </c>
      <c r="DK130" s="228">
        <v>-1.04</v>
      </c>
      <c r="DL130" s="228">
        <v>-1.04</v>
      </c>
      <c r="DM130" s="228">
        <v>30</v>
      </c>
      <c r="DN130" s="228">
        <v>28.44</v>
      </c>
      <c r="DO130" s="228">
        <v>1.56</v>
      </c>
      <c r="DP130" s="228">
        <v>1.56</v>
      </c>
      <c r="DQ130" s="228">
        <v>0.82</v>
      </c>
      <c r="DR130" s="228">
        <v>0.5</v>
      </c>
      <c r="DS130" s="228">
        <v>0.32</v>
      </c>
      <c r="DT130" s="229">
        <v>0.64</v>
      </c>
      <c r="DU130" s="231">
        <v>1200</v>
      </c>
      <c r="DV130" s="231">
        <v>1060</v>
      </c>
      <c r="DW130" s="228">
        <v>0.46</v>
      </c>
      <c r="DX130" s="228">
        <v>0.84</v>
      </c>
      <c r="DY130" s="228">
        <v>-0.38</v>
      </c>
      <c r="DZ130" s="229">
        <v>-0.45240000000000002</v>
      </c>
      <c r="EA130" s="229">
        <v>1.43E-2</v>
      </c>
      <c r="EB130" s="230">
        <v>366450</v>
      </c>
      <c r="EC130" s="229">
        <v>5.1000000000000004E-3</v>
      </c>
      <c r="ED130" s="229">
        <v>1.43E-2</v>
      </c>
      <c r="EE130" s="228">
        <v>3.74</v>
      </c>
      <c r="EF130" s="229">
        <v>3.3E-3</v>
      </c>
      <c r="EG130" s="230">
        <v>3355792</v>
      </c>
      <c r="EH130" s="230">
        <v>3600769</v>
      </c>
      <c r="EI130" s="229">
        <v>-6.8000000000000005E-2</v>
      </c>
      <c r="EJ130" s="229">
        <v>0.38140000000000002</v>
      </c>
      <c r="EK130" s="231">
        <v>3828.24</v>
      </c>
      <c r="EL130" s="231">
        <v>1663.26</v>
      </c>
      <c r="EM130" s="228">
        <v>914.98</v>
      </c>
      <c r="EN130" s="228">
        <v>178.2</v>
      </c>
      <c r="EO130" s="231">
        <v>6406.48</v>
      </c>
      <c r="EP130" s="231">
        <v>3198.8</v>
      </c>
      <c r="EQ130" s="231">
        <v>3207.68</v>
      </c>
      <c r="ER130" s="229">
        <v>1.0027999999999999</v>
      </c>
      <c r="ES130" s="228">
        <v>419.72</v>
      </c>
      <c r="ET130" s="228">
        <v>321.24</v>
      </c>
      <c r="EU130" s="231">
        <v>2059.2600000000002</v>
      </c>
      <c r="EV130" s="231">
        <v>97211768</v>
      </c>
      <c r="EW130" s="231">
        <v>2800.22</v>
      </c>
      <c r="EX130" s="231">
        <v>2856.21</v>
      </c>
      <c r="EY130" s="228">
        <v>-55.99</v>
      </c>
      <c r="EZ130" s="229">
        <v>-1.9599999999999999E-2</v>
      </c>
      <c r="FA130" s="229">
        <v>0.252</v>
      </c>
      <c r="FB130" s="227" t="s">
        <v>556</v>
      </c>
      <c r="FC130">
        <f t="shared" si="1"/>
        <v>29</v>
      </c>
    </row>
    <row r="131" spans="1:159" ht="17.25" thickBot="1" x14ac:dyDescent="0.3">
      <c r="A131" s="226">
        <v>45936</v>
      </c>
      <c r="B131" s="227" t="s">
        <v>215</v>
      </c>
      <c r="C131" s="227" t="s">
        <v>675</v>
      </c>
      <c r="D131" s="228">
        <v>175</v>
      </c>
      <c r="E131" s="228">
        <v>22</v>
      </c>
      <c r="F131" s="231">
        <v>2904.7</v>
      </c>
      <c r="G131" s="231">
        <v>2900.5</v>
      </c>
      <c r="H131" s="228">
        <v>4.2</v>
      </c>
      <c r="I131" s="229">
        <v>1.4E-3</v>
      </c>
      <c r="J131" s="231">
        <v>2888</v>
      </c>
      <c r="K131" s="231">
        <v>2881.3</v>
      </c>
      <c r="L131" s="228">
        <v>6.7</v>
      </c>
      <c r="M131" s="229">
        <v>2.3E-3</v>
      </c>
      <c r="N131" s="231">
        <v>2904.7</v>
      </c>
      <c r="O131" s="231">
        <v>2900.5</v>
      </c>
      <c r="P131" s="228">
        <v>4.2</v>
      </c>
      <c r="Q131" s="229">
        <v>1.4E-3</v>
      </c>
      <c r="R131" s="231">
        <v>2912.6</v>
      </c>
      <c r="S131" s="231">
        <v>2909.6</v>
      </c>
      <c r="T131" s="228">
        <v>3</v>
      </c>
      <c r="U131" s="229">
        <v>1E-3</v>
      </c>
      <c r="V131" s="231">
        <v>2921.4</v>
      </c>
      <c r="W131" s="231">
        <v>2926.3</v>
      </c>
      <c r="X131" s="228">
        <v>-4.9000000000000004</v>
      </c>
      <c r="Y131" s="229">
        <v>-1.6999999999999999E-3</v>
      </c>
      <c r="Z131" s="228">
        <v>16.7</v>
      </c>
      <c r="AA131" s="228">
        <v>19.2</v>
      </c>
      <c r="AB131" s="228">
        <v>-2.5</v>
      </c>
      <c r="AC131" s="229">
        <v>5.7999999999999996E-3</v>
      </c>
      <c r="AD131" s="228">
        <v>16.7</v>
      </c>
      <c r="AE131" s="228">
        <v>19.2</v>
      </c>
      <c r="AF131" s="228">
        <v>-2.5</v>
      </c>
      <c r="AG131" s="229">
        <v>5.7999999999999996E-3</v>
      </c>
      <c r="AH131" s="228">
        <v>24.6</v>
      </c>
      <c r="AI131" s="228">
        <v>28.3</v>
      </c>
      <c r="AJ131" s="228">
        <v>-3.7</v>
      </c>
      <c r="AK131" s="229">
        <v>8.5000000000000006E-3</v>
      </c>
      <c r="AL131" s="228">
        <v>33.4</v>
      </c>
      <c r="AM131" s="228">
        <v>45</v>
      </c>
      <c r="AN131" s="228">
        <v>-11.6</v>
      </c>
      <c r="AO131" s="229">
        <v>1.1599999999999999E-2</v>
      </c>
      <c r="AP131" s="231">
        <v>2898.34</v>
      </c>
      <c r="AQ131" s="231">
        <v>2906.26</v>
      </c>
      <c r="AR131" s="228">
        <v>0</v>
      </c>
      <c r="AS131" s="228">
        <v>135</v>
      </c>
      <c r="AT131" s="228">
        <v>175</v>
      </c>
      <c r="AU131" s="228">
        <v>-40</v>
      </c>
      <c r="AV131" s="229">
        <v>-0.22969999999999999</v>
      </c>
      <c r="AW131" s="228">
        <v>123</v>
      </c>
      <c r="AX131" s="228">
        <v>169</v>
      </c>
      <c r="AY131" s="228">
        <v>-46</v>
      </c>
      <c r="AZ131" s="229">
        <v>-0.27089999999999997</v>
      </c>
      <c r="BA131" s="228">
        <v>10</v>
      </c>
      <c r="BB131" s="228">
        <v>6</v>
      </c>
      <c r="BC131" s="228">
        <v>5</v>
      </c>
      <c r="BD131" s="229">
        <v>0.82879999999999998</v>
      </c>
      <c r="BE131" s="228">
        <v>2</v>
      </c>
      <c r="BF131" s="228">
        <v>1</v>
      </c>
      <c r="BG131" s="228">
        <v>1</v>
      </c>
      <c r="BH131" s="229">
        <v>1.0667</v>
      </c>
      <c r="BI131" s="228">
        <v>621</v>
      </c>
      <c r="BJ131" s="228">
        <v>775</v>
      </c>
      <c r="BK131" s="228">
        <v>-154</v>
      </c>
      <c r="BL131" s="229">
        <v>-0.19869999999999999</v>
      </c>
      <c r="BM131" s="228">
        <v>240</v>
      </c>
      <c r="BN131" s="228">
        <v>192</v>
      </c>
      <c r="BO131" s="228">
        <v>48</v>
      </c>
      <c r="BP131" s="229">
        <v>0.24929999999999999</v>
      </c>
      <c r="BQ131" s="228">
        <v>997</v>
      </c>
      <c r="BR131" s="230">
        <v>1143</v>
      </c>
      <c r="BS131" s="228">
        <v>-146</v>
      </c>
      <c r="BT131" s="229">
        <v>-0.128</v>
      </c>
      <c r="BU131" s="230">
        <v>695094</v>
      </c>
      <c r="BV131" s="230">
        <v>1078089</v>
      </c>
      <c r="BW131" s="230">
        <v>-382995</v>
      </c>
      <c r="BX131" s="229">
        <v>-0.3553</v>
      </c>
      <c r="BY131" s="230">
        <v>1033</v>
      </c>
      <c r="BZ131" s="230">
        <v>1033</v>
      </c>
      <c r="CA131" s="228">
        <v>-1</v>
      </c>
      <c r="CB131" s="229">
        <v>-6.9999999999999999E-4</v>
      </c>
      <c r="CC131" s="228">
        <v>994</v>
      </c>
      <c r="CD131" s="228">
        <v>996</v>
      </c>
      <c r="CE131" s="228">
        <v>-2</v>
      </c>
      <c r="CF131" s="229">
        <v>-2.5000000000000001E-3</v>
      </c>
      <c r="CG131" s="228">
        <v>37</v>
      </c>
      <c r="CH131" s="228">
        <v>36</v>
      </c>
      <c r="CI131" s="228">
        <v>1</v>
      </c>
      <c r="CJ131" s="229">
        <v>3.2500000000000001E-2</v>
      </c>
      <c r="CK131" s="228">
        <v>2</v>
      </c>
      <c r="CL131" s="228">
        <v>1</v>
      </c>
      <c r="CM131" s="228">
        <v>1</v>
      </c>
      <c r="CN131" s="229">
        <v>0.5</v>
      </c>
      <c r="CO131" s="228">
        <v>554</v>
      </c>
      <c r="CP131" s="228">
        <v>526</v>
      </c>
      <c r="CQ131" s="228">
        <v>28</v>
      </c>
      <c r="CR131" s="229">
        <v>5.4100000000000002E-2</v>
      </c>
      <c r="CS131" s="228">
        <v>340</v>
      </c>
      <c r="CT131" s="228">
        <v>312</v>
      </c>
      <c r="CU131" s="228">
        <v>28</v>
      </c>
      <c r="CV131" s="229">
        <v>8.9700000000000002E-2</v>
      </c>
      <c r="CW131" s="230">
        <v>1927</v>
      </c>
      <c r="CX131" s="230">
        <v>1872</v>
      </c>
      <c r="CY131" s="228">
        <v>56</v>
      </c>
      <c r="CZ131" s="229">
        <v>2.98E-2</v>
      </c>
      <c r="DA131" s="228">
        <v>36.130000000000003</v>
      </c>
      <c r="DB131" s="228">
        <v>34.340000000000003</v>
      </c>
      <c r="DC131" s="228">
        <v>1.79</v>
      </c>
      <c r="DD131" s="228">
        <v>1.79</v>
      </c>
      <c r="DE131" s="228">
        <v>60.65</v>
      </c>
      <c r="DF131" s="228">
        <v>60.81</v>
      </c>
      <c r="DG131" s="228">
        <v>-24.52</v>
      </c>
      <c r="DH131" s="228">
        <v>-0.16</v>
      </c>
      <c r="DI131" s="228">
        <v>36.19</v>
      </c>
      <c r="DJ131" s="228">
        <v>34.24</v>
      </c>
      <c r="DK131" s="228">
        <v>1.95</v>
      </c>
      <c r="DL131" s="228">
        <v>1.95</v>
      </c>
      <c r="DM131" s="228">
        <v>35.96</v>
      </c>
      <c r="DN131" s="228">
        <v>34.72</v>
      </c>
      <c r="DO131" s="228">
        <v>1.24</v>
      </c>
      <c r="DP131" s="228">
        <v>1.24</v>
      </c>
      <c r="DQ131" s="228">
        <v>0.61</v>
      </c>
      <c r="DR131" s="228">
        <v>0.59</v>
      </c>
      <c r="DS131" s="228">
        <v>0.02</v>
      </c>
      <c r="DT131" s="229">
        <v>3.39E-2</v>
      </c>
      <c r="DU131" s="231">
        <v>3000</v>
      </c>
      <c r="DV131" s="231">
        <v>2800</v>
      </c>
      <c r="DW131" s="228">
        <v>0.39</v>
      </c>
      <c r="DX131" s="228">
        <v>0.25</v>
      </c>
      <c r="DY131" s="228">
        <v>0.14000000000000001</v>
      </c>
      <c r="DZ131" s="229">
        <v>0.56000000000000005</v>
      </c>
      <c r="EA131" s="229">
        <v>3.7600000000000001E-2</v>
      </c>
      <c r="EB131" s="230">
        <v>127750</v>
      </c>
      <c r="EC131" s="229">
        <v>2.7000000000000001E-3</v>
      </c>
      <c r="ED131" s="229">
        <v>3.7600000000000001E-2</v>
      </c>
      <c r="EE131" s="228">
        <v>7.92</v>
      </c>
      <c r="EF131" s="229">
        <v>2.7000000000000001E-3</v>
      </c>
      <c r="EG131" s="230">
        <v>180938</v>
      </c>
      <c r="EH131" s="230">
        <v>288440</v>
      </c>
      <c r="EI131" s="229">
        <v>-0.37269999999999998</v>
      </c>
      <c r="EJ131" s="229">
        <v>0.26029999999999998</v>
      </c>
      <c r="EK131" s="228">
        <v>658.39</v>
      </c>
      <c r="EL131" s="228">
        <v>237.08</v>
      </c>
      <c r="EM131" s="228">
        <v>134.76</v>
      </c>
      <c r="EN131" s="228">
        <v>109.01</v>
      </c>
      <c r="EO131" s="231">
        <v>1030.22</v>
      </c>
      <c r="EP131" s="231">
        <v>1172.03</v>
      </c>
      <c r="EQ131" s="228">
        <v>-141.81</v>
      </c>
      <c r="ER131" s="229">
        <v>-0.121</v>
      </c>
      <c r="ES131" s="228">
        <v>581.09</v>
      </c>
      <c r="ET131" s="228">
        <v>328.1</v>
      </c>
      <c r="EU131" s="231">
        <v>1032.77</v>
      </c>
      <c r="EV131" s="231">
        <v>11364224</v>
      </c>
      <c r="EW131" s="231">
        <v>1941.96</v>
      </c>
      <c r="EX131" s="231">
        <v>1882.27</v>
      </c>
      <c r="EY131" s="228">
        <v>59.69</v>
      </c>
      <c r="EZ131" s="229">
        <v>3.1699999999999999E-2</v>
      </c>
      <c r="FA131" s="229">
        <v>0.58389999999999997</v>
      </c>
      <c r="FB131" s="227" t="s">
        <v>556</v>
      </c>
      <c r="FC131">
        <f t="shared" ref="FC131:FC147" si="2">BY131-CC131</f>
        <v>39</v>
      </c>
    </row>
    <row r="132" spans="1:159" ht="17.25" thickBot="1" x14ac:dyDescent="0.3">
      <c r="A132" s="226">
        <v>45936</v>
      </c>
      <c r="B132" s="227" t="s">
        <v>175</v>
      </c>
      <c r="C132" s="227" t="s">
        <v>517</v>
      </c>
      <c r="D132" s="228">
        <v>125</v>
      </c>
      <c r="E132" s="228">
        <v>22</v>
      </c>
      <c r="F132" s="231">
        <v>8245</v>
      </c>
      <c r="G132" s="231">
        <v>8202.5</v>
      </c>
      <c r="H132" s="228">
        <v>42.5</v>
      </c>
      <c r="I132" s="229">
        <v>5.1999999999999998E-3</v>
      </c>
      <c r="J132" s="231">
        <v>8192</v>
      </c>
      <c r="K132" s="231">
        <v>8145</v>
      </c>
      <c r="L132" s="228">
        <v>47</v>
      </c>
      <c r="M132" s="229">
        <v>5.7999999999999996E-3</v>
      </c>
      <c r="N132" s="231">
        <v>8245</v>
      </c>
      <c r="O132" s="231">
        <v>8202.5</v>
      </c>
      <c r="P132" s="228">
        <v>42.5</v>
      </c>
      <c r="Q132" s="229">
        <v>5.1999999999999998E-3</v>
      </c>
      <c r="R132" s="231">
        <v>8285</v>
      </c>
      <c r="S132" s="231">
        <v>8243</v>
      </c>
      <c r="T132" s="228">
        <v>42</v>
      </c>
      <c r="U132" s="229">
        <v>5.1000000000000004E-3</v>
      </c>
      <c r="V132" s="231">
        <v>8323</v>
      </c>
      <c r="W132" s="231">
        <v>8280</v>
      </c>
      <c r="X132" s="228">
        <v>43</v>
      </c>
      <c r="Y132" s="229">
        <v>5.1999999999999998E-3</v>
      </c>
      <c r="Z132" s="228">
        <v>53</v>
      </c>
      <c r="AA132" s="228">
        <v>57.5</v>
      </c>
      <c r="AB132" s="228">
        <v>-4.5</v>
      </c>
      <c r="AC132" s="229">
        <v>6.4999999999999997E-3</v>
      </c>
      <c r="AD132" s="228">
        <v>53</v>
      </c>
      <c r="AE132" s="228">
        <v>57.5</v>
      </c>
      <c r="AF132" s="228">
        <v>-4.5</v>
      </c>
      <c r="AG132" s="229">
        <v>6.4999999999999997E-3</v>
      </c>
      <c r="AH132" s="228">
        <v>93</v>
      </c>
      <c r="AI132" s="228">
        <v>98</v>
      </c>
      <c r="AJ132" s="228">
        <v>-5</v>
      </c>
      <c r="AK132" s="229">
        <v>1.14E-2</v>
      </c>
      <c r="AL132" s="228">
        <v>131</v>
      </c>
      <c r="AM132" s="228">
        <v>135</v>
      </c>
      <c r="AN132" s="228">
        <v>-4</v>
      </c>
      <c r="AO132" s="229">
        <v>1.6E-2</v>
      </c>
      <c r="AP132" s="231">
        <v>8264.84</v>
      </c>
      <c r="AQ132" s="231">
        <v>8302.01</v>
      </c>
      <c r="AR132" s="228">
        <v>0</v>
      </c>
      <c r="AS132" s="228">
        <v>564</v>
      </c>
      <c r="AT132" s="228">
        <v>655</v>
      </c>
      <c r="AU132" s="228">
        <v>-92</v>
      </c>
      <c r="AV132" s="229">
        <v>-0.13969999999999999</v>
      </c>
      <c r="AW132" s="228">
        <v>533</v>
      </c>
      <c r="AX132" s="228">
        <v>615</v>
      </c>
      <c r="AY132" s="228">
        <v>-82</v>
      </c>
      <c r="AZ132" s="229">
        <v>-0.13300000000000001</v>
      </c>
      <c r="BA132" s="228">
        <v>28</v>
      </c>
      <c r="BB132" s="228">
        <v>35</v>
      </c>
      <c r="BC132" s="228">
        <v>-7</v>
      </c>
      <c r="BD132" s="229">
        <v>-0.20180000000000001</v>
      </c>
      <c r="BE132" s="228">
        <v>3</v>
      </c>
      <c r="BF132" s="228">
        <v>5</v>
      </c>
      <c r="BG132" s="228">
        <v>-3</v>
      </c>
      <c r="BH132" s="229">
        <v>-0.5</v>
      </c>
      <c r="BI132" s="230">
        <v>2519</v>
      </c>
      <c r="BJ132" s="230">
        <v>3885</v>
      </c>
      <c r="BK132" s="230">
        <v>-1367</v>
      </c>
      <c r="BL132" s="229">
        <v>-0.3518</v>
      </c>
      <c r="BM132" s="230">
        <v>1152</v>
      </c>
      <c r="BN132" s="230">
        <v>1469</v>
      </c>
      <c r="BO132" s="228">
        <v>-318</v>
      </c>
      <c r="BP132" s="229">
        <v>-0.21629999999999999</v>
      </c>
      <c r="BQ132" s="230">
        <v>4234</v>
      </c>
      <c r="BR132" s="230">
        <v>6010</v>
      </c>
      <c r="BS132" s="230">
        <v>-1776</v>
      </c>
      <c r="BT132" s="229">
        <v>-0.29549999999999998</v>
      </c>
      <c r="BU132" s="230">
        <v>343729</v>
      </c>
      <c r="BV132" s="230">
        <v>510395</v>
      </c>
      <c r="BW132" s="230">
        <v>-166666</v>
      </c>
      <c r="BX132" s="229">
        <v>-0.32650000000000001</v>
      </c>
      <c r="BY132" s="230">
        <v>2007</v>
      </c>
      <c r="BZ132" s="230">
        <v>1970</v>
      </c>
      <c r="CA132" s="228">
        <v>37</v>
      </c>
      <c r="CB132" s="229">
        <v>1.8700000000000001E-2</v>
      </c>
      <c r="CC132" s="230">
        <v>1960</v>
      </c>
      <c r="CD132" s="230">
        <v>1926</v>
      </c>
      <c r="CE132" s="228">
        <v>34</v>
      </c>
      <c r="CF132" s="229">
        <v>1.77E-2</v>
      </c>
      <c r="CG132" s="228">
        <v>40</v>
      </c>
      <c r="CH132" s="228">
        <v>39</v>
      </c>
      <c r="CI132" s="228">
        <v>2</v>
      </c>
      <c r="CJ132" s="229">
        <v>3.9899999999999998E-2</v>
      </c>
      <c r="CK132" s="228">
        <v>6</v>
      </c>
      <c r="CL132" s="228">
        <v>5</v>
      </c>
      <c r="CM132" s="228">
        <v>1</v>
      </c>
      <c r="CN132" s="229">
        <v>0.23530000000000001</v>
      </c>
      <c r="CO132" s="230">
        <v>1115</v>
      </c>
      <c r="CP132" s="230">
        <v>1030</v>
      </c>
      <c r="CQ132" s="228">
        <v>85</v>
      </c>
      <c r="CR132" s="229">
        <v>8.2799999999999999E-2</v>
      </c>
      <c r="CS132" s="228">
        <v>749</v>
      </c>
      <c r="CT132" s="228">
        <v>710</v>
      </c>
      <c r="CU132" s="228">
        <v>39</v>
      </c>
      <c r="CV132" s="229">
        <v>5.5300000000000002E-2</v>
      </c>
      <c r="CW132" s="230">
        <v>3871</v>
      </c>
      <c r="CX132" s="230">
        <v>3710</v>
      </c>
      <c r="CY132" s="228">
        <v>161</v>
      </c>
      <c r="CZ132" s="229">
        <v>4.3499999999999997E-2</v>
      </c>
      <c r="DA132" s="228">
        <v>33.130000000000003</v>
      </c>
      <c r="DB132" s="228">
        <v>32.39</v>
      </c>
      <c r="DC132" s="228">
        <v>0.74</v>
      </c>
      <c r="DD132" s="228">
        <v>0.74</v>
      </c>
      <c r="DE132" s="228">
        <v>46.94</v>
      </c>
      <c r="DF132" s="228">
        <v>47.05</v>
      </c>
      <c r="DG132" s="228">
        <v>-13.81</v>
      </c>
      <c r="DH132" s="228">
        <v>-0.11</v>
      </c>
      <c r="DI132" s="228">
        <v>32.869999999999997</v>
      </c>
      <c r="DJ132" s="228">
        <v>32.04</v>
      </c>
      <c r="DK132" s="228">
        <v>0.83</v>
      </c>
      <c r="DL132" s="228">
        <v>0.83</v>
      </c>
      <c r="DM132" s="228">
        <v>33.68</v>
      </c>
      <c r="DN132" s="228">
        <v>33.299999999999997</v>
      </c>
      <c r="DO132" s="228">
        <v>0.38</v>
      </c>
      <c r="DP132" s="228">
        <v>0.38</v>
      </c>
      <c r="DQ132" s="228">
        <v>0.67</v>
      </c>
      <c r="DR132" s="228">
        <v>0.69</v>
      </c>
      <c r="DS132" s="228">
        <v>-0.02</v>
      </c>
      <c r="DT132" s="229">
        <v>-2.9000000000000001E-2</v>
      </c>
      <c r="DU132" s="231">
        <v>8200</v>
      </c>
      <c r="DV132" s="231">
        <v>8000</v>
      </c>
      <c r="DW132" s="228">
        <v>0.46</v>
      </c>
      <c r="DX132" s="228">
        <v>0.38</v>
      </c>
      <c r="DY132" s="228">
        <v>0.08</v>
      </c>
      <c r="DZ132" s="229">
        <v>0.21049999999999999</v>
      </c>
      <c r="EA132" s="229">
        <v>2.3300000000000001E-2</v>
      </c>
      <c r="EB132" s="230">
        <v>53375</v>
      </c>
      <c r="EC132" s="229">
        <v>4.8999999999999998E-3</v>
      </c>
      <c r="ED132" s="229">
        <v>2.3300000000000001E-2</v>
      </c>
      <c r="EE132" s="228">
        <v>37.17</v>
      </c>
      <c r="EF132" s="229">
        <v>4.4999999999999997E-3</v>
      </c>
      <c r="EG132" s="230">
        <v>126904</v>
      </c>
      <c r="EH132" s="230">
        <v>154754</v>
      </c>
      <c r="EI132" s="229">
        <v>-0.18</v>
      </c>
      <c r="EJ132" s="229">
        <v>0.36919999999999997</v>
      </c>
      <c r="EK132" s="231">
        <v>2648.21</v>
      </c>
      <c r="EL132" s="231">
        <v>1110.55</v>
      </c>
      <c r="EM132" s="228">
        <v>565.26</v>
      </c>
      <c r="EN132" s="228">
        <v>94.26</v>
      </c>
      <c r="EO132" s="231">
        <v>4324.0200000000004</v>
      </c>
      <c r="EP132" s="231">
        <v>6122.29</v>
      </c>
      <c r="EQ132" s="231">
        <v>-1798.26</v>
      </c>
      <c r="ER132" s="229">
        <v>-0.29370000000000002</v>
      </c>
      <c r="ES132" s="231">
        <v>1142.54</v>
      </c>
      <c r="ET132" s="228">
        <v>697.19</v>
      </c>
      <c r="EU132" s="231">
        <v>2006.88</v>
      </c>
      <c r="EV132" s="231">
        <v>7635422</v>
      </c>
      <c r="EW132" s="231">
        <v>3846.61</v>
      </c>
      <c r="EX132" s="231">
        <v>3669.24</v>
      </c>
      <c r="EY132" s="228">
        <v>177.37</v>
      </c>
      <c r="EZ132" s="229">
        <v>4.8300000000000003E-2</v>
      </c>
      <c r="FA132" s="229">
        <v>0.6149</v>
      </c>
      <c r="FB132" s="227" t="s">
        <v>555</v>
      </c>
      <c r="FC132">
        <f t="shared" si="2"/>
        <v>47</v>
      </c>
    </row>
    <row r="133" spans="1:159" ht="17.25" thickBot="1" x14ac:dyDescent="0.3">
      <c r="A133" s="226">
        <v>45936</v>
      </c>
      <c r="B133" s="227" t="s">
        <v>175</v>
      </c>
      <c r="C133" s="227" t="s">
        <v>257</v>
      </c>
      <c r="D133" s="228">
        <v>800</v>
      </c>
      <c r="E133" s="228">
        <v>22</v>
      </c>
      <c r="F133" s="231">
        <v>1613.1</v>
      </c>
      <c r="G133" s="231">
        <v>1615.1</v>
      </c>
      <c r="H133" s="228">
        <v>-2</v>
      </c>
      <c r="I133" s="229">
        <v>-1.1999999999999999E-3</v>
      </c>
      <c r="J133" s="231">
        <v>1605.4</v>
      </c>
      <c r="K133" s="231">
        <v>1604.1</v>
      </c>
      <c r="L133" s="228">
        <v>1.3</v>
      </c>
      <c r="M133" s="229">
        <v>8.0000000000000004E-4</v>
      </c>
      <c r="N133" s="231">
        <v>1613.1</v>
      </c>
      <c r="O133" s="231">
        <v>1615.1</v>
      </c>
      <c r="P133" s="228">
        <v>-2</v>
      </c>
      <c r="Q133" s="229">
        <v>-1.1999999999999999E-3</v>
      </c>
      <c r="R133" s="231">
        <v>1616.2</v>
      </c>
      <c r="S133" s="231">
        <v>1622.9</v>
      </c>
      <c r="T133" s="228">
        <v>-6.7</v>
      </c>
      <c r="U133" s="229">
        <v>-4.1000000000000003E-3</v>
      </c>
      <c r="V133" s="231">
        <v>1645</v>
      </c>
      <c r="W133" s="231">
        <v>1645</v>
      </c>
      <c r="X133" s="228">
        <v>0</v>
      </c>
      <c r="Y133" s="229">
        <v>0</v>
      </c>
      <c r="Z133" s="228">
        <v>7.7</v>
      </c>
      <c r="AA133" s="228">
        <v>11</v>
      </c>
      <c r="AB133" s="228">
        <v>-3.3</v>
      </c>
      <c r="AC133" s="229">
        <v>4.7999999999999996E-3</v>
      </c>
      <c r="AD133" s="228">
        <v>7.7</v>
      </c>
      <c r="AE133" s="228">
        <v>11</v>
      </c>
      <c r="AF133" s="228">
        <v>-3.3</v>
      </c>
      <c r="AG133" s="229">
        <v>4.7999999999999996E-3</v>
      </c>
      <c r="AH133" s="228">
        <v>10.8</v>
      </c>
      <c r="AI133" s="228">
        <v>18.8</v>
      </c>
      <c r="AJ133" s="228">
        <v>-8</v>
      </c>
      <c r="AK133" s="229">
        <v>6.7000000000000002E-3</v>
      </c>
      <c r="AL133" s="228">
        <v>39.6</v>
      </c>
      <c r="AM133" s="228">
        <v>40.9</v>
      </c>
      <c r="AN133" s="228">
        <v>-1.3</v>
      </c>
      <c r="AO133" s="229">
        <v>2.47E-2</v>
      </c>
      <c r="AP133" s="231">
        <v>1622.29</v>
      </c>
      <c r="AQ133" s="231">
        <v>1629.56</v>
      </c>
      <c r="AR133" s="228">
        <v>0</v>
      </c>
      <c r="AS133" s="228">
        <v>176</v>
      </c>
      <c r="AT133" s="228">
        <v>180</v>
      </c>
      <c r="AU133" s="228">
        <v>-4</v>
      </c>
      <c r="AV133" s="229">
        <v>-2.29E-2</v>
      </c>
      <c r="AW133" s="228">
        <v>171</v>
      </c>
      <c r="AX133" s="228">
        <v>174</v>
      </c>
      <c r="AY133" s="228">
        <v>-3</v>
      </c>
      <c r="AZ133" s="229">
        <v>-1.78E-2</v>
      </c>
      <c r="BA133" s="228">
        <v>6</v>
      </c>
      <c r="BB133" s="228">
        <v>7</v>
      </c>
      <c r="BC133" s="228">
        <v>-1</v>
      </c>
      <c r="BD133" s="229">
        <v>-0.15690000000000001</v>
      </c>
      <c r="BE133" s="228">
        <v>0</v>
      </c>
      <c r="BF133" s="228">
        <v>0</v>
      </c>
      <c r="BG133" s="228">
        <v>0</v>
      </c>
      <c r="BH133" s="229">
        <v>0</v>
      </c>
      <c r="BI133" s="228">
        <v>219</v>
      </c>
      <c r="BJ133" s="228">
        <v>194</v>
      </c>
      <c r="BK133" s="228">
        <v>25</v>
      </c>
      <c r="BL133" s="229">
        <v>0.12920000000000001</v>
      </c>
      <c r="BM133" s="228">
        <v>61</v>
      </c>
      <c r="BN133" s="228">
        <v>72</v>
      </c>
      <c r="BO133" s="228">
        <v>-10</v>
      </c>
      <c r="BP133" s="229">
        <v>-0.1439</v>
      </c>
      <c r="BQ133" s="228">
        <v>456</v>
      </c>
      <c r="BR133" s="228">
        <v>446</v>
      </c>
      <c r="BS133" s="228">
        <v>11</v>
      </c>
      <c r="BT133" s="229">
        <v>2.3699999999999999E-2</v>
      </c>
      <c r="BU133" s="230">
        <v>388554</v>
      </c>
      <c r="BV133" s="230">
        <v>731342</v>
      </c>
      <c r="BW133" s="230">
        <v>-342788</v>
      </c>
      <c r="BX133" s="229">
        <v>-0.46870000000000001</v>
      </c>
      <c r="BY133" s="228">
        <v>967</v>
      </c>
      <c r="BZ133" s="228">
        <v>971</v>
      </c>
      <c r="CA133" s="228">
        <v>-4</v>
      </c>
      <c r="CB133" s="229">
        <v>-3.8999999999999998E-3</v>
      </c>
      <c r="CC133" s="228">
        <v>958</v>
      </c>
      <c r="CD133" s="228">
        <v>962</v>
      </c>
      <c r="CE133" s="228">
        <v>-3</v>
      </c>
      <c r="CF133" s="229">
        <v>-3.5000000000000001E-3</v>
      </c>
      <c r="CG133" s="228">
        <v>9</v>
      </c>
      <c r="CH133" s="228">
        <v>9</v>
      </c>
      <c r="CI133" s="228">
        <v>0</v>
      </c>
      <c r="CJ133" s="229">
        <v>-4.2900000000000001E-2</v>
      </c>
      <c r="CK133" s="228">
        <v>0</v>
      </c>
      <c r="CL133" s="228">
        <v>0</v>
      </c>
      <c r="CM133" s="228">
        <v>0</v>
      </c>
      <c r="CN133" s="229">
        <v>0</v>
      </c>
      <c r="CO133" s="228">
        <v>130</v>
      </c>
      <c r="CP133" s="228">
        <v>113</v>
      </c>
      <c r="CQ133" s="228">
        <v>17</v>
      </c>
      <c r="CR133" s="229">
        <v>0.14940000000000001</v>
      </c>
      <c r="CS133" s="228">
        <v>81</v>
      </c>
      <c r="CT133" s="228">
        <v>74</v>
      </c>
      <c r="CU133" s="228">
        <v>6</v>
      </c>
      <c r="CV133" s="229">
        <v>8.1500000000000003E-2</v>
      </c>
      <c r="CW133" s="230">
        <v>1178</v>
      </c>
      <c r="CX133" s="230">
        <v>1159</v>
      </c>
      <c r="CY133" s="228">
        <v>19</v>
      </c>
      <c r="CZ133" s="229">
        <v>1.66E-2</v>
      </c>
      <c r="DA133" s="228">
        <v>25.53</v>
      </c>
      <c r="DB133" s="228">
        <v>24.41</v>
      </c>
      <c r="DC133" s="228">
        <v>1.1200000000000001</v>
      </c>
      <c r="DD133" s="228">
        <v>1.1200000000000001</v>
      </c>
      <c r="DE133" s="228">
        <v>30.64</v>
      </c>
      <c r="DF133" s="228">
        <v>30.72</v>
      </c>
      <c r="DG133" s="228">
        <v>-5.1100000000000003</v>
      </c>
      <c r="DH133" s="228">
        <v>-0.08</v>
      </c>
      <c r="DI133" s="228">
        <v>25.36</v>
      </c>
      <c r="DJ133" s="228">
        <v>24.33</v>
      </c>
      <c r="DK133" s="228">
        <v>1.03</v>
      </c>
      <c r="DL133" s="228">
        <v>1.03</v>
      </c>
      <c r="DM133" s="228">
        <v>26.14</v>
      </c>
      <c r="DN133" s="228">
        <v>24.61</v>
      </c>
      <c r="DO133" s="228">
        <v>1.53</v>
      </c>
      <c r="DP133" s="228">
        <v>1.53</v>
      </c>
      <c r="DQ133" s="228">
        <v>0.62</v>
      </c>
      <c r="DR133" s="228">
        <v>0.66</v>
      </c>
      <c r="DS133" s="228">
        <v>-0.04</v>
      </c>
      <c r="DT133" s="229">
        <v>-6.0600000000000001E-2</v>
      </c>
      <c r="DU133" s="231">
        <v>1640</v>
      </c>
      <c r="DV133" s="231">
        <v>1600</v>
      </c>
      <c r="DW133" s="228">
        <v>0.28000000000000003</v>
      </c>
      <c r="DX133" s="228">
        <v>0.37</v>
      </c>
      <c r="DY133" s="228">
        <v>-0.09</v>
      </c>
      <c r="DZ133" s="229">
        <v>-0.2432</v>
      </c>
      <c r="EA133" s="229">
        <v>9.1999999999999998E-3</v>
      </c>
      <c r="EB133" s="230">
        <v>57600</v>
      </c>
      <c r="EC133" s="229">
        <v>1.9E-3</v>
      </c>
      <c r="ED133" s="229">
        <v>9.1999999999999998E-3</v>
      </c>
      <c r="EE133" s="228">
        <v>7.27</v>
      </c>
      <c r="EF133" s="229">
        <v>4.4999999999999997E-3</v>
      </c>
      <c r="EG133" s="230">
        <v>185424</v>
      </c>
      <c r="EH133" s="230">
        <v>465266</v>
      </c>
      <c r="EI133" s="229">
        <v>-0.60150000000000003</v>
      </c>
      <c r="EJ133" s="229">
        <v>0.47720000000000001</v>
      </c>
      <c r="EK133" s="228">
        <v>231.09</v>
      </c>
      <c r="EL133" s="228">
        <v>60.29</v>
      </c>
      <c r="EM133" s="228">
        <v>177.18</v>
      </c>
      <c r="EN133" s="228">
        <v>27.39</v>
      </c>
      <c r="EO133" s="228">
        <v>468.56</v>
      </c>
      <c r="EP133" s="228">
        <v>456.8</v>
      </c>
      <c r="EQ133" s="228">
        <v>11.76</v>
      </c>
      <c r="ER133" s="229">
        <v>2.5700000000000001E-2</v>
      </c>
      <c r="ES133" s="228">
        <v>134.44</v>
      </c>
      <c r="ET133" s="228">
        <v>76.87</v>
      </c>
      <c r="EU133" s="228">
        <v>967.24</v>
      </c>
      <c r="EV133" s="231">
        <v>34712157</v>
      </c>
      <c r="EW133" s="231">
        <v>1178.55</v>
      </c>
      <c r="EX133" s="231">
        <v>1159.8499999999999</v>
      </c>
      <c r="EY133" s="228">
        <v>18.7</v>
      </c>
      <c r="EZ133" s="229">
        <v>1.61E-2</v>
      </c>
      <c r="FA133" s="229">
        <v>0.21029999999999999</v>
      </c>
      <c r="FB133" s="227" t="s">
        <v>568</v>
      </c>
      <c r="FC133">
        <f t="shared" si="2"/>
        <v>9</v>
      </c>
    </row>
    <row r="134" spans="1:159" ht="17.25" thickBot="1" x14ac:dyDescent="0.3">
      <c r="A134" s="226">
        <v>45936</v>
      </c>
      <c r="B134" s="227" t="s">
        <v>181</v>
      </c>
      <c r="C134" s="227" t="s">
        <v>563</v>
      </c>
      <c r="D134" s="228">
        <v>140</v>
      </c>
      <c r="E134" s="228">
        <v>22</v>
      </c>
      <c r="F134" s="231">
        <v>13014.4</v>
      </c>
      <c r="G134" s="231">
        <v>12865.15</v>
      </c>
      <c r="H134" s="228">
        <v>149.25</v>
      </c>
      <c r="I134" s="229">
        <v>1.1599999999999999E-2</v>
      </c>
      <c r="J134" s="231">
        <v>12944.95</v>
      </c>
      <c r="K134" s="231">
        <v>12793.6</v>
      </c>
      <c r="L134" s="228">
        <v>151.35</v>
      </c>
      <c r="M134" s="229">
        <v>1.18E-2</v>
      </c>
      <c r="N134" s="231">
        <v>13014.4</v>
      </c>
      <c r="O134" s="231">
        <v>12865.15</v>
      </c>
      <c r="P134" s="228">
        <v>149.25</v>
      </c>
      <c r="Q134" s="229">
        <v>1.1599999999999999E-2</v>
      </c>
      <c r="R134" s="231">
        <v>13072.45</v>
      </c>
      <c r="S134" s="231">
        <v>12915.55</v>
      </c>
      <c r="T134" s="228">
        <v>156.9</v>
      </c>
      <c r="U134" s="229">
        <v>1.21E-2</v>
      </c>
      <c r="V134" s="231">
        <v>13131.2</v>
      </c>
      <c r="W134" s="231">
        <v>12976.4</v>
      </c>
      <c r="X134" s="228">
        <v>154.80000000000001</v>
      </c>
      <c r="Y134" s="229">
        <v>1.1900000000000001E-2</v>
      </c>
      <c r="Z134" s="228">
        <v>69.45</v>
      </c>
      <c r="AA134" s="228">
        <v>71.55</v>
      </c>
      <c r="AB134" s="228">
        <v>-2.1</v>
      </c>
      <c r="AC134" s="229">
        <v>5.4000000000000003E-3</v>
      </c>
      <c r="AD134" s="228">
        <v>69.45</v>
      </c>
      <c r="AE134" s="228">
        <v>71.55</v>
      </c>
      <c r="AF134" s="228">
        <v>-2.1</v>
      </c>
      <c r="AG134" s="229">
        <v>5.4000000000000003E-3</v>
      </c>
      <c r="AH134" s="228">
        <v>127.5</v>
      </c>
      <c r="AI134" s="228">
        <v>121.95</v>
      </c>
      <c r="AJ134" s="228">
        <v>5.55</v>
      </c>
      <c r="AK134" s="229">
        <v>9.7999999999999997E-3</v>
      </c>
      <c r="AL134" s="228">
        <v>186.25</v>
      </c>
      <c r="AM134" s="228">
        <v>182.8</v>
      </c>
      <c r="AN134" s="228">
        <v>3.45</v>
      </c>
      <c r="AO134" s="229">
        <v>1.44E-2</v>
      </c>
      <c r="AP134" s="231">
        <v>12947.74</v>
      </c>
      <c r="AQ134" s="231">
        <v>13024.77</v>
      </c>
      <c r="AR134" s="228">
        <v>0</v>
      </c>
      <c r="AS134" s="228">
        <v>570</v>
      </c>
      <c r="AT134" s="228">
        <v>462</v>
      </c>
      <c r="AU134" s="228">
        <v>108</v>
      </c>
      <c r="AV134" s="229">
        <v>0.23430000000000001</v>
      </c>
      <c r="AW134" s="228">
        <v>519</v>
      </c>
      <c r="AX134" s="228">
        <v>443</v>
      </c>
      <c r="AY134" s="228">
        <v>76</v>
      </c>
      <c r="AZ134" s="229">
        <v>0.17119999999999999</v>
      </c>
      <c r="BA134" s="228">
        <v>48</v>
      </c>
      <c r="BB134" s="228">
        <v>17</v>
      </c>
      <c r="BC134" s="228">
        <v>31</v>
      </c>
      <c r="BD134" s="229">
        <v>1.8900999999999999</v>
      </c>
      <c r="BE134" s="228">
        <v>4</v>
      </c>
      <c r="BF134" s="228">
        <v>3</v>
      </c>
      <c r="BG134" s="228">
        <v>1</v>
      </c>
      <c r="BH134" s="229">
        <v>0.42859999999999998</v>
      </c>
      <c r="BI134" s="230">
        <v>16083</v>
      </c>
      <c r="BJ134" s="230">
        <v>14654</v>
      </c>
      <c r="BK134" s="230">
        <v>1429</v>
      </c>
      <c r="BL134" s="229">
        <v>9.7500000000000003E-2</v>
      </c>
      <c r="BM134" s="230">
        <v>20206</v>
      </c>
      <c r="BN134" s="230">
        <v>14666</v>
      </c>
      <c r="BO134" s="230">
        <v>5539</v>
      </c>
      <c r="BP134" s="229">
        <v>0.37769999999999998</v>
      </c>
      <c r="BQ134" s="230">
        <v>36859</v>
      </c>
      <c r="BR134" s="230">
        <v>29782</v>
      </c>
      <c r="BS134" s="230">
        <v>7077</v>
      </c>
      <c r="BT134" s="229">
        <v>0.23760000000000001</v>
      </c>
      <c r="BU134" s="228">
        <v>0</v>
      </c>
      <c r="BV134" s="228">
        <v>0</v>
      </c>
      <c r="BW134" s="228">
        <v>0</v>
      </c>
      <c r="BX134" s="229">
        <v>0</v>
      </c>
      <c r="BY134" s="230">
        <v>3627</v>
      </c>
      <c r="BZ134" s="230">
        <v>3660</v>
      </c>
      <c r="CA134" s="228">
        <v>-34</v>
      </c>
      <c r="CB134" s="229">
        <v>-9.1999999999999998E-3</v>
      </c>
      <c r="CC134" s="230">
        <v>3522</v>
      </c>
      <c r="CD134" s="230">
        <v>3564</v>
      </c>
      <c r="CE134" s="228">
        <v>-42</v>
      </c>
      <c r="CF134" s="229">
        <v>-1.18E-2</v>
      </c>
      <c r="CG134" s="228">
        <v>102</v>
      </c>
      <c r="CH134" s="228">
        <v>95</v>
      </c>
      <c r="CI134" s="228">
        <v>7</v>
      </c>
      <c r="CJ134" s="229">
        <v>7.7100000000000002E-2</v>
      </c>
      <c r="CK134" s="228">
        <v>3</v>
      </c>
      <c r="CL134" s="228">
        <v>2</v>
      </c>
      <c r="CM134" s="228">
        <v>1</v>
      </c>
      <c r="CN134" s="229">
        <v>0.5</v>
      </c>
      <c r="CO134" s="230">
        <v>5509</v>
      </c>
      <c r="CP134" s="230">
        <v>5218</v>
      </c>
      <c r="CQ134" s="228">
        <v>290</v>
      </c>
      <c r="CR134" s="229">
        <v>5.5599999999999997E-2</v>
      </c>
      <c r="CS134" s="230">
        <v>7674</v>
      </c>
      <c r="CT134" s="230">
        <v>7075</v>
      </c>
      <c r="CU134" s="228">
        <v>599</v>
      </c>
      <c r="CV134" s="229">
        <v>8.4599999999999995E-2</v>
      </c>
      <c r="CW134" s="230">
        <v>16810</v>
      </c>
      <c r="CX134" s="230">
        <v>15954</v>
      </c>
      <c r="CY134" s="228">
        <v>856</v>
      </c>
      <c r="CZ134" s="229">
        <v>5.3600000000000002E-2</v>
      </c>
      <c r="DA134" s="228">
        <v>16.53</v>
      </c>
      <c r="DB134" s="228">
        <v>16.13</v>
      </c>
      <c r="DC134" s="228">
        <v>0.4</v>
      </c>
      <c r="DD134" s="228">
        <v>0.4</v>
      </c>
      <c r="DE134" s="228">
        <v>23.08</v>
      </c>
      <c r="DF134" s="228">
        <v>23.09</v>
      </c>
      <c r="DG134" s="228">
        <v>-6.55</v>
      </c>
      <c r="DH134" s="228">
        <v>-0.01</v>
      </c>
      <c r="DI134" s="228">
        <v>14.84</v>
      </c>
      <c r="DJ134" s="228">
        <v>14.81</v>
      </c>
      <c r="DK134" s="228">
        <v>0.03</v>
      </c>
      <c r="DL134" s="228">
        <v>0.03</v>
      </c>
      <c r="DM134" s="228">
        <v>17.87</v>
      </c>
      <c r="DN134" s="228">
        <v>17.45</v>
      </c>
      <c r="DO134" s="228">
        <v>0.42</v>
      </c>
      <c r="DP134" s="228">
        <v>0.42</v>
      </c>
      <c r="DQ134" s="228">
        <v>1.39</v>
      </c>
      <c r="DR134" s="228">
        <v>1.36</v>
      </c>
      <c r="DS134" s="228">
        <v>0.03</v>
      </c>
      <c r="DT134" s="229">
        <v>2.2100000000000002E-2</v>
      </c>
      <c r="DU134" s="231">
        <v>13500</v>
      </c>
      <c r="DV134" s="231">
        <v>12500</v>
      </c>
      <c r="DW134" s="228">
        <v>1.26</v>
      </c>
      <c r="DX134" s="228">
        <v>1</v>
      </c>
      <c r="DY134" s="228">
        <v>0.26</v>
      </c>
      <c r="DZ134" s="229">
        <v>0.26</v>
      </c>
      <c r="EA134" s="229">
        <v>2.9000000000000001E-2</v>
      </c>
      <c r="EB134" s="230">
        <v>74340</v>
      </c>
      <c r="EC134" s="229">
        <v>4.4999999999999997E-3</v>
      </c>
      <c r="ED134" s="229">
        <v>2.9000000000000001E-2</v>
      </c>
      <c r="EE134" s="228">
        <v>77.03</v>
      </c>
      <c r="EF134" s="229">
        <v>5.8999999999999999E-3</v>
      </c>
      <c r="EG134" s="228">
        <v>0</v>
      </c>
      <c r="EH134" s="228">
        <v>0</v>
      </c>
      <c r="EI134" s="229">
        <v>0</v>
      </c>
      <c r="EJ134" s="229">
        <v>0</v>
      </c>
      <c r="EK134" s="231">
        <v>16382.03</v>
      </c>
      <c r="EL134" s="231">
        <v>19442.27</v>
      </c>
      <c r="EM134" s="228">
        <v>567.5</v>
      </c>
      <c r="EN134" s="228">
        <v>0</v>
      </c>
      <c r="EO134" s="231">
        <v>36391.800000000003</v>
      </c>
      <c r="EP134" s="231">
        <v>29369.55</v>
      </c>
      <c r="EQ134" s="231">
        <v>7022.25</v>
      </c>
      <c r="ER134" s="229">
        <v>0.23910000000000001</v>
      </c>
      <c r="ES134" s="231">
        <v>5564.15</v>
      </c>
      <c r="ET134" s="231">
        <v>7337.41</v>
      </c>
      <c r="EU134" s="231">
        <v>3627.39</v>
      </c>
      <c r="EV134" s="228">
        <v>0</v>
      </c>
      <c r="EW134" s="231">
        <v>16528.939999999999</v>
      </c>
      <c r="EX134" s="231">
        <v>15547.54</v>
      </c>
      <c r="EY134" s="228">
        <v>981.4</v>
      </c>
      <c r="EZ134" s="229">
        <v>6.3100000000000003E-2</v>
      </c>
      <c r="FA134" s="229">
        <v>0</v>
      </c>
      <c r="FB134" s="227" t="s">
        <v>556</v>
      </c>
      <c r="FC134">
        <f t="shared" si="2"/>
        <v>105</v>
      </c>
    </row>
    <row r="135" spans="1:159" ht="17.25" thickBot="1" x14ac:dyDescent="0.3">
      <c r="A135" s="226">
        <v>45936</v>
      </c>
      <c r="B135" s="227" t="s">
        <v>162</v>
      </c>
      <c r="C135" s="227" t="s">
        <v>559</v>
      </c>
      <c r="D135" s="228">
        <v>6150</v>
      </c>
      <c r="E135" s="228">
        <v>22</v>
      </c>
      <c r="F135" s="228">
        <v>106.85</v>
      </c>
      <c r="G135" s="228">
        <v>107.05</v>
      </c>
      <c r="H135" s="228">
        <v>-0.2</v>
      </c>
      <c r="I135" s="229">
        <v>-1.9E-3</v>
      </c>
      <c r="J135" s="228">
        <v>106.22</v>
      </c>
      <c r="K135" s="228">
        <v>106.67</v>
      </c>
      <c r="L135" s="228">
        <v>-0.45</v>
      </c>
      <c r="M135" s="229">
        <v>-4.1999999999999997E-3</v>
      </c>
      <c r="N135" s="228">
        <v>106.85</v>
      </c>
      <c r="O135" s="228">
        <v>107.05</v>
      </c>
      <c r="P135" s="228">
        <v>-0.2</v>
      </c>
      <c r="Q135" s="229">
        <v>-1.9E-3</v>
      </c>
      <c r="R135" s="228">
        <v>107.49</v>
      </c>
      <c r="S135" s="228">
        <v>107.61</v>
      </c>
      <c r="T135" s="228">
        <v>-0.12</v>
      </c>
      <c r="U135" s="229">
        <v>-1.1000000000000001E-3</v>
      </c>
      <c r="V135" s="228">
        <v>107.85</v>
      </c>
      <c r="W135" s="228">
        <v>108.17</v>
      </c>
      <c r="X135" s="228">
        <v>-0.32</v>
      </c>
      <c r="Y135" s="229">
        <v>-3.0000000000000001E-3</v>
      </c>
      <c r="Z135" s="228">
        <v>0.63</v>
      </c>
      <c r="AA135" s="228">
        <v>0.38</v>
      </c>
      <c r="AB135" s="228">
        <v>0.25</v>
      </c>
      <c r="AC135" s="229">
        <v>5.8999999999999999E-3</v>
      </c>
      <c r="AD135" s="228">
        <v>0.63</v>
      </c>
      <c r="AE135" s="228">
        <v>0.38</v>
      </c>
      <c r="AF135" s="228">
        <v>0.25</v>
      </c>
      <c r="AG135" s="229">
        <v>5.8999999999999999E-3</v>
      </c>
      <c r="AH135" s="228">
        <v>1.27</v>
      </c>
      <c r="AI135" s="228">
        <v>0.94</v>
      </c>
      <c r="AJ135" s="228">
        <v>0.33</v>
      </c>
      <c r="AK135" s="229">
        <v>1.2E-2</v>
      </c>
      <c r="AL135" s="228">
        <v>1.63</v>
      </c>
      <c r="AM135" s="228">
        <v>1.5</v>
      </c>
      <c r="AN135" s="228">
        <v>0.13</v>
      </c>
      <c r="AO135" s="229">
        <v>1.5299999999999999E-2</v>
      </c>
      <c r="AP135" s="228">
        <v>106.84</v>
      </c>
      <c r="AQ135" s="228">
        <v>107.58</v>
      </c>
      <c r="AR135" s="228">
        <v>0</v>
      </c>
      <c r="AS135" s="228">
        <v>114</v>
      </c>
      <c r="AT135" s="228">
        <v>163</v>
      </c>
      <c r="AU135" s="228">
        <v>-49</v>
      </c>
      <c r="AV135" s="229">
        <v>-0.30099999999999999</v>
      </c>
      <c r="AW135" s="228">
        <v>108</v>
      </c>
      <c r="AX135" s="228">
        <v>155</v>
      </c>
      <c r="AY135" s="228">
        <v>-46</v>
      </c>
      <c r="AZ135" s="229">
        <v>-0.29799999999999999</v>
      </c>
      <c r="BA135" s="228">
        <v>5</v>
      </c>
      <c r="BB135" s="228">
        <v>8</v>
      </c>
      <c r="BC135" s="228">
        <v>-3</v>
      </c>
      <c r="BD135" s="229">
        <v>-0.40500000000000003</v>
      </c>
      <c r="BE135" s="228">
        <v>1</v>
      </c>
      <c r="BF135" s="228">
        <v>1</v>
      </c>
      <c r="BG135" s="228">
        <v>0</v>
      </c>
      <c r="BH135" s="229">
        <v>0.33329999999999999</v>
      </c>
      <c r="BI135" s="228">
        <v>253</v>
      </c>
      <c r="BJ135" s="228">
        <v>318</v>
      </c>
      <c r="BK135" s="228">
        <v>-65</v>
      </c>
      <c r="BL135" s="229">
        <v>-0.20430000000000001</v>
      </c>
      <c r="BM135" s="228">
        <v>118</v>
      </c>
      <c r="BN135" s="228">
        <v>148</v>
      </c>
      <c r="BO135" s="228">
        <v>-30</v>
      </c>
      <c r="BP135" s="229">
        <v>-0.2054</v>
      </c>
      <c r="BQ135" s="228">
        <v>485</v>
      </c>
      <c r="BR135" s="228">
        <v>630</v>
      </c>
      <c r="BS135" s="228">
        <v>-145</v>
      </c>
      <c r="BT135" s="229">
        <v>-0.2296</v>
      </c>
      <c r="BU135" s="230">
        <v>7439917</v>
      </c>
      <c r="BV135" s="230">
        <v>8528782</v>
      </c>
      <c r="BW135" s="230">
        <v>-1088865</v>
      </c>
      <c r="BX135" s="229">
        <v>-0.12770000000000001</v>
      </c>
      <c r="BY135" s="230">
        <v>1765</v>
      </c>
      <c r="BZ135" s="230">
        <v>1767</v>
      </c>
      <c r="CA135" s="228">
        <v>-2</v>
      </c>
      <c r="CB135" s="229">
        <v>-1.1000000000000001E-3</v>
      </c>
      <c r="CC135" s="230">
        <v>1712</v>
      </c>
      <c r="CD135" s="230">
        <v>1716</v>
      </c>
      <c r="CE135" s="228">
        <v>-4</v>
      </c>
      <c r="CF135" s="229">
        <v>-2.2000000000000001E-3</v>
      </c>
      <c r="CG135" s="228">
        <v>51</v>
      </c>
      <c r="CH135" s="228">
        <v>50</v>
      </c>
      <c r="CI135" s="228">
        <v>1</v>
      </c>
      <c r="CJ135" s="229">
        <v>2.6499999999999999E-2</v>
      </c>
      <c r="CK135" s="228">
        <v>2</v>
      </c>
      <c r="CL135" s="228">
        <v>1</v>
      </c>
      <c r="CM135" s="228">
        <v>0</v>
      </c>
      <c r="CN135" s="229">
        <v>0.4375</v>
      </c>
      <c r="CO135" s="228">
        <v>481</v>
      </c>
      <c r="CP135" s="228">
        <v>453</v>
      </c>
      <c r="CQ135" s="228">
        <v>28</v>
      </c>
      <c r="CR135" s="229">
        <v>6.1400000000000003E-2</v>
      </c>
      <c r="CS135" s="228">
        <v>255</v>
      </c>
      <c r="CT135" s="228">
        <v>245</v>
      </c>
      <c r="CU135" s="228">
        <v>10</v>
      </c>
      <c r="CV135" s="229">
        <v>3.9399999999999998E-2</v>
      </c>
      <c r="CW135" s="230">
        <v>2500</v>
      </c>
      <c r="CX135" s="230">
        <v>2465</v>
      </c>
      <c r="CY135" s="228">
        <v>35</v>
      </c>
      <c r="CZ135" s="229">
        <v>1.44E-2</v>
      </c>
      <c r="DA135" s="228">
        <v>32.450000000000003</v>
      </c>
      <c r="DB135" s="228">
        <v>31.7</v>
      </c>
      <c r="DC135" s="228">
        <v>0.75</v>
      </c>
      <c r="DD135" s="228">
        <v>0.75</v>
      </c>
      <c r="DE135" s="228">
        <v>41.38</v>
      </c>
      <c r="DF135" s="228">
        <v>41.49</v>
      </c>
      <c r="DG135" s="228">
        <v>-8.93</v>
      </c>
      <c r="DH135" s="228">
        <v>-0.11</v>
      </c>
      <c r="DI135" s="228">
        <v>32.86</v>
      </c>
      <c r="DJ135" s="228">
        <v>31.84</v>
      </c>
      <c r="DK135" s="228">
        <v>1.02</v>
      </c>
      <c r="DL135" s="228">
        <v>1.02</v>
      </c>
      <c r="DM135" s="228">
        <v>31.59</v>
      </c>
      <c r="DN135" s="228">
        <v>31.39</v>
      </c>
      <c r="DO135" s="228">
        <v>0.2</v>
      </c>
      <c r="DP135" s="228">
        <v>0.2</v>
      </c>
      <c r="DQ135" s="228">
        <v>0.53</v>
      </c>
      <c r="DR135" s="228">
        <v>0.54</v>
      </c>
      <c r="DS135" s="228">
        <v>-0.01</v>
      </c>
      <c r="DT135" s="229">
        <v>-1.8499999999999999E-2</v>
      </c>
      <c r="DU135" s="228">
        <v>115</v>
      </c>
      <c r="DV135" s="228">
        <v>100</v>
      </c>
      <c r="DW135" s="228">
        <v>0.47</v>
      </c>
      <c r="DX135" s="228">
        <v>0.47</v>
      </c>
      <c r="DY135" s="228">
        <v>0</v>
      </c>
      <c r="DZ135" s="229">
        <v>0</v>
      </c>
      <c r="EA135" s="229">
        <v>2.98E-2</v>
      </c>
      <c r="EB135" s="230">
        <v>4747800</v>
      </c>
      <c r="EC135" s="229">
        <v>6.0000000000000001E-3</v>
      </c>
      <c r="ED135" s="229">
        <v>2.98E-2</v>
      </c>
      <c r="EE135" s="228">
        <v>0.74</v>
      </c>
      <c r="EF135" s="229">
        <v>6.8999999999999999E-3</v>
      </c>
      <c r="EG135" s="230">
        <v>3533324</v>
      </c>
      <c r="EH135" s="230">
        <v>4653407</v>
      </c>
      <c r="EI135" s="229">
        <v>-0.2407</v>
      </c>
      <c r="EJ135" s="229">
        <v>0.47489999999999999</v>
      </c>
      <c r="EK135" s="228">
        <v>270.42</v>
      </c>
      <c r="EL135" s="228">
        <v>117.94</v>
      </c>
      <c r="EM135" s="228">
        <v>114.04</v>
      </c>
      <c r="EN135" s="228">
        <v>86.25</v>
      </c>
      <c r="EO135" s="228">
        <v>502.4</v>
      </c>
      <c r="EP135" s="228">
        <v>647.5</v>
      </c>
      <c r="EQ135" s="228">
        <v>-145.1</v>
      </c>
      <c r="ER135" s="229">
        <v>-0.22409999999999999</v>
      </c>
      <c r="ES135" s="228">
        <v>505.03</v>
      </c>
      <c r="ET135" s="228">
        <v>245.4</v>
      </c>
      <c r="EU135" s="231">
        <v>1764.9</v>
      </c>
      <c r="EV135" s="231">
        <v>542522848</v>
      </c>
      <c r="EW135" s="231">
        <v>2515.33</v>
      </c>
      <c r="EX135" s="231">
        <v>2482.41</v>
      </c>
      <c r="EY135" s="228">
        <v>32.92</v>
      </c>
      <c r="EZ135" s="229">
        <v>1.3299999999999999E-2</v>
      </c>
      <c r="FA135" s="229">
        <v>0.43130000000000002</v>
      </c>
      <c r="FB135" s="227" t="s">
        <v>568</v>
      </c>
      <c r="FC135">
        <f t="shared" si="2"/>
        <v>53</v>
      </c>
    </row>
    <row r="136" spans="1:159" ht="17.25" thickBot="1" x14ac:dyDescent="0.3">
      <c r="A136" s="226">
        <v>45936</v>
      </c>
      <c r="B136" s="227" t="s">
        <v>221</v>
      </c>
      <c r="C136" s="227" t="s">
        <v>487</v>
      </c>
      <c r="D136" s="228">
        <v>275</v>
      </c>
      <c r="E136" s="228">
        <v>22</v>
      </c>
      <c r="F136" s="231">
        <v>2802.9</v>
      </c>
      <c r="G136" s="231">
        <v>2742.8</v>
      </c>
      <c r="H136" s="228">
        <v>60.1</v>
      </c>
      <c r="I136" s="229">
        <v>2.1899999999999999E-2</v>
      </c>
      <c r="J136" s="231">
        <v>2792.3</v>
      </c>
      <c r="K136" s="231">
        <v>2736.9</v>
      </c>
      <c r="L136" s="228">
        <v>55.4</v>
      </c>
      <c r="M136" s="229">
        <v>2.0199999999999999E-2</v>
      </c>
      <c r="N136" s="231">
        <v>2802.9</v>
      </c>
      <c r="O136" s="231">
        <v>2742.8</v>
      </c>
      <c r="P136" s="228">
        <v>60.1</v>
      </c>
      <c r="Q136" s="229">
        <v>2.1899999999999999E-2</v>
      </c>
      <c r="R136" s="231">
        <v>2817.9</v>
      </c>
      <c r="S136" s="231">
        <v>2756.3</v>
      </c>
      <c r="T136" s="228">
        <v>61.6</v>
      </c>
      <c r="U136" s="229">
        <v>2.23E-2</v>
      </c>
      <c r="V136" s="231">
        <v>2709.2</v>
      </c>
      <c r="W136" s="231">
        <v>2709.2</v>
      </c>
      <c r="X136" s="228">
        <v>0</v>
      </c>
      <c r="Y136" s="229">
        <v>0</v>
      </c>
      <c r="Z136" s="228">
        <v>10.6</v>
      </c>
      <c r="AA136" s="228">
        <v>5.9</v>
      </c>
      <c r="AB136" s="228">
        <v>4.7</v>
      </c>
      <c r="AC136" s="229">
        <v>3.8E-3</v>
      </c>
      <c r="AD136" s="228">
        <v>10.6</v>
      </c>
      <c r="AE136" s="228">
        <v>5.9</v>
      </c>
      <c r="AF136" s="228">
        <v>4.7</v>
      </c>
      <c r="AG136" s="229">
        <v>3.8E-3</v>
      </c>
      <c r="AH136" s="228">
        <v>25.6</v>
      </c>
      <c r="AI136" s="228">
        <v>19.399999999999999</v>
      </c>
      <c r="AJ136" s="228">
        <v>6.2</v>
      </c>
      <c r="AK136" s="229">
        <v>9.1999999999999998E-3</v>
      </c>
      <c r="AL136" s="228">
        <v>-83.1</v>
      </c>
      <c r="AM136" s="228">
        <v>-27.7</v>
      </c>
      <c r="AN136" s="228">
        <v>-55.4</v>
      </c>
      <c r="AO136" s="229">
        <v>-2.98E-2</v>
      </c>
      <c r="AP136" s="231">
        <v>2785.53</v>
      </c>
      <c r="AQ136" s="231">
        <v>2794.89</v>
      </c>
      <c r="AR136" s="228">
        <v>0</v>
      </c>
      <c r="AS136" s="228">
        <v>258</v>
      </c>
      <c r="AT136" s="228">
        <v>242</v>
      </c>
      <c r="AU136" s="228">
        <v>16</v>
      </c>
      <c r="AV136" s="229">
        <v>6.7000000000000004E-2</v>
      </c>
      <c r="AW136" s="228">
        <v>252</v>
      </c>
      <c r="AX136" s="228">
        <v>237</v>
      </c>
      <c r="AY136" s="228">
        <v>16</v>
      </c>
      <c r="AZ136" s="229">
        <v>6.6100000000000006E-2</v>
      </c>
      <c r="BA136" s="228">
        <v>6</v>
      </c>
      <c r="BB136" s="228">
        <v>5</v>
      </c>
      <c r="BC136" s="228">
        <v>1</v>
      </c>
      <c r="BD136" s="229">
        <v>0.1045</v>
      </c>
      <c r="BE136" s="228">
        <v>0</v>
      </c>
      <c r="BF136" s="228">
        <v>0</v>
      </c>
      <c r="BG136" s="228">
        <v>0</v>
      </c>
      <c r="BH136" s="229">
        <v>0</v>
      </c>
      <c r="BI136" s="228">
        <v>409</v>
      </c>
      <c r="BJ136" s="228">
        <v>288</v>
      </c>
      <c r="BK136" s="228">
        <v>121</v>
      </c>
      <c r="BL136" s="229">
        <v>0.41889999999999999</v>
      </c>
      <c r="BM136" s="228">
        <v>147</v>
      </c>
      <c r="BN136" s="228">
        <v>105</v>
      </c>
      <c r="BO136" s="228">
        <v>42</v>
      </c>
      <c r="BP136" s="229">
        <v>0.39629999999999999</v>
      </c>
      <c r="BQ136" s="228">
        <v>814</v>
      </c>
      <c r="BR136" s="228">
        <v>635</v>
      </c>
      <c r="BS136" s="228">
        <v>179</v>
      </c>
      <c r="BT136" s="229">
        <v>0.28120000000000001</v>
      </c>
      <c r="BU136" s="230">
        <v>287223</v>
      </c>
      <c r="BV136" s="230">
        <v>622873</v>
      </c>
      <c r="BW136" s="230">
        <v>-335650</v>
      </c>
      <c r="BX136" s="229">
        <v>-0.53890000000000005</v>
      </c>
      <c r="BY136" s="230">
        <v>1114</v>
      </c>
      <c r="BZ136" s="230">
        <v>1136</v>
      </c>
      <c r="CA136" s="228">
        <v>-22</v>
      </c>
      <c r="CB136" s="229">
        <v>-1.9300000000000001E-2</v>
      </c>
      <c r="CC136" s="230">
        <v>1099</v>
      </c>
      <c r="CD136" s="230">
        <v>1120</v>
      </c>
      <c r="CE136" s="228">
        <v>-21</v>
      </c>
      <c r="CF136" s="229">
        <v>-1.8700000000000001E-2</v>
      </c>
      <c r="CG136" s="228">
        <v>14</v>
      </c>
      <c r="CH136" s="228">
        <v>15</v>
      </c>
      <c r="CI136" s="228">
        <v>-1</v>
      </c>
      <c r="CJ136" s="229">
        <v>-6.4699999999999994E-2</v>
      </c>
      <c r="CK136" s="228">
        <v>0</v>
      </c>
      <c r="CL136" s="228">
        <v>0</v>
      </c>
      <c r="CM136" s="228">
        <v>0</v>
      </c>
      <c r="CN136" s="229">
        <v>0</v>
      </c>
      <c r="CO136" s="228">
        <v>225</v>
      </c>
      <c r="CP136" s="228">
        <v>210</v>
      </c>
      <c r="CQ136" s="228">
        <v>15</v>
      </c>
      <c r="CR136" s="229">
        <v>7.0099999999999996E-2</v>
      </c>
      <c r="CS136" s="228">
        <v>165</v>
      </c>
      <c r="CT136" s="228">
        <v>158</v>
      </c>
      <c r="CU136" s="228">
        <v>7</v>
      </c>
      <c r="CV136" s="229">
        <v>4.3400000000000001E-2</v>
      </c>
      <c r="CW136" s="230">
        <v>1504</v>
      </c>
      <c r="CX136" s="230">
        <v>1504</v>
      </c>
      <c r="CY136" s="228">
        <v>0</v>
      </c>
      <c r="CZ136" s="229">
        <v>-2.9999999999999997E-4</v>
      </c>
      <c r="DA136" s="228">
        <v>29.81</v>
      </c>
      <c r="DB136" s="228">
        <v>29.46</v>
      </c>
      <c r="DC136" s="228">
        <v>0.35</v>
      </c>
      <c r="DD136" s="228">
        <v>0.35</v>
      </c>
      <c r="DE136" s="228">
        <v>38.15</v>
      </c>
      <c r="DF136" s="228">
        <v>38.15</v>
      </c>
      <c r="DG136" s="228">
        <v>-8.34</v>
      </c>
      <c r="DH136" s="228">
        <v>0</v>
      </c>
      <c r="DI136" s="228">
        <v>29.48</v>
      </c>
      <c r="DJ136" s="228">
        <v>29.14</v>
      </c>
      <c r="DK136" s="228">
        <v>0.34</v>
      </c>
      <c r="DL136" s="228">
        <v>0.34</v>
      </c>
      <c r="DM136" s="228">
        <v>30.71</v>
      </c>
      <c r="DN136" s="228">
        <v>30.33</v>
      </c>
      <c r="DO136" s="228">
        <v>0.38</v>
      </c>
      <c r="DP136" s="228">
        <v>0.38</v>
      </c>
      <c r="DQ136" s="228">
        <v>0.73</v>
      </c>
      <c r="DR136" s="228">
        <v>0.75</v>
      </c>
      <c r="DS136" s="228">
        <v>-0.02</v>
      </c>
      <c r="DT136" s="229">
        <v>-2.6700000000000002E-2</v>
      </c>
      <c r="DU136" s="231">
        <v>3000</v>
      </c>
      <c r="DV136" s="231">
        <v>2700</v>
      </c>
      <c r="DW136" s="228">
        <v>0.36</v>
      </c>
      <c r="DX136" s="228">
        <v>0.36</v>
      </c>
      <c r="DY136" s="228">
        <v>0</v>
      </c>
      <c r="DZ136" s="229">
        <v>0</v>
      </c>
      <c r="EA136" s="229">
        <v>1.3100000000000001E-2</v>
      </c>
      <c r="EB136" s="230">
        <v>55550</v>
      </c>
      <c r="EC136" s="229">
        <v>5.4000000000000003E-3</v>
      </c>
      <c r="ED136" s="229">
        <v>1.3100000000000001E-2</v>
      </c>
      <c r="EE136" s="228">
        <v>9.36</v>
      </c>
      <c r="EF136" s="229">
        <v>3.3999999999999998E-3</v>
      </c>
      <c r="EG136" s="230">
        <v>121200</v>
      </c>
      <c r="EH136" s="230">
        <v>441605</v>
      </c>
      <c r="EI136" s="229">
        <v>-0.72550000000000003</v>
      </c>
      <c r="EJ136" s="229">
        <v>0.42199999999999999</v>
      </c>
      <c r="EK136" s="228">
        <v>426.16</v>
      </c>
      <c r="EL136" s="228">
        <v>141.88999999999999</v>
      </c>
      <c r="EM136" s="228">
        <v>256.33</v>
      </c>
      <c r="EN136" s="228">
        <v>76.17</v>
      </c>
      <c r="EO136" s="228">
        <v>824.38</v>
      </c>
      <c r="EP136" s="228">
        <v>630.70000000000005</v>
      </c>
      <c r="EQ136" s="228">
        <v>193.68</v>
      </c>
      <c r="ER136" s="229">
        <v>0.30709999999999998</v>
      </c>
      <c r="ES136" s="228">
        <v>233.49</v>
      </c>
      <c r="ET136" s="228">
        <v>155.22999999999999</v>
      </c>
      <c r="EU136" s="231">
        <v>1114.03</v>
      </c>
      <c r="EV136" s="231">
        <v>14652855</v>
      </c>
      <c r="EW136" s="231">
        <v>1502.74</v>
      </c>
      <c r="EX136" s="231">
        <v>1476.91</v>
      </c>
      <c r="EY136" s="228">
        <v>25.83</v>
      </c>
      <c r="EZ136" s="229">
        <v>1.7500000000000002E-2</v>
      </c>
      <c r="FA136" s="229">
        <v>0.36609999999999998</v>
      </c>
      <c r="FB136" s="227" t="s">
        <v>556</v>
      </c>
      <c r="FC136">
        <f t="shared" si="2"/>
        <v>15</v>
      </c>
    </row>
    <row r="137" spans="1:159" ht="17.25" thickBot="1" x14ac:dyDescent="0.3">
      <c r="A137" s="226">
        <v>45936</v>
      </c>
      <c r="B137" s="227" t="s">
        <v>175</v>
      </c>
      <c r="C137" s="227" t="s">
        <v>262</v>
      </c>
      <c r="D137" s="228">
        <v>275</v>
      </c>
      <c r="E137" s="228">
        <v>22</v>
      </c>
      <c r="F137" s="231">
        <v>3232</v>
      </c>
      <c r="G137" s="231">
        <v>3175.6</v>
      </c>
      <c r="H137" s="228">
        <v>56.4</v>
      </c>
      <c r="I137" s="229">
        <v>1.78E-2</v>
      </c>
      <c r="J137" s="231">
        <v>3227.7</v>
      </c>
      <c r="K137" s="231">
        <v>3167.6</v>
      </c>
      <c r="L137" s="228">
        <v>60.1</v>
      </c>
      <c r="M137" s="229">
        <v>1.9E-2</v>
      </c>
      <c r="N137" s="231">
        <v>3232</v>
      </c>
      <c r="O137" s="231">
        <v>3175.6</v>
      </c>
      <c r="P137" s="228">
        <v>56.4</v>
      </c>
      <c r="Q137" s="229">
        <v>1.78E-2</v>
      </c>
      <c r="R137" s="231">
        <v>3234.2</v>
      </c>
      <c r="S137" s="231">
        <v>3185.8</v>
      </c>
      <c r="T137" s="228">
        <v>48.4</v>
      </c>
      <c r="U137" s="229">
        <v>1.52E-2</v>
      </c>
      <c r="V137" s="231">
        <v>3248.8</v>
      </c>
      <c r="W137" s="231">
        <v>3196.8</v>
      </c>
      <c r="X137" s="228">
        <v>52</v>
      </c>
      <c r="Y137" s="229">
        <v>1.6299999999999999E-2</v>
      </c>
      <c r="Z137" s="228">
        <v>4.3</v>
      </c>
      <c r="AA137" s="228">
        <v>8</v>
      </c>
      <c r="AB137" s="228">
        <v>-3.7</v>
      </c>
      <c r="AC137" s="229">
        <v>1.2999999999999999E-3</v>
      </c>
      <c r="AD137" s="228">
        <v>4.3</v>
      </c>
      <c r="AE137" s="228">
        <v>8</v>
      </c>
      <c r="AF137" s="228">
        <v>-3.7</v>
      </c>
      <c r="AG137" s="229">
        <v>1.2999999999999999E-3</v>
      </c>
      <c r="AH137" s="228">
        <v>6.5</v>
      </c>
      <c r="AI137" s="228">
        <v>18.2</v>
      </c>
      <c r="AJ137" s="228">
        <v>-11.7</v>
      </c>
      <c r="AK137" s="229">
        <v>2E-3</v>
      </c>
      <c r="AL137" s="228">
        <v>21.1</v>
      </c>
      <c r="AM137" s="228">
        <v>29.2</v>
      </c>
      <c r="AN137" s="228">
        <v>-8.1</v>
      </c>
      <c r="AO137" s="229">
        <v>6.4999999999999997E-3</v>
      </c>
      <c r="AP137" s="231">
        <v>3217.58</v>
      </c>
      <c r="AQ137" s="231">
        <v>3228.89</v>
      </c>
      <c r="AR137" s="228">
        <v>0</v>
      </c>
      <c r="AS137" s="228">
        <v>265</v>
      </c>
      <c r="AT137" s="228">
        <v>249</v>
      </c>
      <c r="AU137" s="228">
        <v>16</v>
      </c>
      <c r="AV137" s="229">
        <v>6.3899999999999998E-2</v>
      </c>
      <c r="AW137" s="228">
        <v>235</v>
      </c>
      <c r="AX137" s="228">
        <v>240</v>
      </c>
      <c r="AY137" s="228">
        <v>-5</v>
      </c>
      <c r="AZ137" s="229">
        <v>-2.1100000000000001E-2</v>
      </c>
      <c r="BA137" s="228">
        <v>24</v>
      </c>
      <c r="BB137" s="228">
        <v>7</v>
      </c>
      <c r="BC137" s="228">
        <v>17</v>
      </c>
      <c r="BD137" s="229">
        <v>2.2381000000000002</v>
      </c>
      <c r="BE137" s="228">
        <v>6</v>
      </c>
      <c r="BF137" s="228">
        <v>2</v>
      </c>
      <c r="BG137" s="228">
        <v>4</v>
      </c>
      <c r="BH137" s="229">
        <v>2.5263</v>
      </c>
      <c r="BI137" s="230">
        <v>1399</v>
      </c>
      <c r="BJ137" s="228">
        <v>629</v>
      </c>
      <c r="BK137" s="228">
        <v>769</v>
      </c>
      <c r="BL137" s="229">
        <v>1.2229000000000001</v>
      </c>
      <c r="BM137" s="228">
        <v>595</v>
      </c>
      <c r="BN137" s="228">
        <v>425</v>
      </c>
      <c r="BO137" s="228">
        <v>171</v>
      </c>
      <c r="BP137" s="229">
        <v>0.40200000000000002</v>
      </c>
      <c r="BQ137" s="230">
        <v>2259</v>
      </c>
      <c r="BR137" s="230">
        <v>1303</v>
      </c>
      <c r="BS137" s="228">
        <v>956</v>
      </c>
      <c r="BT137" s="229">
        <v>0.73370000000000002</v>
      </c>
      <c r="BU137" s="230">
        <v>430360</v>
      </c>
      <c r="BV137" s="230">
        <v>558904</v>
      </c>
      <c r="BW137" s="230">
        <v>-128544</v>
      </c>
      <c r="BX137" s="229">
        <v>-0.23</v>
      </c>
      <c r="BY137" s="228">
        <v>903</v>
      </c>
      <c r="BZ137" s="228">
        <v>888</v>
      </c>
      <c r="CA137" s="228">
        <v>16</v>
      </c>
      <c r="CB137" s="229">
        <v>1.7500000000000002E-2</v>
      </c>
      <c r="CC137" s="228">
        <v>867</v>
      </c>
      <c r="CD137" s="228">
        <v>866</v>
      </c>
      <c r="CE137" s="228">
        <v>1</v>
      </c>
      <c r="CF137" s="229">
        <v>8.0000000000000004E-4</v>
      </c>
      <c r="CG137" s="228">
        <v>30</v>
      </c>
      <c r="CH137" s="228">
        <v>20</v>
      </c>
      <c r="CI137" s="228">
        <v>10</v>
      </c>
      <c r="CJ137" s="229">
        <v>0.52229999999999999</v>
      </c>
      <c r="CK137" s="228">
        <v>6</v>
      </c>
      <c r="CL137" s="228">
        <v>2</v>
      </c>
      <c r="CM137" s="228">
        <v>4</v>
      </c>
      <c r="CN137" s="229">
        <v>2.7778</v>
      </c>
      <c r="CO137" s="228">
        <v>554</v>
      </c>
      <c r="CP137" s="228">
        <v>426</v>
      </c>
      <c r="CQ137" s="228">
        <v>128</v>
      </c>
      <c r="CR137" s="229">
        <v>0.30120000000000002</v>
      </c>
      <c r="CS137" s="228">
        <v>396</v>
      </c>
      <c r="CT137" s="228">
        <v>293</v>
      </c>
      <c r="CU137" s="228">
        <v>103</v>
      </c>
      <c r="CV137" s="229">
        <v>0.35189999999999999</v>
      </c>
      <c r="CW137" s="230">
        <v>1853</v>
      </c>
      <c r="CX137" s="230">
        <v>1606</v>
      </c>
      <c r="CY137" s="228">
        <v>247</v>
      </c>
      <c r="CZ137" s="229">
        <v>0.15359999999999999</v>
      </c>
      <c r="DA137" s="228">
        <v>26.66</v>
      </c>
      <c r="DB137" s="228">
        <v>24.95</v>
      </c>
      <c r="DC137" s="228">
        <v>1.71</v>
      </c>
      <c r="DD137" s="228">
        <v>1.71</v>
      </c>
      <c r="DE137" s="228">
        <v>36.479999999999997</v>
      </c>
      <c r="DF137" s="228">
        <v>36.49</v>
      </c>
      <c r="DG137" s="228">
        <v>-9.82</v>
      </c>
      <c r="DH137" s="228">
        <v>-0.01</v>
      </c>
      <c r="DI137" s="228">
        <v>26.16</v>
      </c>
      <c r="DJ137" s="228">
        <v>24.35</v>
      </c>
      <c r="DK137" s="228">
        <v>1.81</v>
      </c>
      <c r="DL137" s="228">
        <v>1.81</v>
      </c>
      <c r="DM137" s="228">
        <v>27.84</v>
      </c>
      <c r="DN137" s="228">
        <v>25.85</v>
      </c>
      <c r="DO137" s="228">
        <v>1.99</v>
      </c>
      <c r="DP137" s="228">
        <v>1.99</v>
      </c>
      <c r="DQ137" s="228">
        <v>0.71</v>
      </c>
      <c r="DR137" s="228">
        <v>0.69</v>
      </c>
      <c r="DS137" s="228">
        <v>0.02</v>
      </c>
      <c r="DT137" s="229">
        <v>2.9000000000000001E-2</v>
      </c>
      <c r="DU137" s="231">
        <v>3100</v>
      </c>
      <c r="DV137" s="231">
        <v>3100</v>
      </c>
      <c r="DW137" s="228">
        <v>0.43</v>
      </c>
      <c r="DX137" s="228">
        <v>0.68</v>
      </c>
      <c r="DY137" s="228">
        <v>-0.25</v>
      </c>
      <c r="DZ137" s="229">
        <v>-0.36759999999999998</v>
      </c>
      <c r="EA137" s="229">
        <v>4.02E-2</v>
      </c>
      <c r="EB137" s="230">
        <v>66550</v>
      </c>
      <c r="EC137" s="229">
        <v>6.9999999999999999E-4</v>
      </c>
      <c r="ED137" s="229">
        <v>4.02E-2</v>
      </c>
      <c r="EE137" s="228">
        <v>11.31</v>
      </c>
      <c r="EF137" s="229">
        <v>3.5000000000000001E-3</v>
      </c>
      <c r="EG137" s="230">
        <v>196948</v>
      </c>
      <c r="EH137" s="230">
        <v>303235</v>
      </c>
      <c r="EI137" s="229">
        <v>-0.35049999999999998</v>
      </c>
      <c r="EJ137" s="229">
        <v>0.45760000000000001</v>
      </c>
      <c r="EK137" s="231">
        <v>1441.12</v>
      </c>
      <c r="EL137" s="228">
        <v>577.5</v>
      </c>
      <c r="EM137" s="228">
        <v>263.98</v>
      </c>
      <c r="EN137" s="228">
        <v>52.89</v>
      </c>
      <c r="EO137" s="231">
        <v>2282.6</v>
      </c>
      <c r="EP137" s="231">
        <v>1288.3900000000001</v>
      </c>
      <c r="EQ137" s="228">
        <v>994.21</v>
      </c>
      <c r="ER137" s="229">
        <v>0.77170000000000005</v>
      </c>
      <c r="ES137" s="228">
        <v>541.49</v>
      </c>
      <c r="ET137" s="228">
        <v>368.65</v>
      </c>
      <c r="EU137" s="228">
        <v>903.43</v>
      </c>
      <c r="EV137" s="231">
        <v>16050690</v>
      </c>
      <c r="EW137" s="231">
        <v>1813.57</v>
      </c>
      <c r="EX137" s="231">
        <v>1551.74</v>
      </c>
      <c r="EY137" s="228">
        <v>261.83</v>
      </c>
      <c r="EZ137" s="229">
        <v>0.16869999999999999</v>
      </c>
      <c r="FA137" s="229">
        <v>0.35720000000000002</v>
      </c>
      <c r="FB137" s="227" t="s">
        <v>555</v>
      </c>
      <c r="FC137">
        <f t="shared" si="2"/>
        <v>36</v>
      </c>
    </row>
    <row r="138" spans="1:159" ht="17.25" thickBot="1" x14ac:dyDescent="0.3">
      <c r="A138" s="226">
        <v>45936</v>
      </c>
      <c r="B138" s="227" t="s">
        <v>227</v>
      </c>
      <c r="C138" s="227" t="s">
        <v>263</v>
      </c>
      <c r="D138" s="228">
        <v>3750</v>
      </c>
      <c r="E138" s="228">
        <v>22</v>
      </c>
      <c r="F138" s="228">
        <v>218.16</v>
      </c>
      <c r="G138" s="228">
        <v>222.22</v>
      </c>
      <c r="H138" s="228">
        <v>-4.0599999999999996</v>
      </c>
      <c r="I138" s="229">
        <v>-1.83E-2</v>
      </c>
      <c r="J138" s="228">
        <v>217.15</v>
      </c>
      <c r="K138" s="228">
        <v>221.16</v>
      </c>
      <c r="L138" s="228">
        <v>-4.01</v>
      </c>
      <c r="M138" s="229">
        <v>-1.8100000000000002E-2</v>
      </c>
      <c r="N138" s="228">
        <v>218.16</v>
      </c>
      <c r="O138" s="228">
        <v>222.22</v>
      </c>
      <c r="P138" s="228">
        <v>-4.0599999999999996</v>
      </c>
      <c r="Q138" s="229">
        <v>-1.83E-2</v>
      </c>
      <c r="R138" s="228">
        <v>218.21</v>
      </c>
      <c r="S138" s="228">
        <v>222.38</v>
      </c>
      <c r="T138" s="228">
        <v>-4.17</v>
      </c>
      <c r="U138" s="229">
        <v>-1.8800000000000001E-2</v>
      </c>
      <c r="V138" s="228">
        <v>219.22</v>
      </c>
      <c r="W138" s="228">
        <v>223.43</v>
      </c>
      <c r="X138" s="228">
        <v>-4.21</v>
      </c>
      <c r="Y138" s="229">
        <v>-1.8800000000000001E-2</v>
      </c>
      <c r="Z138" s="228">
        <v>1.01</v>
      </c>
      <c r="AA138" s="228">
        <v>1.06</v>
      </c>
      <c r="AB138" s="228">
        <v>-0.05</v>
      </c>
      <c r="AC138" s="229">
        <v>4.7000000000000002E-3</v>
      </c>
      <c r="AD138" s="228">
        <v>1.01</v>
      </c>
      <c r="AE138" s="228">
        <v>1.06</v>
      </c>
      <c r="AF138" s="228">
        <v>-0.05</v>
      </c>
      <c r="AG138" s="229">
        <v>4.7000000000000002E-3</v>
      </c>
      <c r="AH138" s="228">
        <v>1.06</v>
      </c>
      <c r="AI138" s="228">
        <v>1.22</v>
      </c>
      <c r="AJ138" s="228">
        <v>-0.16</v>
      </c>
      <c r="AK138" s="229">
        <v>4.8999999999999998E-3</v>
      </c>
      <c r="AL138" s="228">
        <v>2.0699999999999998</v>
      </c>
      <c r="AM138" s="228">
        <v>2.27</v>
      </c>
      <c r="AN138" s="228">
        <v>-0.2</v>
      </c>
      <c r="AO138" s="229">
        <v>9.4999999999999998E-3</v>
      </c>
      <c r="AP138" s="228">
        <v>219.75</v>
      </c>
      <c r="AQ138" s="228">
        <v>219.25</v>
      </c>
      <c r="AR138" s="228">
        <v>0</v>
      </c>
      <c r="AS138" s="228">
        <v>443</v>
      </c>
      <c r="AT138" s="228">
        <v>733</v>
      </c>
      <c r="AU138" s="228">
        <v>-290</v>
      </c>
      <c r="AV138" s="229">
        <v>-0.39560000000000001</v>
      </c>
      <c r="AW138" s="228">
        <v>396</v>
      </c>
      <c r="AX138" s="228">
        <v>692</v>
      </c>
      <c r="AY138" s="228">
        <v>-296</v>
      </c>
      <c r="AZ138" s="229">
        <v>-0.42809999999999998</v>
      </c>
      <c r="BA138" s="228">
        <v>45</v>
      </c>
      <c r="BB138" s="228">
        <v>38</v>
      </c>
      <c r="BC138" s="228">
        <v>7</v>
      </c>
      <c r="BD138" s="229">
        <v>0.1789</v>
      </c>
      <c r="BE138" s="228">
        <v>3</v>
      </c>
      <c r="BF138" s="228">
        <v>3</v>
      </c>
      <c r="BG138" s="228">
        <v>-1</v>
      </c>
      <c r="BH138" s="229">
        <v>-0.17949999999999999</v>
      </c>
      <c r="BI138" s="230">
        <v>1159</v>
      </c>
      <c r="BJ138" s="230">
        <v>2711</v>
      </c>
      <c r="BK138" s="230">
        <v>-1551</v>
      </c>
      <c r="BL138" s="229">
        <v>-0.57230000000000003</v>
      </c>
      <c r="BM138" s="228">
        <v>523</v>
      </c>
      <c r="BN138" s="230">
        <v>1189</v>
      </c>
      <c r="BO138" s="228">
        <v>-665</v>
      </c>
      <c r="BP138" s="229">
        <v>-0.55969999999999998</v>
      </c>
      <c r="BQ138" s="230">
        <v>2126</v>
      </c>
      <c r="BR138" s="230">
        <v>4632</v>
      </c>
      <c r="BS138" s="230">
        <v>-2507</v>
      </c>
      <c r="BT138" s="229">
        <v>-0.54110000000000003</v>
      </c>
      <c r="BU138" s="230">
        <v>8152211</v>
      </c>
      <c r="BV138" s="230">
        <v>27000165</v>
      </c>
      <c r="BW138" s="230">
        <v>-18847954</v>
      </c>
      <c r="BX138" s="229">
        <v>-0.69810000000000005</v>
      </c>
      <c r="BY138" s="230">
        <v>1801</v>
      </c>
      <c r="BZ138" s="230">
        <v>1763</v>
      </c>
      <c r="CA138" s="228">
        <v>37</v>
      </c>
      <c r="CB138" s="229">
        <v>2.1100000000000001E-2</v>
      </c>
      <c r="CC138" s="230">
        <v>1749</v>
      </c>
      <c r="CD138" s="230">
        <v>1725</v>
      </c>
      <c r="CE138" s="228">
        <v>24</v>
      </c>
      <c r="CF138" s="229">
        <v>1.38E-2</v>
      </c>
      <c r="CG138" s="228">
        <v>48</v>
      </c>
      <c r="CH138" s="228">
        <v>36</v>
      </c>
      <c r="CI138" s="228">
        <v>12</v>
      </c>
      <c r="CJ138" s="229">
        <v>0.32879999999999998</v>
      </c>
      <c r="CK138" s="228">
        <v>3</v>
      </c>
      <c r="CL138" s="228">
        <v>2</v>
      </c>
      <c r="CM138" s="228">
        <v>1</v>
      </c>
      <c r="CN138" s="229">
        <v>0.77270000000000005</v>
      </c>
      <c r="CO138" s="228">
        <v>637</v>
      </c>
      <c r="CP138" s="228">
        <v>520</v>
      </c>
      <c r="CQ138" s="228">
        <v>117</v>
      </c>
      <c r="CR138" s="229">
        <v>0.2253</v>
      </c>
      <c r="CS138" s="228">
        <v>411</v>
      </c>
      <c r="CT138" s="228">
        <v>391</v>
      </c>
      <c r="CU138" s="228">
        <v>20</v>
      </c>
      <c r="CV138" s="229">
        <v>5.1700000000000003E-2</v>
      </c>
      <c r="CW138" s="230">
        <v>2849</v>
      </c>
      <c r="CX138" s="230">
        <v>2674</v>
      </c>
      <c r="CY138" s="228">
        <v>175</v>
      </c>
      <c r="CZ138" s="229">
        <v>6.5299999999999997E-2</v>
      </c>
      <c r="DA138" s="228">
        <v>33.479999999999997</v>
      </c>
      <c r="DB138" s="228">
        <v>31.66</v>
      </c>
      <c r="DC138" s="228">
        <v>1.82</v>
      </c>
      <c r="DD138" s="228">
        <v>1.82</v>
      </c>
      <c r="DE138" s="228">
        <v>48.15</v>
      </c>
      <c r="DF138" s="228">
        <v>48.2</v>
      </c>
      <c r="DG138" s="228">
        <v>-14.67</v>
      </c>
      <c r="DH138" s="228">
        <v>-0.05</v>
      </c>
      <c r="DI138" s="228">
        <v>33.75</v>
      </c>
      <c r="DJ138" s="228">
        <v>31.65</v>
      </c>
      <c r="DK138" s="228">
        <v>2.1</v>
      </c>
      <c r="DL138" s="228">
        <v>2.1</v>
      </c>
      <c r="DM138" s="228">
        <v>32.9</v>
      </c>
      <c r="DN138" s="228">
        <v>31.68</v>
      </c>
      <c r="DO138" s="228">
        <v>1.22</v>
      </c>
      <c r="DP138" s="228">
        <v>1.22</v>
      </c>
      <c r="DQ138" s="228">
        <v>0.65</v>
      </c>
      <c r="DR138" s="228">
        <v>0.75</v>
      </c>
      <c r="DS138" s="228">
        <v>-0.1</v>
      </c>
      <c r="DT138" s="229">
        <v>-0.1333</v>
      </c>
      <c r="DU138" s="228">
        <v>220</v>
      </c>
      <c r="DV138" s="228">
        <v>220</v>
      </c>
      <c r="DW138" s="228">
        <v>0.45</v>
      </c>
      <c r="DX138" s="228">
        <v>0.44</v>
      </c>
      <c r="DY138" s="228">
        <v>0.01</v>
      </c>
      <c r="DZ138" s="229">
        <v>2.2700000000000001E-2</v>
      </c>
      <c r="EA138" s="229">
        <v>2.86E-2</v>
      </c>
      <c r="EB138" s="230">
        <v>1747500</v>
      </c>
      <c r="EC138" s="229">
        <v>2.0000000000000001E-4</v>
      </c>
      <c r="ED138" s="229">
        <v>2.86E-2</v>
      </c>
      <c r="EE138" s="228">
        <v>-0.5</v>
      </c>
      <c r="EF138" s="229">
        <v>-2.3E-3</v>
      </c>
      <c r="EG138" s="230">
        <v>3018857</v>
      </c>
      <c r="EH138" s="230">
        <v>8987469</v>
      </c>
      <c r="EI138" s="229">
        <v>-0.66410000000000002</v>
      </c>
      <c r="EJ138" s="229">
        <v>0.37030000000000002</v>
      </c>
      <c r="EK138" s="231">
        <v>1233.03</v>
      </c>
      <c r="EL138" s="228">
        <v>529.46</v>
      </c>
      <c r="EM138" s="228">
        <v>446.14</v>
      </c>
      <c r="EN138" s="228">
        <v>110.11</v>
      </c>
      <c r="EO138" s="231">
        <v>2208.63</v>
      </c>
      <c r="EP138" s="231">
        <v>4832.3900000000003</v>
      </c>
      <c r="EQ138" s="231">
        <v>-2623.76</v>
      </c>
      <c r="ER138" s="229">
        <v>-0.54300000000000004</v>
      </c>
      <c r="ES138" s="228">
        <v>658.77</v>
      </c>
      <c r="ET138" s="228">
        <v>395.41</v>
      </c>
      <c r="EU138" s="231">
        <v>1800.58</v>
      </c>
      <c r="EV138" s="231">
        <v>134225816</v>
      </c>
      <c r="EW138" s="231">
        <v>2854.77</v>
      </c>
      <c r="EX138" s="231">
        <v>2708.3</v>
      </c>
      <c r="EY138" s="228">
        <v>146.47</v>
      </c>
      <c r="EZ138" s="229">
        <v>5.4100000000000002E-2</v>
      </c>
      <c r="FA138" s="229">
        <v>0.97289999999999999</v>
      </c>
      <c r="FB138" s="227" t="s">
        <v>567</v>
      </c>
      <c r="FC138">
        <f t="shared" si="2"/>
        <v>52</v>
      </c>
    </row>
    <row r="139" spans="1:159" ht="17.25" thickBot="1" x14ac:dyDescent="0.3">
      <c r="A139" s="226">
        <v>45936</v>
      </c>
      <c r="B139" s="227" t="s">
        <v>616</v>
      </c>
      <c r="C139" s="227" t="s">
        <v>264</v>
      </c>
      <c r="D139" s="228">
        <v>375</v>
      </c>
      <c r="E139" s="228">
        <v>22</v>
      </c>
      <c r="F139" s="231">
        <v>1384.9</v>
      </c>
      <c r="G139" s="231">
        <v>1339.3</v>
      </c>
      <c r="H139" s="228">
        <v>45.6</v>
      </c>
      <c r="I139" s="229">
        <v>3.4000000000000002E-2</v>
      </c>
      <c r="J139" s="231">
        <v>1379.9</v>
      </c>
      <c r="K139" s="231">
        <v>1333.9</v>
      </c>
      <c r="L139" s="228">
        <v>46</v>
      </c>
      <c r="M139" s="229">
        <v>3.4500000000000003E-2</v>
      </c>
      <c r="N139" s="231">
        <v>1384.9</v>
      </c>
      <c r="O139" s="231">
        <v>1339.3</v>
      </c>
      <c r="P139" s="228">
        <v>45.6</v>
      </c>
      <c r="Q139" s="229">
        <v>3.4000000000000002E-2</v>
      </c>
      <c r="R139" s="231">
        <v>1389.6</v>
      </c>
      <c r="S139" s="231">
        <v>1344.2</v>
      </c>
      <c r="T139" s="228">
        <v>45.4</v>
      </c>
      <c r="U139" s="229">
        <v>3.3799999999999997E-2</v>
      </c>
      <c r="V139" s="231">
        <v>1392</v>
      </c>
      <c r="W139" s="231">
        <v>1345</v>
      </c>
      <c r="X139" s="228">
        <v>47</v>
      </c>
      <c r="Y139" s="229">
        <v>3.49E-2</v>
      </c>
      <c r="Z139" s="228">
        <v>5</v>
      </c>
      <c r="AA139" s="228">
        <v>5.4</v>
      </c>
      <c r="AB139" s="228">
        <v>-0.4</v>
      </c>
      <c r="AC139" s="229">
        <v>3.5999999999999999E-3</v>
      </c>
      <c r="AD139" s="228">
        <v>5</v>
      </c>
      <c r="AE139" s="228">
        <v>5.4</v>
      </c>
      <c r="AF139" s="228">
        <v>-0.4</v>
      </c>
      <c r="AG139" s="229">
        <v>3.5999999999999999E-3</v>
      </c>
      <c r="AH139" s="228">
        <v>9.6999999999999993</v>
      </c>
      <c r="AI139" s="228">
        <v>10.3</v>
      </c>
      <c r="AJ139" s="228">
        <v>-0.6</v>
      </c>
      <c r="AK139" s="229">
        <v>7.0000000000000001E-3</v>
      </c>
      <c r="AL139" s="228">
        <v>12.1</v>
      </c>
      <c r="AM139" s="228">
        <v>11.1</v>
      </c>
      <c r="AN139" s="228">
        <v>1</v>
      </c>
      <c r="AO139" s="229">
        <v>8.8000000000000005E-3</v>
      </c>
      <c r="AP139" s="231">
        <v>1370.89</v>
      </c>
      <c r="AQ139" s="231">
        <v>1370.8</v>
      </c>
      <c r="AR139" s="228">
        <v>0</v>
      </c>
      <c r="AS139" s="228">
        <v>157</v>
      </c>
      <c r="AT139" s="228">
        <v>88</v>
      </c>
      <c r="AU139" s="228">
        <v>69</v>
      </c>
      <c r="AV139" s="229">
        <v>0.78859999999999997</v>
      </c>
      <c r="AW139" s="228">
        <v>154</v>
      </c>
      <c r="AX139" s="228">
        <v>86</v>
      </c>
      <c r="AY139" s="228">
        <v>68</v>
      </c>
      <c r="AZ139" s="229">
        <v>0.78669999999999995</v>
      </c>
      <c r="BA139" s="228">
        <v>3</v>
      </c>
      <c r="BB139" s="228">
        <v>2</v>
      </c>
      <c r="BC139" s="228">
        <v>1</v>
      </c>
      <c r="BD139" s="229">
        <v>0.84379999999999999</v>
      </c>
      <c r="BE139" s="228">
        <v>0</v>
      </c>
      <c r="BF139" s="228">
        <v>0</v>
      </c>
      <c r="BG139" s="228">
        <v>0</v>
      </c>
      <c r="BH139" s="229">
        <v>1.5</v>
      </c>
      <c r="BI139" s="228">
        <v>502</v>
      </c>
      <c r="BJ139" s="228">
        <v>105</v>
      </c>
      <c r="BK139" s="228">
        <v>398</v>
      </c>
      <c r="BL139" s="229">
        <v>3.7966000000000002</v>
      </c>
      <c r="BM139" s="228">
        <v>204</v>
      </c>
      <c r="BN139" s="228">
        <v>56</v>
      </c>
      <c r="BO139" s="228">
        <v>147</v>
      </c>
      <c r="BP139" s="229">
        <v>2.6286999999999998</v>
      </c>
      <c r="BQ139" s="228">
        <v>863</v>
      </c>
      <c r="BR139" s="228">
        <v>249</v>
      </c>
      <c r="BS139" s="228">
        <v>614</v>
      </c>
      <c r="BT139" s="229">
        <v>2.4712999999999998</v>
      </c>
      <c r="BU139" s="230">
        <v>922147</v>
      </c>
      <c r="BV139" s="230">
        <v>795502</v>
      </c>
      <c r="BW139" s="230">
        <v>126645</v>
      </c>
      <c r="BX139" s="229">
        <v>0.15920000000000001</v>
      </c>
      <c r="BY139" s="230">
        <v>1402</v>
      </c>
      <c r="BZ139" s="230">
        <v>1425</v>
      </c>
      <c r="CA139" s="228">
        <v>-23</v>
      </c>
      <c r="CB139" s="229">
        <v>-1.6199999999999999E-2</v>
      </c>
      <c r="CC139" s="230">
        <v>1392</v>
      </c>
      <c r="CD139" s="230">
        <v>1415</v>
      </c>
      <c r="CE139" s="228">
        <v>-23</v>
      </c>
      <c r="CF139" s="229">
        <v>-1.6400000000000001E-2</v>
      </c>
      <c r="CG139" s="228">
        <v>10</v>
      </c>
      <c r="CH139" s="228">
        <v>10</v>
      </c>
      <c r="CI139" s="228">
        <v>0</v>
      </c>
      <c r="CJ139" s="229">
        <v>-5.4000000000000003E-3</v>
      </c>
      <c r="CK139" s="228">
        <v>0</v>
      </c>
      <c r="CL139" s="228">
        <v>0</v>
      </c>
      <c r="CM139" s="228">
        <v>0</v>
      </c>
      <c r="CN139" s="229">
        <v>1.3332999999999999</v>
      </c>
      <c r="CO139" s="228">
        <v>168</v>
      </c>
      <c r="CP139" s="228">
        <v>159</v>
      </c>
      <c r="CQ139" s="228">
        <v>10</v>
      </c>
      <c r="CR139" s="229">
        <v>6.1199999999999997E-2</v>
      </c>
      <c r="CS139" s="228">
        <v>132</v>
      </c>
      <c r="CT139" s="228">
        <v>111</v>
      </c>
      <c r="CU139" s="228">
        <v>21</v>
      </c>
      <c r="CV139" s="229">
        <v>0.19120000000000001</v>
      </c>
      <c r="CW139" s="230">
        <v>1702</v>
      </c>
      <c r="CX139" s="230">
        <v>1694</v>
      </c>
      <c r="CY139" s="228">
        <v>8</v>
      </c>
      <c r="CZ139" s="229">
        <v>4.5999999999999999E-3</v>
      </c>
      <c r="DA139" s="228">
        <v>27.84</v>
      </c>
      <c r="DB139" s="228">
        <v>28.45</v>
      </c>
      <c r="DC139" s="228">
        <v>-0.61</v>
      </c>
      <c r="DD139" s="228">
        <v>-0.61</v>
      </c>
      <c r="DE139" s="228">
        <v>38.69</v>
      </c>
      <c r="DF139" s="228">
        <v>38.520000000000003</v>
      </c>
      <c r="DG139" s="228">
        <v>-10.85</v>
      </c>
      <c r="DH139" s="228">
        <v>0.17</v>
      </c>
      <c r="DI139" s="228">
        <v>27.64</v>
      </c>
      <c r="DJ139" s="228">
        <v>28.76</v>
      </c>
      <c r="DK139" s="228">
        <v>-1.1200000000000001</v>
      </c>
      <c r="DL139" s="228">
        <v>-1.1200000000000001</v>
      </c>
      <c r="DM139" s="228">
        <v>28.32</v>
      </c>
      <c r="DN139" s="228">
        <v>27.87</v>
      </c>
      <c r="DO139" s="228">
        <v>0.45</v>
      </c>
      <c r="DP139" s="228">
        <v>0.45</v>
      </c>
      <c r="DQ139" s="228">
        <v>0.78</v>
      </c>
      <c r="DR139" s="228">
        <v>0.7</v>
      </c>
      <c r="DS139" s="228">
        <v>0.08</v>
      </c>
      <c r="DT139" s="229">
        <v>0.1143</v>
      </c>
      <c r="DU139" s="231">
        <v>1400</v>
      </c>
      <c r="DV139" s="231">
        <v>1300</v>
      </c>
      <c r="DW139" s="228">
        <v>0.41</v>
      </c>
      <c r="DX139" s="228">
        <v>0.54</v>
      </c>
      <c r="DY139" s="228">
        <v>-0.13</v>
      </c>
      <c r="DZ139" s="229">
        <v>-0.2407</v>
      </c>
      <c r="EA139" s="229">
        <v>7.0000000000000001E-3</v>
      </c>
      <c r="EB139" s="230">
        <v>70125</v>
      </c>
      <c r="EC139" s="229">
        <v>3.3999999999999998E-3</v>
      </c>
      <c r="ED139" s="229">
        <v>7.0000000000000001E-3</v>
      </c>
      <c r="EE139" s="228">
        <v>-0.09</v>
      </c>
      <c r="EF139" s="229">
        <v>-1E-4</v>
      </c>
      <c r="EG139" s="230">
        <v>460756</v>
      </c>
      <c r="EH139" s="230">
        <v>552239</v>
      </c>
      <c r="EI139" s="229">
        <v>-0.16569999999999999</v>
      </c>
      <c r="EJ139" s="229">
        <v>0.49969999999999998</v>
      </c>
      <c r="EK139" s="228">
        <v>518.75</v>
      </c>
      <c r="EL139" s="228">
        <v>195.81</v>
      </c>
      <c r="EM139" s="228">
        <v>155.31</v>
      </c>
      <c r="EN139" s="228">
        <v>68.14</v>
      </c>
      <c r="EO139" s="228">
        <v>869.86</v>
      </c>
      <c r="EP139" s="228">
        <v>246.72</v>
      </c>
      <c r="EQ139" s="228">
        <v>623.15</v>
      </c>
      <c r="ER139" s="229">
        <v>2.5257999999999998</v>
      </c>
      <c r="ES139" s="228">
        <v>173.54</v>
      </c>
      <c r="ET139" s="228">
        <v>126.28</v>
      </c>
      <c r="EU139" s="231">
        <v>1401.62</v>
      </c>
      <c r="EV139" s="231">
        <v>60530911</v>
      </c>
      <c r="EW139" s="231">
        <v>1701.44</v>
      </c>
      <c r="EX139" s="231">
        <v>1646.01</v>
      </c>
      <c r="EY139" s="228">
        <v>55.43</v>
      </c>
      <c r="EZ139" s="229">
        <v>3.3700000000000001E-2</v>
      </c>
      <c r="FA139" s="229">
        <v>0.20300000000000001</v>
      </c>
      <c r="FB139" s="227" t="s">
        <v>556</v>
      </c>
      <c r="FC139">
        <f t="shared" si="2"/>
        <v>10</v>
      </c>
    </row>
    <row r="140" spans="1:159" ht="17.25" thickBot="1" x14ac:dyDescent="0.3">
      <c r="A140" s="226">
        <v>45936</v>
      </c>
      <c r="B140" s="227" t="s">
        <v>206</v>
      </c>
      <c r="C140" s="227" t="s">
        <v>550</v>
      </c>
      <c r="D140" s="228">
        <v>6500</v>
      </c>
      <c r="E140" s="228">
        <v>22</v>
      </c>
      <c r="F140" s="228">
        <v>111.97</v>
      </c>
      <c r="G140" s="228">
        <v>113.62</v>
      </c>
      <c r="H140" s="228">
        <v>-1.65</v>
      </c>
      <c r="I140" s="229">
        <v>-1.4500000000000001E-2</v>
      </c>
      <c r="J140" s="228">
        <v>111.34</v>
      </c>
      <c r="K140" s="228">
        <v>113.12</v>
      </c>
      <c r="L140" s="228">
        <v>-1.78</v>
      </c>
      <c r="M140" s="229">
        <v>-1.5699999999999999E-2</v>
      </c>
      <c r="N140" s="228">
        <v>111.97</v>
      </c>
      <c r="O140" s="228">
        <v>113.62</v>
      </c>
      <c r="P140" s="228">
        <v>-1.65</v>
      </c>
      <c r="Q140" s="229">
        <v>-1.4500000000000001E-2</v>
      </c>
      <c r="R140" s="228">
        <v>112.58</v>
      </c>
      <c r="S140" s="228">
        <v>114.23</v>
      </c>
      <c r="T140" s="228">
        <v>-1.65</v>
      </c>
      <c r="U140" s="229">
        <v>-1.44E-2</v>
      </c>
      <c r="V140" s="228">
        <v>113.37</v>
      </c>
      <c r="W140" s="228">
        <v>114</v>
      </c>
      <c r="X140" s="228">
        <v>-0.63</v>
      </c>
      <c r="Y140" s="229">
        <v>-5.4999999999999997E-3</v>
      </c>
      <c r="Z140" s="228">
        <v>0.63</v>
      </c>
      <c r="AA140" s="228">
        <v>0.5</v>
      </c>
      <c r="AB140" s="228">
        <v>0.13</v>
      </c>
      <c r="AC140" s="229">
        <v>5.7000000000000002E-3</v>
      </c>
      <c r="AD140" s="228">
        <v>0.63</v>
      </c>
      <c r="AE140" s="228">
        <v>0.5</v>
      </c>
      <c r="AF140" s="228">
        <v>0.13</v>
      </c>
      <c r="AG140" s="229">
        <v>5.7000000000000002E-3</v>
      </c>
      <c r="AH140" s="228">
        <v>1.24</v>
      </c>
      <c r="AI140" s="228">
        <v>1.1100000000000001</v>
      </c>
      <c r="AJ140" s="228">
        <v>0.13</v>
      </c>
      <c r="AK140" s="229">
        <v>1.11E-2</v>
      </c>
      <c r="AL140" s="228">
        <v>2.0299999999999998</v>
      </c>
      <c r="AM140" s="228">
        <v>0.88</v>
      </c>
      <c r="AN140" s="228">
        <v>1.1499999999999999</v>
      </c>
      <c r="AO140" s="229">
        <v>1.8200000000000001E-2</v>
      </c>
      <c r="AP140" s="228">
        <v>112.28</v>
      </c>
      <c r="AQ140" s="228">
        <v>112.91</v>
      </c>
      <c r="AR140" s="228">
        <v>0</v>
      </c>
      <c r="AS140" s="228">
        <v>117</v>
      </c>
      <c r="AT140" s="228">
        <v>174</v>
      </c>
      <c r="AU140" s="228">
        <v>-57</v>
      </c>
      <c r="AV140" s="229">
        <v>-0.32579999999999998</v>
      </c>
      <c r="AW140" s="228">
        <v>109</v>
      </c>
      <c r="AX140" s="228">
        <v>163</v>
      </c>
      <c r="AY140" s="228">
        <v>-55</v>
      </c>
      <c r="AZ140" s="229">
        <v>-0.33379999999999999</v>
      </c>
      <c r="BA140" s="228">
        <v>8</v>
      </c>
      <c r="BB140" s="228">
        <v>10</v>
      </c>
      <c r="BC140" s="228">
        <v>-3</v>
      </c>
      <c r="BD140" s="229">
        <v>-0.25180000000000002</v>
      </c>
      <c r="BE140" s="228">
        <v>1</v>
      </c>
      <c r="BF140" s="228">
        <v>0</v>
      </c>
      <c r="BG140" s="228">
        <v>0</v>
      </c>
      <c r="BH140" s="229">
        <v>1.2</v>
      </c>
      <c r="BI140" s="228">
        <v>217</v>
      </c>
      <c r="BJ140" s="228">
        <v>365</v>
      </c>
      <c r="BK140" s="228">
        <v>-148</v>
      </c>
      <c r="BL140" s="229">
        <v>-0.40550000000000003</v>
      </c>
      <c r="BM140" s="228">
        <v>71</v>
      </c>
      <c r="BN140" s="228">
        <v>113</v>
      </c>
      <c r="BO140" s="228">
        <v>-42</v>
      </c>
      <c r="BP140" s="229">
        <v>-0.37180000000000002</v>
      </c>
      <c r="BQ140" s="228">
        <v>405</v>
      </c>
      <c r="BR140" s="228">
        <v>652</v>
      </c>
      <c r="BS140" s="228">
        <v>-247</v>
      </c>
      <c r="BT140" s="229">
        <v>-0.37840000000000001</v>
      </c>
      <c r="BU140" s="230">
        <v>6706061</v>
      </c>
      <c r="BV140" s="230">
        <v>12489073</v>
      </c>
      <c r="BW140" s="230">
        <v>-5783012</v>
      </c>
      <c r="BX140" s="229">
        <v>-0.46300000000000002</v>
      </c>
      <c r="BY140" s="228">
        <v>684</v>
      </c>
      <c r="BZ140" s="228">
        <v>662</v>
      </c>
      <c r="CA140" s="228">
        <v>22</v>
      </c>
      <c r="CB140" s="229">
        <v>3.3300000000000003E-2</v>
      </c>
      <c r="CC140" s="228">
        <v>666</v>
      </c>
      <c r="CD140" s="228">
        <v>647</v>
      </c>
      <c r="CE140" s="228">
        <v>18</v>
      </c>
      <c r="CF140" s="229">
        <v>2.81E-2</v>
      </c>
      <c r="CG140" s="228">
        <v>17</v>
      </c>
      <c r="CH140" s="228">
        <v>14</v>
      </c>
      <c r="CI140" s="228">
        <v>3</v>
      </c>
      <c r="CJ140" s="229">
        <v>0.22450000000000001</v>
      </c>
      <c r="CK140" s="228">
        <v>1</v>
      </c>
      <c r="CL140" s="228">
        <v>0</v>
      </c>
      <c r="CM140" s="228">
        <v>1</v>
      </c>
      <c r="CN140" s="229">
        <v>2.25</v>
      </c>
      <c r="CO140" s="228">
        <v>242</v>
      </c>
      <c r="CP140" s="228">
        <v>196</v>
      </c>
      <c r="CQ140" s="228">
        <v>46</v>
      </c>
      <c r="CR140" s="229">
        <v>0.23480000000000001</v>
      </c>
      <c r="CS140" s="228">
        <v>119</v>
      </c>
      <c r="CT140" s="228">
        <v>116</v>
      </c>
      <c r="CU140" s="228">
        <v>3</v>
      </c>
      <c r="CV140" s="229">
        <v>2.5100000000000001E-2</v>
      </c>
      <c r="CW140" s="230">
        <v>1045</v>
      </c>
      <c r="CX140" s="228">
        <v>974</v>
      </c>
      <c r="CY140" s="228">
        <v>71</v>
      </c>
      <c r="CZ140" s="229">
        <v>7.2900000000000006E-2</v>
      </c>
      <c r="DA140" s="228">
        <v>35.630000000000003</v>
      </c>
      <c r="DB140" s="228">
        <v>33.68</v>
      </c>
      <c r="DC140" s="228">
        <v>1.95</v>
      </c>
      <c r="DD140" s="228">
        <v>1.95</v>
      </c>
      <c r="DE140" s="228">
        <v>53.34</v>
      </c>
      <c r="DF140" s="228">
        <v>53.43</v>
      </c>
      <c r="DG140" s="228">
        <v>-17.71</v>
      </c>
      <c r="DH140" s="228">
        <v>-0.09</v>
      </c>
      <c r="DI140" s="228">
        <v>35.65</v>
      </c>
      <c r="DJ140" s="228">
        <v>33.6</v>
      </c>
      <c r="DK140" s="228">
        <v>2.0499999999999998</v>
      </c>
      <c r="DL140" s="228">
        <v>2.0499999999999998</v>
      </c>
      <c r="DM140" s="228">
        <v>35.549999999999997</v>
      </c>
      <c r="DN140" s="228">
        <v>33.96</v>
      </c>
      <c r="DO140" s="228">
        <v>1.59</v>
      </c>
      <c r="DP140" s="228">
        <v>1.59</v>
      </c>
      <c r="DQ140" s="228">
        <v>0.49</v>
      </c>
      <c r="DR140" s="228">
        <v>0.59</v>
      </c>
      <c r="DS140" s="228">
        <v>-0.1</v>
      </c>
      <c r="DT140" s="229">
        <v>-0.16950000000000001</v>
      </c>
      <c r="DU140" s="228">
        <v>115</v>
      </c>
      <c r="DV140" s="228">
        <v>110</v>
      </c>
      <c r="DW140" s="228">
        <v>0.33</v>
      </c>
      <c r="DX140" s="228">
        <v>0.31</v>
      </c>
      <c r="DY140" s="228">
        <v>0.02</v>
      </c>
      <c r="DZ140" s="229">
        <v>6.4500000000000002E-2</v>
      </c>
      <c r="EA140" s="229">
        <v>2.69E-2</v>
      </c>
      <c r="EB140" s="230">
        <v>1300000</v>
      </c>
      <c r="EC140" s="229">
        <v>5.4000000000000003E-3</v>
      </c>
      <c r="ED140" s="229">
        <v>2.69E-2</v>
      </c>
      <c r="EE140" s="228">
        <v>0.63</v>
      </c>
      <c r="EF140" s="229">
        <v>5.5999999999999999E-3</v>
      </c>
      <c r="EG140" s="230">
        <v>2357443</v>
      </c>
      <c r="EH140" s="230">
        <v>4703469</v>
      </c>
      <c r="EI140" s="229">
        <v>-0.49880000000000002</v>
      </c>
      <c r="EJ140" s="229">
        <v>0.35149999999999998</v>
      </c>
      <c r="EK140" s="228">
        <v>231.49</v>
      </c>
      <c r="EL140" s="228">
        <v>69.900000000000006</v>
      </c>
      <c r="EM140" s="228">
        <v>117.55</v>
      </c>
      <c r="EN140" s="228">
        <v>38</v>
      </c>
      <c r="EO140" s="228">
        <v>418.94</v>
      </c>
      <c r="EP140" s="228">
        <v>672.37</v>
      </c>
      <c r="EQ140" s="228">
        <v>-253.43</v>
      </c>
      <c r="ER140" s="229">
        <v>-0.37690000000000001</v>
      </c>
      <c r="ES140" s="228">
        <v>250.62</v>
      </c>
      <c r="ET140" s="228">
        <v>113.09</v>
      </c>
      <c r="EU140" s="228">
        <v>684.1</v>
      </c>
      <c r="EV140" s="231">
        <v>154894704</v>
      </c>
      <c r="EW140" s="231">
        <v>1047.81</v>
      </c>
      <c r="EX140" s="228">
        <v>984.28</v>
      </c>
      <c r="EY140" s="228">
        <v>63.53</v>
      </c>
      <c r="EZ140" s="229">
        <v>6.4500000000000002E-2</v>
      </c>
      <c r="FA140" s="229">
        <v>0.60240000000000005</v>
      </c>
      <c r="FB140" s="227" t="s">
        <v>567</v>
      </c>
      <c r="FC140">
        <f t="shared" si="2"/>
        <v>18</v>
      </c>
    </row>
    <row r="141" spans="1:159" ht="17.25" thickBot="1" x14ac:dyDescent="0.3">
      <c r="A141" s="226">
        <v>45936</v>
      </c>
      <c r="B141" s="227" t="s">
        <v>215</v>
      </c>
      <c r="C141" s="227" t="s">
        <v>592</v>
      </c>
      <c r="D141" s="228">
        <v>2700</v>
      </c>
      <c r="E141" s="228">
        <v>22</v>
      </c>
      <c r="F141" s="228">
        <v>211.46</v>
      </c>
      <c r="G141" s="228">
        <v>211.73</v>
      </c>
      <c r="H141" s="228">
        <v>-0.27</v>
      </c>
      <c r="I141" s="229">
        <v>-1.2999999999999999E-3</v>
      </c>
      <c r="J141" s="228">
        <v>210.42</v>
      </c>
      <c r="K141" s="228">
        <v>210.38</v>
      </c>
      <c r="L141" s="228">
        <v>0.04</v>
      </c>
      <c r="M141" s="229">
        <v>2.0000000000000001E-4</v>
      </c>
      <c r="N141" s="228">
        <v>211.46</v>
      </c>
      <c r="O141" s="228">
        <v>211.73</v>
      </c>
      <c r="P141" s="228">
        <v>-0.27</v>
      </c>
      <c r="Q141" s="229">
        <v>-1.2999999999999999E-3</v>
      </c>
      <c r="R141" s="228">
        <v>212.78</v>
      </c>
      <c r="S141" s="228">
        <v>212.82</v>
      </c>
      <c r="T141" s="228">
        <v>-0.04</v>
      </c>
      <c r="U141" s="229">
        <v>-2.0000000000000001E-4</v>
      </c>
      <c r="V141" s="228">
        <v>213.8</v>
      </c>
      <c r="W141" s="228">
        <v>213.76</v>
      </c>
      <c r="X141" s="228">
        <v>0.04</v>
      </c>
      <c r="Y141" s="229">
        <v>2.0000000000000001E-4</v>
      </c>
      <c r="Z141" s="228">
        <v>1.04</v>
      </c>
      <c r="AA141" s="228">
        <v>1.35</v>
      </c>
      <c r="AB141" s="228">
        <v>-0.31</v>
      </c>
      <c r="AC141" s="229">
        <v>4.8999999999999998E-3</v>
      </c>
      <c r="AD141" s="228">
        <v>1.04</v>
      </c>
      <c r="AE141" s="228">
        <v>1.35</v>
      </c>
      <c r="AF141" s="228">
        <v>-0.31</v>
      </c>
      <c r="AG141" s="229">
        <v>4.8999999999999998E-3</v>
      </c>
      <c r="AH141" s="228">
        <v>2.36</v>
      </c>
      <c r="AI141" s="228">
        <v>2.44</v>
      </c>
      <c r="AJ141" s="228">
        <v>-0.08</v>
      </c>
      <c r="AK141" s="229">
        <v>1.12E-2</v>
      </c>
      <c r="AL141" s="228">
        <v>3.38</v>
      </c>
      <c r="AM141" s="228">
        <v>3.38</v>
      </c>
      <c r="AN141" s="228">
        <v>0</v>
      </c>
      <c r="AO141" s="229">
        <v>1.61E-2</v>
      </c>
      <c r="AP141" s="228">
        <v>211.02</v>
      </c>
      <c r="AQ141" s="228">
        <v>212.15</v>
      </c>
      <c r="AR141" s="228">
        <v>0</v>
      </c>
      <c r="AS141" s="228">
        <v>34</v>
      </c>
      <c r="AT141" s="228">
        <v>41</v>
      </c>
      <c r="AU141" s="228">
        <v>-7</v>
      </c>
      <c r="AV141" s="229">
        <v>-0.1767</v>
      </c>
      <c r="AW141" s="228">
        <v>32</v>
      </c>
      <c r="AX141" s="228">
        <v>37</v>
      </c>
      <c r="AY141" s="228">
        <v>-5</v>
      </c>
      <c r="AZ141" s="229">
        <v>-0.13739999999999999</v>
      </c>
      <c r="BA141" s="228">
        <v>1</v>
      </c>
      <c r="BB141" s="228">
        <v>3</v>
      </c>
      <c r="BC141" s="228">
        <v>-2</v>
      </c>
      <c r="BD141" s="229">
        <v>-0.64290000000000003</v>
      </c>
      <c r="BE141" s="228">
        <v>0</v>
      </c>
      <c r="BF141" s="228">
        <v>0</v>
      </c>
      <c r="BG141" s="228">
        <v>0</v>
      </c>
      <c r="BH141" s="229">
        <v>0</v>
      </c>
      <c r="BI141" s="228">
        <v>39</v>
      </c>
      <c r="BJ141" s="228">
        <v>31</v>
      </c>
      <c r="BK141" s="228">
        <v>8</v>
      </c>
      <c r="BL141" s="229">
        <v>0.25740000000000002</v>
      </c>
      <c r="BM141" s="228">
        <v>16</v>
      </c>
      <c r="BN141" s="228">
        <v>16</v>
      </c>
      <c r="BO141" s="228">
        <v>0</v>
      </c>
      <c r="BP141" s="229">
        <v>1.7899999999999999E-2</v>
      </c>
      <c r="BQ141" s="228">
        <v>89</v>
      </c>
      <c r="BR141" s="228">
        <v>88</v>
      </c>
      <c r="BS141" s="228">
        <v>1</v>
      </c>
      <c r="BT141" s="229">
        <v>1.24E-2</v>
      </c>
      <c r="BU141" s="230">
        <v>1230605</v>
      </c>
      <c r="BV141" s="230">
        <v>1200927</v>
      </c>
      <c r="BW141" s="230">
        <v>29678</v>
      </c>
      <c r="BX141" s="229">
        <v>2.47E-2</v>
      </c>
      <c r="BY141" s="228">
        <v>373</v>
      </c>
      <c r="BZ141" s="228">
        <v>378</v>
      </c>
      <c r="CA141" s="228">
        <v>-5</v>
      </c>
      <c r="CB141" s="229">
        <v>-1.3899999999999999E-2</v>
      </c>
      <c r="CC141" s="228">
        <v>359</v>
      </c>
      <c r="CD141" s="228">
        <v>364</v>
      </c>
      <c r="CE141" s="228">
        <v>-5</v>
      </c>
      <c r="CF141" s="229">
        <v>-1.46E-2</v>
      </c>
      <c r="CG141" s="228">
        <v>13</v>
      </c>
      <c r="CH141" s="228">
        <v>13</v>
      </c>
      <c r="CI141" s="228">
        <v>0</v>
      </c>
      <c r="CJ141" s="229">
        <v>0</v>
      </c>
      <c r="CK141" s="228">
        <v>0</v>
      </c>
      <c r="CL141" s="228">
        <v>0</v>
      </c>
      <c r="CM141" s="228">
        <v>0</v>
      </c>
      <c r="CN141" s="229">
        <v>0.25</v>
      </c>
      <c r="CO141" s="228">
        <v>96</v>
      </c>
      <c r="CP141" s="228">
        <v>87</v>
      </c>
      <c r="CQ141" s="228">
        <v>9</v>
      </c>
      <c r="CR141" s="229">
        <v>9.9900000000000003E-2</v>
      </c>
      <c r="CS141" s="228">
        <v>65</v>
      </c>
      <c r="CT141" s="228">
        <v>62</v>
      </c>
      <c r="CU141" s="228">
        <v>3</v>
      </c>
      <c r="CV141" s="229">
        <v>4.9500000000000002E-2</v>
      </c>
      <c r="CW141" s="228">
        <v>534</v>
      </c>
      <c r="CX141" s="228">
        <v>527</v>
      </c>
      <c r="CY141" s="228">
        <v>7</v>
      </c>
      <c r="CZ141" s="229">
        <v>1.24E-2</v>
      </c>
      <c r="DA141" s="228">
        <v>29.72</v>
      </c>
      <c r="DB141" s="228">
        <v>29.2</v>
      </c>
      <c r="DC141" s="228">
        <v>0.52</v>
      </c>
      <c r="DD141" s="228">
        <v>0.52</v>
      </c>
      <c r="DE141" s="228">
        <v>47.67</v>
      </c>
      <c r="DF141" s="228">
        <v>47.79</v>
      </c>
      <c r="DG141" s="228">
        <v>-17.95</v>
      </c>
      <c r="DH141" s="228">
        <v>-0.12</v>
      </c>
      <c r="DI141" s="228">
        <v>29.75</v>
      </c>
      <c r="DJ141" s="228">
        <v>29.21</v>
      </c>
      <c r="DK141" s="228">
        <v>0.54</v>
      </c>
      <c r="DL141" s="228">
        <v>0.54</v>
      </c>
      <c r="DM141" s="228">
        <v>29.65</v>
      </c>
      <c r="DN141" s="228">
        <v>29.18</v>
      </c>
      <c r="DO141" s="228">
        <v>0.47</v>
      </c>
      <c r="DP141" s="228">
        <v>0.47</v>
      </c>
      <c r="DQ141" s="228">
        <v>0.68</v>
      </c>
      <c r="DR141" s="228">
        <v>0.71</v>
      </c>
      <c r="DS141" s="228">
        <v>-0.03</v>
      </c>
      <c r="DT141" s="229">
        <v>-4.2299999999999997E-2</v>
      </c>
      <c r="DU141" s="228">
        <v>210</v>
      </c>
      <c r="DV141" s="228">
        <v>210</v>
      </c>
      <c r="DW141" s="228">
        <v>0.42</v>
      </c>
      <c r="DX141" s="228">
        <v>0.51</v>
      </c>
      <c r="DY141" s="228">
        <v>-0.09</v>
      </c>
      <c r="DZ141" s="229">
        <v>-0.17649999999999999</v>
      </c>
      <c r="EA141" s="229">
        <v>3.6200000000000003E-2</v>
      </c>
      <c r="EB141" s="230">
        <v>634500</v>
      </c>
      <c r="EC141" s="229">
        <v>6.1999999999999998E-3</v>
      </c>
      <c r="ED141" s="229">
        <v>3.6200000000000003E-2</v>
      </c>
      <c r="EE141" s="228">
        <v>1.1299999999999999</v>
      </c>
      <c r="EF141" s="229">
        <v>5.4000000000000003E-3</v>
      </c>
      <c r="EG141" s="230">
        <v>563052</v>
      </c>
      <c r="EH141" s="230">
        <v>531300</v>
      </c>
      <c r="EI141" s="229">
        <v>5.9799999999999999E-2</v>
      </c>
      <c r="EJ141" s="229">
        <v>0.45750000000000002</v>
      </c>
      <c r="EK141" s="228">
        <v>40.76</v>
      </c>
      <c r="EL141" s="228">
        <v>16.43</v>
      </c>
      <c r="EM141" s="228">
        <v>33.450000000000003</v>
      </c>
      <c r="EN141" s="228">
        <v>29.93</v>
      </c>
      <c r="EO141" s="228">
        <v>90.64</v>
      </c>
      <c r="EP141" s="228">
        <v>88.99</v>
      </c>
      <c r="EQ141" s="228">
        <v>1.65</v>
      </c>
      <c r="ER141" s="229">
        <v>1.8499999999999999E-2</v>
      </c>
      <c r="ES141" s="228">
        <v>98.83</v>
      </c>
      <c r="ET141" s="228">
        <v>64.37</v>
      </c>
      <c r="EU141" s="228">
        <v>372.63</v>
      </c>
      <c r="EV141" s="231">
        <v>72342848</v>
      </c>
      <c r="EW141" s="228">
        <v>535.83000000000004</v>
      </c>
      <c r="EX141" s="228">
        <v>529.33000000000004</v>
      </c>
      <c r="EY141" s="228">
        <v>6.5</v>
      </c>
      <c r="EZ141" s="229">
        <v>1.23E-2</v>
      </c>
      <c r="FA141" s="229">
        <v>0.34910000000000002</v>
      </c>
      <c r="FB141" s="227" t="s">
        <v>568</v>
      </c>
      <c r="FC141">
        <f t="shared" si="2"/>
        <v>14</v>
      </c>
    </row>
    <row r="142" spans="1:159" ht="17.25" thickBot="1" x14ac:dyDescent="0.3">
      <c r="A142" s="226">
        <v>45936</v>
      </c>
      <c r="B142" s="227" t="s">
        <v>168</v>
      </c>
      <c r="C142" s="227" t="s">
        <v>265</v>
      </c>
      <c r="D142" s="228">
        <v>500</v>
      </c>
      <c r="E142" s="228">
        <v>22</v>
      </c>
      <c r="F142" s="231">
        <v>1185.4000000000001</v>
      </c>
      <c r="G142" s="231">
        <v>1174.2</v>
      </c>
      <c r="H142" s="228">
        <v>11.2</v>
      </c>
      <c r="I142" s="229">
        <v>9.4999999999999998E-3</v>
      </c>
      <c r="J142" s="231">
        <v>1181.7</v>
      </c>
      <c r="K142" s="231">
        <v>1169.9000000000001</v>
      </c>
      <c r="L142" s="228">
        <v>11.8</v>
      </c>
      <c r="M142" s="229">
        <v>1.01E-2</v>
      </c>
      <c r="N142" s="231">
        <v>1185.4000000000001</v>
      </c>
      <c r="O142" s="231">
        <v>1174.2</v>
      </c>
      <c r="P142" s="228">
        <v>11.2</v>
      </c>
      <c r="Q142" s="229">
        <v>9.4999999999999998E-3</v>
      </c>
      <c r="R142" s="231">
        <v>1191.4000000000001</v>
      </c>
      <c r="S142" s="231">
        <v>1179.5999999999999</v>
      </c>
      <c r="T142" s="228">
        <v>11.8</v>
      </c>
      <c r="U142" s="229">
        <v>0.01</v>
      </c>
      <c r="V142" s="231">
        <v>1197.5</v>
      </c>
      <c r="W142" s="231">
        <v>1186.5999999999999</v>
      </c>
      <c r="X142" s="228">
        <v>10.9</v>
      </c>
      <c r="Y142" s="229">
        <v>9.1999999999999998E-3</v>
      </c>
      <c r="Z142" s="228">
        <v>3.7</v>
      </c>
      <c r="AA142" s="228">
        <v>4.3</v>
      </c>
      <c r="AB142" s="228">
        <v>-0.6</v>
      </c>
      <c r="AC142" s="229">
        <v>3.0999999999999999E-3</v>
      </c>
      <c r="AD142" s="228">
        <v>3.7</v>
      </c>
      <c r="AE142" s="228">
        <v>4.3</v>
      </c>
      <c r="AF142" s="228">
        <v>-0.6</v>
      </c>
      <c r="AG142" s="229">
        <v>3.0999999999999999E-3</v>
      </c>
      <c r="AH142" s="228">
        <v>9.6999999999999993</v>
      </c>
      <c r="AI142" s="228">
        <v>9.6999999999999993</v>
      </c>
      <c r="AJ142" s="228">
        <v>0</v>
      </c>
      <c r="AK142" s="229">
        <v>8.2000000000000007E-3</v>
      </c>
      <c r="AL142" s="228">
        <v>15.8</v>
      </c>
      <c r="AM142" s="228">
        <v>16.7</v>
      </c>
      <c r="AN142" s="228">
        <v>-0.9</v>
      </c>
      <c r="AO142" s="229">
        <v>1.34E-2</v>
      </c>
      <c r="AP142" s="231">
        <v>1181.08</v>
      </c>
      <c r="AQ142" s="231">
        <v>1184.5999999999999</v>
      </c>
      <c r="AR142" s="228">
        <v>0</v>
      </c>
      <c r="AS142" s="228">
        <v>136</v>
      </c>
      <c r="AT142" s="228">
        <v>121</v>
      </c>
      <c r="AU142" s="228">
        <v>15</v>
      </c>
      <c r="AV142" s="229">
        <v>0.1216</v>
      </c>
      <c r="AW142" s="228">
        <v>127</v>
      </c>
      <c r="AX142" s="228">
        <v>115</v>
      </c>
      <c r="AY142" s="228">
        <v>12</v>
      </c>
      <c r="AZ142" s="229">
        <v>0.1009</v>
      </c>
      <c r="BA142" s="228">
        <v>9</v>
      </c>
      <c r="BB142" s="228">
        <v>6</v>
      </c>
      <c r="BC142" s="228">
        <v>3</v>
      </c>
      <c r="BD142" s="229">
        <v>0.51</v>
      </c>
      <c r="BE142" s="228">
        <v>0</v>
      </c>
      <c r="BF142" s="228">
        <v>0</v>
      </c>
      <c r="BG142" s="228">
        <v>0</v>
      </c>
      <c r="BH142" s="229">
        <v>0.5</v>
      </c>
      <c r="BI142" s="228">
        <v>358</v>
      </c>
      <c r="BJ142" s="228">
        <v>249</v>
      </c>
      <c r="BK142" s="228">
        <v>109</v>
      </c>
      <c r="BL142" s="229">
        <v>0.43759999999999999</v>
      </c>
      <c r="BM142" s="228">
        <v>166</v>
      </c>
      <c r="BN142" s="228">
        <v>89</v>
      </c>
      <c r="BO142" s="228">
        <v>77</v>
      </c>
      <c r="BP142" s="229">
        <v>0.86309999999999998</v>
      </c>
      <c r="BQ142" s="228">
        <v>660</v>
      </c>
      <c r="BR142" s="228">
        <v>459</v>
      </c>
      <c r="BS142" s="228">
        <v>201</v>
      </c>
      <c r="BT142" s="229">
        <v>0.43680000000000002</v>
      </c>
      <c r="BU142" s="230">
        <v>674315</v>
      </c>
      <c r="BV142" s="230">
        <v>1221733</v>
      </c>
      <c r="BW142" s="230">
        <v>-547418</v>
      </c>
      <c r="BX142" s="229">
        <v>-0.4481</v>
      </c>
      <c r="BY142" s="230">
        <v>2115</v>
      </c>
      <c r="BZ142" s="230">
        <v>2124</v>
      </c>
      <c r="CA142" s="228">
        <v>-9</v>
      </c>
      <c r="CB142" s="229">
        <v>-4.1000000000000003E-3</v>
      </c>
      <c r="CC142" s="230">
        <v>2080</v>
      </c>
      <c r="CD142" s="230">
        <v>2091</v>
      </c>
      <c r="CE142" s="228">
        <v>-12</v>
      </c>
      <c r="CF142" s="229">
        <v>-5.5999999999999999E-3</v>
      </c>
      <c r="CG142" s="228">
        <v>34</v>
      </c>
      <c r="CH142" s="228">
        <v>32</v>
      </c>
      <c r="CI142" s="228">
        <v>3</v>
      </c>
      <c r="CJ142" s="229">
        <v>8.6499999999999994E-2</v>
      </c>
      <c r="CK142" s="228">
        <v>1</v>
      </c>
      <c r="CL142" s="228">
        <v>1</v>
      </c>
      <c r="CM142" s="228">
        <v>0</v>
      </c>
      <c r="CN142" s="229">
        <v>0.35709999999999997</v>
      </c>
      <c r="CO142" s="228">
        <v>307</v>
      </c>
      <c r="CP142" s="228">
        <v>246</v>
      </c>
      <c r="CQ142" s="228">
        <v>61</v>
      </c>
      <c r="CR142" s="229">
        <v>0.24579999999999999</v>
      </c>
      <c r="CS142" s="228">
        <v>168</v>
      </c>
      <c r="CT142" s="228">
        <v>156</v>
      </c>
      <c r="CU142" s="228">
        <v>13</v>
      </c>
      <c r="CV142" s="229">
        <v>8.1199999999999994E-2</v>
      </c>
      <c r="CW142" s="230">
        <v>2590</v>
      </c>
      <c r="CX142" s="230">
        <v>2525</v>
      </c>
      <c r="CY142" s="228">
        <v>64</v>
      </c>
      <c r="CZ142" s="229">
        <v>2.5499999999999998E-2</v>
      </c>
      <c r="DA142" s="228">
        <v>17.47</v>
      </c>
      <c r="DB142" s="228">
        <v>17.899999999999999</v>
      </c>
      <c r="DC142" s="228">
        <v>-0.43</v>
      </c>
      <c r="DD142" s="228">
        <v>-0.43</v>
      </c>
      <c r="DE142" s="228">
        <v>23.58</v>
      </c>
      <c r="DF142" s="228">
        <v>23.6</v>
      </c>
      <c r="DG142" s="228">
        <v>-6.11</v>
      </c>
      <c r="DH142" s="228">
        <v>-0.02</v>
      </c>
      <c r="DI142" s="228">
        <v>17.16</v>
      </c>
      <c r="DJ142" s="228">
        <v>17.809999999999999</v>
      </c>
      <c r="DK142" s="228">
        <v>-0.65</v>
      </c>
      <c r="DL142" s="228">
        <v>-0.65</v>
      </c>
      <c r="DM142" s="228">
        <v>18.16</v>
      </c>
      <c r="DN142" s="228">
        <v>18.14</v>
      </c>
      <c r="DO142" s="228">
        <v>0.02</v>
      </c>
      <c r="DP142" s="228">
        <v>0.02</v>
      </c>
      <c r="DQ142" s="228">
        <v>0.55000000000000004</v>
      </c>
      <c r="DR142" s="228">
        <v>0.63</v>
      </c>
      <c r="DS142" s="228">
        <v>-0.08</v>
      </c>
      <c r="DT142" s="229">
        <v>-0.127</v>
      </c>
      <c r="DU142" s="231">
        <v>1200</v>
      </c>
      <c r="DV142" s="231">
        <v>1180</v>
      </c>
      <c r="DW142" s="228">
        <v>0.46</v>
      </c>
      <c r="DX142" s="228">
        <v>0.36</v>
      </c>
      <c r="DY142" s="228">
        <v>0.1</v>
      </c>
      <c r="DZ142" s="229">
        <v>0.27779999999999999</v>
      </c>
      <c r="EA142" s="229">
        <v>1.67E-2</v>
      </c>
      <c r="EB142" s="230">
        <v>273000</v>
      </c>
      <c r="EC142" s="229">
        <v>5.1000000000000004E-3</v>
      </c>
      <c r="ED142" s="229">
        <v>1.67E-2</v>
      </c>
      <c r="EE142" s="228">
        <v>3.52</v>
      </c>
      <c r="EF142" s="229">
        <v>3.0000000000000001E-3</v>
      </c>
      <c r="EG142" s="230">
        <v>366736</v>
      </c>
      <c r="EH142" s="230">
        <v>839711</v>
      </c>
      <c r="EI142" s="229">
        <v>-0.56330000000000002</v>
      </c>
      <c r="EJ142" s="229">
        <v>0.54390000000000005</v>
      </c>
      <c r="EK142" s="228">
        <v>365.96</v>
      </c>
      <c r="EL142" s="228">
        <v>163.69</v>
      </c>
      <c r="EM142" s="228">
        <v>135.62</v>
      </c>
      <c r="EN142" s="228">
        <v>95.06</v>
      </c>
      <c r="EO142" s="228">
        <v>665.28</v>
      </c>
      <c r="EP142" s="228">
        <v>460.67</v>
      </c>
      <c r="EQ142" s="228">
        <v>204.61</v>
      </c>
      <c r="ER142" s="229">
        <v>0.44419999999999998</v>
      </c>
      <c r="ES142" s="228">
        <v>312.73</v>
      </c>
      <c r="ET142" s="228">
        <v>162.94999999999999</v>
      </c>
      <c r="EU142" s="231">
        <v>2115.1799999999998</v>
      </c>
      <c r="EV142" s="231">
        <v>71801274</v>
      </c>
      <c r="EW142" s="231">
        <v>2590.86</v>
      </c>
      <c r="EX142" s="231">
        <v>2504.7800000000002</v>
      </c>
      <c r="EY142" s="228">
        <v>86.08</v>
      </c>
      <c r="EZ142" s="229">
        <v>3.44E-2</v>
      </c>
      <c r="FA142" s="229">
        <v>0.30430000000000001</v>
      </c>
      <c r="FB142" s="227" t="s">
        <v>556</v>
      </c>
      <c r="FC142">
        <f t="shared" si="2"/>
        <v>35</v>
      </c>
    </row>
    <row r="143" spans="1:159" ht="17.25" thickBot="1" x14ac:dyDescent="0.3">
      <c r="A143" s="226">
        <v>45936</v>
      </c>
      <c r="B143" s="227" t="s">
        <v>161</v>
      </c>
      <c r="C143" s="227" t="s">
        <v>586</v>
      </c>
      <c r="D143" s="228">
        <v>6400</v>
      </c>
      <c r="E143" s="228">
        <v>22</v>
      </c>
      <c r="F143" s="228">
        <v>87.02</v>
      </c>
      <c r="G143" s="228">
        <v>87.48</v>
      </c>
      <c r="H143" s="228">
        <v>-0.46</v>
      </c>
      <c r="I143" s="229">
        <v>-5.3E-3</v>
      </c>
      <c r="J143" s="228">
        <v>86.61</v>
      </c>
      <c r="K143" s="228">
        <v>86.93</v>
      </c>
      <c r="L143" s="228">
        <v>-0.32</v>
      </c>
      <c r="M143" s="229">
        <v>-3.7000000000000002E-3</v>
      </c>
      <c r="N143" s="228">
        <v>87.02</v>
      </c>
      <c r="O143" s="228">
        <v>87.48</v>
      </c>
      <c r="P143" s="228">
        <v>-0.46</v>
      </c>
      <c r="Q143" s="229">
        <v>-5.3E-3</v>
      </c>
      <c r="R143" s="228">
        <v>87.5</v>
      </c>
      <c r="S143" s="228">
        <v>87.93</v>
      </c>
      <c r="T143" s="228">
        <v>-0.43</v>
      </c>
      <c r="U143" s="229">
        <v>-4.8999999999999998E-3</v>
      </c>
      <c r="V143" s="228">
        <v>87.74</v>
      </c>
      <c r="W143" s="228">
        <v>88.4</v>
      </c>
      <c r="X143" s="228">
        <v>-0.66</v>
      </c>
      <c r="Y143" s="229">
        <v>-7.4999999999999997E-3</v>
      </c>
      <c r="Z143" s="228">
        <v>0.41</v>
      </c>
      <c r="AA143" s="228">
        <v>0.55000000000000004</v>
      </c>
      <c r="AB143" s="228">
        <v>-0.14000000000000001</v>
      </c>
      <c r="AC143" s="229">
        <v>4.7000000000000002E-3</v>
      </c>
      <c r="AD143" s="228">
        <v>0.41</v>
      </c>
      <c r="AE143" s="228">
        <v>0.55000000000000004</v>
      </c>
      <c r="AF143" s="228">
        <v>-0.14000000000000001</v>
      </c>
      <c r="AG143" s="229">
        <v>4.7000000000000002E-3</v>
      </c>
      <c r="AH143" s="228">
        <v>0.89</v>
      </c>
      <c r="AI143" s="228">
        <v>1</v>
      </c>
      <c r="AJ143" s="228">
        <v>-0.11</v>
      </c>
      <c r="AK143" s="229">
        <v>1.03E-2</v>
      </c>
      <c r="AL143" s="228">
        <v>1.1299999999999999</v>
      </c>
      <c r="AM143" s="228">
        <v>1.47</v>
      </c>
      <c r="AN143" s="228">
        <v>-0.34</v>
      </c>
      <c r="AO143" s="229">
        <v>1.2999999999999999E-2</v>
      </c>
      <c r="AP143" s="228">
        <v>86.92</v>
      </c>
      <c r="AQ143" s="228">
        <v>87.42</v>
      </c>
      <c r="AR143" s="228">
        <v>0</v>
      </c>
      <c r="AS143" s="228">
        <v>38</v>
      </c>
      <c r="AT143" s="228">
        <v>58</v>
      </c>
      <c r="AU143" s="228">
        <v>-20</v>
      </c>
      <c r="AV143" s="229">
        <v>-0.34100000000000003</v>
      </c>
      <c r="AW143" s="228">
        <v>35</v>
      </c>
      <c r="AX143" s="228">
        <v>55</v>
      </c>
      <c r="AY143" s="228">
        <v>-20</v>
      </c>
      <c r="AZ143" s="229">
        <v>-0.371</v>
      </c>
      <c r="BA143" s="228">
        <v>3</v>
      </c>
      <c r="BB143" s="228">
        <v>3</v>
      </c>
      <c r="BC143" s="228">
        <v>0</v>
      </c>
      <c r="BD143" s="229">
        <v>0.17780000000000001</v>
      </c>
      <c r="BE143" s="228">
        <v>1</v>
      </c>
      <c r="BF143" s="228">
        <v>0</v>
      </c>
      <c r="BG143" s="228">
        <v>0</v>
      </c>
      <c r="BH143" s="229">
        <v>0.57140000000000002</v>
      </c>
      <c r="BI143" s="228">
        <v>64</v>
      </c>
      <c r="BJ143" s="228">
        <v>70</v>
      </c>
      <c r="BK143" s="228">
        <v>-7</v>
      </c>
      <c r="BL143" s="229">
        <v>-9.2899999999999996E-2</v>
      </c>
      <c r="BM143" s="228">
        <v>17</v>
      </c>
      <c r="BN143" s="228">
        <v>34</v>
      </c>
      <c r="BO143" s="228">
        <v>-17</v>
      </c>
      <c r="BP143" s="229">
        <v>-0.50749999999999995</v>
      </c>
      <c r="BQ143" s="228">
        <v>118</v>
      </c>
      <c r="BR143" s="228">
        <v>162</v>
      </c>
      <c r="BS143" s="228">
        <v>-43</v>
      </c>
      <c r="BT143" s="229">
        <v>-0.2681</v>
      </c>
      <c r="BU143" s="230">
        <v>6739927</v>
      </c>
      <c r="BV143" s="230">
        <v>9313320</v>
      </c>
      <c r="BW143" s="230">
        <v>-2573393</v>
      </c>
      <c r="BX143" s="229">
        <v>-0.27629999999999999</v>
      </c>
      <c r="BY143" s="228">
        <v>421</v>
      </c>
      <c r="BZ143" s="228">
        <v>412</v>
      </c>
      <c r="CA143" s="228">
        <v>9</v>
      </c>
      <c r="CB143" s="229">
        <v>2.07E-2</v>
      </c>
      <c r="CC143" s="228">
        <v>409</v>
      </c>
      <c r="CD143" s="228">
        <v>401</v>
      </c>
      <c r="CE143" s="228">
        <v>7</v>
      </c>
      <c r="CF143" s="229">
        <v>1.7600000000000001E-2</v>
      </c>
      <c r="CG143" s="228">
        <v>11</v>
      </c>
      <c r="CH143" s="228">
        <v>10</v>
      </c>
      <c r="CI143" s="228">
        <v>1</v>
      </c>
      <c r="CJ143" s="229">
        <v>0.1033</v>
      </c>
      <c r="CK143" s="228">
        <v>1</v>
      </c>
      <c r="CL143" s="228">
        <v>0</v>
      </c>
      <c r="CM143" s="228">
        <v>0</v>
      </c>
      <c r="CN143" s="229">
        <v>1</v>
      </c>
      <c r="CO143" s="228">
        <v>120</v>
      </c>
      <c r="CP143" s="228">
        <v>106</v>
      </c>
      <c r="CQ143" s="228">
        <v>15</v>
      </c>
      <c r="CR143" s="229">
        <v>0.13739999999999999</v>
      </c>
      <c r="CS143" s="228">
        <v>57</v>
      </c>
      <c r="CT143" s="228">
        <v>54</v>
      </c>
      <c r="CU143" s="228">
        <v>3</v>
      </c>
      <c r="CV143" s="229">
        <v>5.0200000000000002E-2</v>
      </c>
      <c r="CW143" s="228">
        <v>598</v>
      </c>
      <c r="CX143" s="228">
        <v>572</v>
      </c>
      <c r="CY143" s="228">
        <v>26</v>
      </c>
      <c r="CZ143" s="229">
        <v>4.5100000000000001E-2</v>
      </c>
      <c r="DA143" s="228">
        <v>29.26</v>
      </c>
      <c r="DB143" s="228">
        <v>28.63</v>
      </c>
      <c r="DC143" s="228">
        <v>0.63</v>
      </c>
      <c r="DD143" s="228">
        <v>0.63</v>
      </c>
      <c r="DE143" s="228">
        <v>40.22</v>
      </c>
      <c r="DF143" s="228">
        <v>40.32</v>
      </c>
      <c r="DG143" s="228">
        <v>-10.96</v>
      </c>
      <c r="DH143" s="228">
        <v>-0.1</v>
      </c>
      <c r="DI143" s="228">
        <v>29.18</v>
      </c>
      <c r="DJ143" s="228">
        <v>28.68</v>
      </c>
      <c r="DK143" s="228">
        <v>0.5</v>
      </c>
      <c r="DL143" s="228">
        <v>0.5</v>
      </c>
      <c r="DM143" s="228">
        <v>29.59</v>
      </c>
      <c r="DN143" s="228">
        <v>28.54</v>
      </c>
      <c r="DO143" s="228">
        <v>1.05</v>
      </c>
      <c r="DP143" s="228">
        <v>1.05</v>
      </c>
      <c r="DQ143" s="228">
        <v>0.47</v>
      </c>
      <c r="DR143" s="228">
        <v>0.51</v>
      </c>
      <c r="DS143" s="228">
        <v>-0.04</v>
      </c>
      <c r="DT143" s="229">
        <v>-7.8399999999999997E-2</v>
      </c>
      <c r="DU143" s="228">
        <v>90</v>
      </c>
      <c r="DV143" s="228">
        <v>85</v>
      </c>
      <c r="DW143" s="228">
        <v>0.26</v>
      </c>
      <c r="DX143" s="228">
        <v>0.48</v>
      </c>
      <c r="DY143" s="228">
        <v>-0.22</v>
      </c>
      <c r="DZ143" s="229">
        <v>-0.45829999999999999</v>
      </c>
      <c r="EA143" s="229">
        <v>2.87E-2</v>
      </c>
      <c r="EB143" s="230">
        <v>1222400</v>
      </c>
      <c r="EC143" s="229">
        <v>5.4999999999999997E-3</v>
      </c>
      <c r="ED143" s="229">
        <v>2.87E-2</v>
      </c>
      <c r="EE143" s="228">
        <v>0.5</v>
      </c>
      <c r="EF143" s="229">
        <v>5.7999999999999996E-3</v>
      </c>
      <c r="EG143" s="230">
        <v>3845742</v>
      </c>
      <c r="EH143" s="230">
        <v>5064998</v>
      </c>
      <c r="EI143" s="229">
        <v>-0.2407</v>
      </c>
      <c r="EJ143" s="229">
        <v>0.5706</v>
      </c>
      <c r="EK143" s="228">
        <v>67.02</v>
      </c>
      <c r="EL143" s="228">
        <v>16.34</v>
      </c>
      <c r="EM143" s="228">
        <v>38.299999999999997</v>
      </c>
      <c r="EN143" s="228">
        <v>26.9</v>
      </c>
      <c r="EO143" s="228">
        <v>121.65</v>
      </c>
      <c r="EP143" s="228">
        <v>164.94</v>
      </c>
      <c r="EQ143" s="228">
        <v>-43.29</v>
      </c>
      <c r="ER143" s="229">
        <v>-0.26250000000000001</v>
      </c>
      <c r="ES143" s="228">
        <v>125.89</v>
      </c>
      <c r="ET143" s="228">
        <v>54.59</v>
      </c>
      <c r="EU143" s="228">
        <v>420.66</v>
      </c>
      <c r="EV143" s="231">
        <v>398201603</v>
      </c>
      <c r="EW143" s="228">
        <v>601.14</v>
      </c>
      <c r="EX143" s="228">
        <v>576.71</v>
      </c>
      <c r="EY143" s="228">
        <v>24.43</v>
      </c>
      <c r="EZ143" s="229">
        <v>4.24E-2</v>
      </c>
      <c r="FA143" s="229">
        <v>0.1726</v>
      </c>
      <c r="FB143" s="227" t="s">
        <v>567</v>
      </c>
      <c r="FC143">
        <f t="shared" si="2"/>
        <v>12</v>
      </c>
    </row>
    <row r="144" spans="1:159" ht="17.25" thickBot="1" x14ac:dyDescent="0.3">
      <c r="A144" s="226">
        <v>45936</v>
      </c>
      <c r="B144" s="227" t="s">
        <v>181</v>
      </c>
      <c r="C144" s="227" t="s">
        <v>266</v>
      </c>
      <c r="D144" s="228">
        <v>75</v>
      </c>
      <c r="E144" s="228">
        <v>22</v>
      </c>
      <c r="F144" s="231">
        <v>25185.4</v>
      </c>
      <c r="G144" s="231">
        <v>25006.6</v>
      </c>
      <c r="H144" s="228">
        <v>178.8</v>
      </c>
      <c r="I144" s="229">
        <v>7.1999999999999998E-3</v>
      </c>
      <c r="J144" s="231">
        <v>25077.65</v>
      </c>
      <c r="K144" s="231">
        <v>24894.25</v>
      </c>
      <c r="L144" s="228">
        <v>183.4</v>
      </c>
      <c r="M144" s="229">
        <v>7.4000000000000003E-3</v>
      </c>
      <c r="N144" s="231">
        <v>25185.4</v>
      </c>
      <c r="O144" s="231">
        <v>25006.6</v>
      </c>
      <c r="P144" s="228">
        <v>178.8</v>
      </c>
      <c r="Q144" s="229">
        <v>7.1999999999999998E-3</v>
      </c>
      <c r="R144" s="231">
        <v>25314.2</v>
      </c>
      <c r="S144" s="231">
        <v>25137.4</v>
      </c>
      <c r="T144" s="228">
        <v>176.8</v>
      </c>
      <c r="U144" s="229">
        <v>7.0000000000000001E-3</v>
      </c>
      <c r="V144" s="231">
        <v>25472.5</v>
      </c>
      <c r="W144" s="231">
        <v>25290.7</v>
      </c>
      <c r="X144" s="228">
        <v>181.8</v>
      </c>
      <c r="Y144" s="229">
        <v>7.1999999999999998E-3</v>
      </c>
      <c r="Z144" s="228">
        <v>107.75</v>
      </c>
      <c r="AA144" s="228">
        <v>112.35</v>
      </c>
      <c r="AB144" s="228">
        <v>-4.5999999999999996</v>
      </c>
      <c r="AC144" s="229">
        <v>4.3E-3</v>
      </c>
      <c r="AD144" s="228">
        <v>107.75</v>
      </c>
      <c r="AE144" s="228">
        <v>112.35</v>
      </c>
      <c r="AF144" s="228">
        <v>-4.5999999999999996</v>
      </c>
      <c r="AG144" s="229">
        <v>4.3E-3</v>
      </c>
      <c r="AH144" s="228">
        <v>236.55</v>
      </c>
      <c r="AI144" s="228">
        <v>243.15</v>
      </c>
      <c r="AJ144" s="228">
        <v>-6.6</v>
      </c>
      <c r="AK144" s="229">
        <v>9.4000000000000004E-3</v>
      </c>
      <c r="AL144" s="228">
        <v>394.85</v>
      </c>
      <c r="AM144" s="228">
        <v>396.45</v>
      </c>
      <c r="AN144" s="228">
        <v>-1.6</v>
      </c>
      <c r="AO144" s="229">
        <v>1.5699999999999999E-2</v>
      </c>
      <c r="AP144" s="231">
        <v>25106.06</v>
      </c>
      <c r="AQ144" s="231">
        <v>25239.52</v>
      </c>
      <c r="AR144" s="228">
        <v>0</v>
      </c>
      <c r="AS144" s="230">
        <v>15081</v>
      </c>
      <c r="AT144" s="230">
        <v>12367</v>
      </c>
      <c r="AU144" s="230">
        <v>2714</v>
      </c>
      <c r="AV144" s="229">
        <v>0.21940000000000001</v>
      </c>
      <c r="AW144" s="230">
        <v>13902</v>
      </c>
      <c r="AX144" s="230">
        <v>11507</v>
      </c>
      <c r="AY144" s="230">
        <v>2395</v>
      </c>
      <c r="AZ144" s="229">
        <v>0.20810000000000001</v>
      </c>
      <c r="BA144" s="228">
        <v>876</v>
      </c>
      <c r="BB144" s="228">
        <v>634</v>
      </c>
      <c r="BC144" s="228">
        <v>241</v>
      </c>
      <c r="BD144" s="229">
        <v>0.38059999999999999</v>
      </c>
      <c r="BE144" s="228">
        <v>303</v>
      </c>
      <c r="BF144" s="228">
        <v>226</v>
      </c>
      <c r="BG144" s="228">
        <v>77</v>
      </c>
      <c r="BH144" s="229">
        <v>0.34310000000000002</v>
      </c>
      <c r="BI144" s="230">
        <v>14651081</v>
      </c>
      <c r="BJ144" s="230">
        <v>9783700</v>
      </c>
      <c r="BK144" s="230">
        <v>4867381</v>
      </c>
      <c r="BL144" s="229">
        <v>0.4975</v>
      </c>
      <c r="BM144" s="230">
        <v>12953021</v>
      </c>
      <c r="BN144" s="230">
        <v>9000293</v>
      </c>
      <c r="BO144" s="230">
        <v>3952729</v>
      </c>
      <c r="BP144" s="229">
        <v>0.43919999999999998</v>
      </c>
      <c r="BQ144" s="230">
        <v>27619183</v>
      </c>
      <c r="BR144" s="230">
        <v>18796359</v>
      </c>
      <c r="BS144" s="230">
        <v>8822824</v>
      </c>
      <c r="BT144" s="229">
        <v>0.46939999999999998</v>
      </c>
      <c r="BU144" s="228">
        <v>0</v>
      </c>
      <c r="BV144" s="228">
        <v>0</v>
      </c>
      <c r="BW144" s="228">
        <v>0</v>
      </c>
      <c r="BX144" s="229">
        <v>0</v>
      </c>
      <c r="BY144" s="230">
        <v>49351</v>
      </c>
      <c r="BZ144" s="230">
        <v>48476</v>
      </c>
      <c r="CA144" s="228">
        <v>875</v>
      </c>
      <c r="CB144" s="229">
        <v>1.8100000000000002E-2</v>
      </c>
      <c r="CC144" s="230">
        <v>46080</v>
      </c>
      <c r="CD144" s="230">
        <v>45373</v>
      </c>
      <c r="CE144" s="228">
        <v>708</v>
      </c>
      <c r="CF144" s="229">
        <v>1.5599999999999999E-2</v>
      </c>
      <c r="CG144" s="230">
        <v>2774</v>
      </c>
      <c r="CH144" s="230">
        <v>2695</v>
      </c>
      <c r="CI144" s="228">
        <v>79</v>
      </c>
      <c r="CJ144" s="229">
        <v>2.9399999999999999E-2</v>
      </c>
      <c r="CK144" s="228">
        <v>497</v>
      </c>
      <c r="CL144" s="228">
        <v>408</v>
      </c>
      <c r="CM144" s="228">
        <v>88</v>
      </c>
      <c r="CN144" s="229">
        <v>0.21659999999999999</v>
      </c>
      <c r="CO144" s="230">
        <v>643301</v>
      </c>
      <c r="CP144" s="230">
        <v>642112</v>
      </c>
      <c r="CQ144" s="230">
        <v>1190</v>
      </c>
      <c r="CR144" s="229">
        <v>1.9E-3</v>
      </c>
      <c r="CS144" s="230">
        <v>857234</v>
      </c>
      <c r="CT144" s="230">
        <v>752687</v>
      </c>
      <c r="CU144" s="230">
        <v>104547</v>
      </c>
      <c r="CV144" s="229">
        <v>0.1389</v>
      </c>
      <c r="CW144" s="230">
        <v>1549886</v>
      </c>
      <c r="CX144" s="230">
        <v>1443274</v>
      </c>
      <c r="CY144" s="230">
        <v>106611</v>
      </c>
      <c r="CZ144" s="229">
        <v>7.3899999999999993E-2</v>
      </c>
      <c r="DA144" s="228">
        <v>10.210000000000001</v>
      </c>
      <c r="DB144" s="228">
        <v>9.4600000000000009</v>
      </c>
      <c r="DC144" s="228">
        <v>0.75</v>
      </c>
      <c r="DD144" s="228">
        <v>0.75</v>
      </c>
      <c r="DE144" s="228">
        <v>15.25</v>
      </c>
      <c r="DF144" s="228">
        <v>15.26</v>
      </c>
      <c r="DG144" s="228">
        <v>-5.04</v>
      </c>
      <c r="DH144" s="228">
        <v>-0.01</v>
      </c>
      <c r="DI144" s="228">
        <v>9</v>
      </c>
      <c r="DJ144" s="228">
        <v>8.68</v>
      </c>
      <c r="DK144" s="228">
        <v>0.32</v>
      </c>
      <c r="DL144" s="228">
        <v>0.32</v>
      </c>
      <c r="DM144" s="228">
        <v>11.56</v>
      </c>
      <c r="DN144" s="228">
        <v>10.33</v>
      </c>
      <c r="DO144" s="228">
        <v>1.23</v>
      </c>
      <c r="DP144" s="228">
        <v>1.23</v>
      </c>
      <c r="DQ144" s="228">
        <v>1.33</v>
      </c>
      <c r="DR144" s="228">
        <v>1.17</v>
      </c>
      <c r="DS144" s="228">
        <v>0.16</v>
      </c>
      <c r="DT144" s="229">
        <v>0.1368</v>
      </c>
      <c r="DU144" s="231">
        <v>25200</v>
      </c>
      <c r="DV144" s="231">
        <v>25000</v>
      </c>
      <c r="DW144" s="228">
        <v>0.88</v>
      </c>
      <c r="DX144" s="228">
        <v>0.92</v>
      </c>
      <c r="DY144" s="228">
        <v>-0.04</v>
      </c>
      <c r="DZ144" s="229">
        <v>-4.3499999999999997E-2</v>
      </c>
      <c r="EA144" s="229">
        <v>6.6299999999999998E-2</v>
      </c>
      <c r="EB144" s="230">
        <v>1232025</v>
      </c>
      <c r="EC144" s="229">
        <v>5.1000000000000004E-3</v>
      </c>
      <c r="ED144" s="229">
        <v>6.6299999999999998E-2</v>
      </c>
      <c r="EE144" s="228">
        <v>133.46</v>
      </c>
      <c r="EF144" s="229">
        <v>5.3E-3</v>
      </c>
      <c r="EG144" s="228">
        <v>0</v>
      </c>
      <c r="EH144" s="228">
        <v>0</v>
      </c>
      <c r="EI144" s="229">
        <v>0</v>
      </c>
      <c r="EJ144" s="229">
        <v>0</v>
      </c>
      <c r="EK144" s="231">
        <v>14671367.83</v>
      </c>
      <c r="EL144" s="231">
        <v>12709915.289999999</v>
      </c>
      <c r="EM144" s="231">
        <v>15041.43</v>
      </c>
      <c r="EN144" s="231">
        <v>1237.92</v>
      </c>
      <c r="EO144" s="231">
        <v>27396324.559999999</v>
      </c>
      <c r="EP144" s="231">
        <v>18556781.870000001</v>
      </c>
      <c r="EQ144" s="231">
        <v>8839542.6799999997</v>
      </c>
      <c r="ER144" s="229">
        <v>0.47639999999999999</v>
      </c>
      <c r="ES144" s="231">
        <v>651333.76</v>
      </c>
      <c r="ET144" s="231">
        <v>830865.06</v>
      </c>
      <c r="EU144" s="231">
        <v>49370.51</v>
      </c>
      <c r="EV144" s="228">
        <v>0</v>
      </c>
      <c r="EW144" s="231">
        <v>1531569.34</v>
      </c>
      <c r="EX144" s="231">
        <v>1423474.12</v>
      </c>
      <c r="EY144" s="231">
        <v>108095.22</v>
      </c>
      <c r="EZ144" s="229">
        <v>7.5899999999999995E-2</v>
      </c>
      <c r="FA144" s="229">
        <v>0</v>
      </c>
      <c r="FB144" s="227" t="s">
        <v>555</v>
      </c>
      <c r="FC144">
        <f t="shared" si="2"/>
        <v>3271</v>
      </c>
    </row>
    <row r="145" spans="1:159" ht="17.25" thickBot="1" x14ac:dyDescent="0.3">
      <c r="A145" s="226">
        <v>45936</v>
      </c>
      <c r="B145" s="227" t="s">
        <v>181</v>
      </c>
      <c r="C145" s="227" t="s">
        <v>566</v>
      </c>
      <c r="D145" s="228">
        <v>25</v>
      </c>
      <c r="E145" s="228">
        <v>22</v>
      </c>
      <c r="F145" s="231">
        <v>68947.8</v>
      </c>
      <c r="G145" s="231">
        <v>68725.2</v>
      </c>
      <c r="H145" s="228">
        <v>222.6</v>
      </c>
      <c r="I145" s="229">
        <v>3.2000000000000002E-3</v>
      </c>
      <c r="J145" s="231">
        <v>68590.25</v>
      </c>
      <c r="K145" s="231">
        <v>68355.899999999994</v>
      </c>
      <c r="L145" s="228">
        <v>234.35</v>
      </c>
      <c r="M145" s="229">
        <v>3.3999999999999998E-3</v>
      </c>
      <c r="N145" s="231">
        <v>68947.8</v>
      </c>
      <c r="O145" s="231">
        <v>68725.2</v>
      </c>
      <c r="P145" s="228">
        <v>222.6</v>
      </c>
      <c r="Q145" s="229">
        <v>3.2000000000000002E-3</v>
      </c>
      <c r="R145" s="231">
        <v>69365.8</v>
      </c>
      <c r="S145" s="231">
        <v>69159.199999999997</v>
      </c>
      <c r="T145" s="228">
        <v>206.6</v>
      </c>
      <c r="U145" s="229">
        <v>3.0000000000000001E-3</v>
      </c>
      <c r="V145" s="231">
        <v>69779.199999999997</v>
      </c>
      <c r="W145" s="228">
        <v>0</v>
      </c>
      <c r="X145" s="231">
        <v>69779.199999999997</v>
      </c>
      <c r="Y145" s="229">
        <v>0</v>
      </c>
      <c r="Z145" s="228">
        <v>357.55</v>
      </c>
      <c r="AA145" s="228">
        <v>369.3</v>
      </c>
      <c r="AB145" s="228">
        <v>-11.75</v>
      </c>
      <c r="AC145" s="229">
        <v>5.1999999999999998E-3</v>
      </c>
      <c r="AD145" s="228">
        <v>357.55</v>
      </c>
      <c r="AE145" s="228">
        <v>369.3</v>
      </c>
      <c r="AF145" s="228">
        <v>-11.75</v>
      </c>
      <c r="AG145" s="229">
        <v>5.1999999999999998E-3</v>
      </c>
      <c r="AH145" s="228">
        <v>775.55</v>
      </c>
      <c r="AI145" s="228">
        <v>803.3</v>
      </c>
      <c r="AJ145" s="228">
        <v>-27.75</v>
      </c>
      <c r="AK145" s="229">
        <v>1.1299999999999999E-2</v>
      </c>
      <c r="AL145" s="231">
        <v>1188.95</v>
      </c>
      <c r="AM145" s="228">
        <v>0</v>
      </c>
      <c r="AN145" s="231">
        <v>1188.95</v>
      </c>
      <c r="AO145" s="229">
        <v>1.7299999999999999E-2</v>
      </c>
      <c r="AP145" s="231">
        <v>68730.38</v>
      </c>
      <c r="AQ145" s="231">
        <v>69261.94</v>
      </c>
      <c r="AR145" s="228">
        <v>0</v>
      </c>
      <c r="AS145" s="228">
        <v>42</v>
      </c>
      <c r="AT145" s="228">
        <v>39</v>
      </c>
      <c r="AU145" s="228">
        <v>3</v>
      </c>
      <c r="AV145" s="229">
        <v>7.8899999999999998E-2</v>
      </c>
      <c r="AW145" s="228">
        <v>37</v>
      </c>
      <c r="AX145" s="228">
        <v>37</v>
      </c>
      <c r="AY145" s="228">
        <v>-1</v>
      </c>
      <c r="AZ145" s="229">
        <v>-1.4E-2</v>
      </c>
      <c r="BA145" s="228">
        <v>5</v>
      </c>
      <c r="BB145" s="228">
        <v>2</v>
      </c>
      <c r="BC145" s="228">
        <v>3</v>
      </c>
      <c r="BD145" s="229">
        <v>1.3846000000000001</v>
      </c>
      <c r="BE145" s="228">
        <v>1</v>
      </c>
      <c r="BF145" s="228">
        <v>0</v>
      </c>
      <c r="BG145" s="228">
        <v>1</v>
      </c>
      <c r="BH145" s="229">
        <v>0</v>
      </c>
      <c r="BI145" s="228">
        <v>22</v>
      </c>
      <c r="BJ145" s="228">
        <v>12</v>
      </c>
      <c r="BK145" s="228">
        <v>10</v>
      </c>
      <c r="BL145" s="229">
        <v>0.81430000000000002</v>
      </c>
      <c r="BM145" s="228">
        <v>17</v>
      </c>
      <c r="BN145" s="228">
        <v>5</v>
      </c>
      <c r="BO145" s="228">
        <v>13</v>
      </c>
      <c r="BP145" s="229">
        <v>2.7037</v>
      </c>
      <c r="BQ145" s="228">
        <v>82</v>
      </c>
      <c r="BR145" s="228">
        <v>56</v>
      </c>
      <c r="BS145" s="228">
        <v>26</v>
      </c>
      <c r="BT145" s="229">
        <v>0.45540000000000003</v>
      </c>
      <c r="BU145" s="228">
        <v>0</v>
      </c>
      <c r="BV145" s="228">
        <v>0</v>
      </c>
      <c r="BW145" s="228">
        <v>0</v>
      </c>
      <c r="BX145" s="229">
        <v>0</v>
      </c>
      <c r="BY145" s="228">
        <v>178</v>
      </c>
      <c r="BZ145" s="228">
        <v>164</v>
      </c>
      <c r="CA145" s="228">
        <v>14</v>
      </c>
      <c r="CB145" s="229">
        <v>8.5000000000000006E-2</v>
      </c>
      <c r="CC145" s="228">
        <v>161</v>
      </c>
      <c r="CD145" s="228">
        <v>151</v>
      </c>
      <c r="CE145" s="228">
        <v>10</v>
      </c>
      <c r="CF145" s="229">
        <v>6.8500000000000005E-2</v>
      </c>
      <c r="CG145" s="228">
        <v>17</v>
      </c>
      <c r="CH145" s="228">
        <v>13</v>
      </c>
      <c r="CI145" s="228">
        <v>3</v>
      </c>
      <c r="CJ145" s="229">
        <v>0.24679999999999999</v>
      </c>
      <c r="CK145" s="228">
        <v>0</v>
      </c>
      <c r="CL145" s="228">
        <v>0</v>
      </c>
      <c r="CM145" s="228">
        <v>0</v>
      </c>
      <c r="CN145" s="229">
        <v>0</v>
      </c>
      <c r="CO145" s="228">
        <v>18</v>
      </c>
      <c r="CP145" s="228">
        <v>15</v>
      </c>
      <c r="CQ145" s="228">
        <v>4</v>
      </c>
      <c r="CR145" s="229">
        <v>0.24709999999999999</v>
      </c>
      <c r="CS145" s="228">
        <v>6</v>
      </c>
      <c r="CT145" s="228">
        <v>4</v>
      </c>
      <c r="CU145" s="228">
        <v>2</v>
      </c>
      <c r="CV145" s="229">
        <v>0.45829999999999999</v>
      </c>
      <c r="CW145" s="228">
        <v>203</v>
      </c>
      <c r="CX145" s="228">
        <v>183</v>
      </c>
      <c r="CY145" s="228">
        <v>19</v>
      </c>
      <c r="CZ145" s="229">
        <v>0.10639999999999999</v>
      </c>
      <c r="DA145" s="228">
        <v>13.24</v>
      </c>
      <c r="DB145" s="228">
        <v>13.03</v>
      </c>
      <c r="DC145" s="228">
        <v>0.21</v>
      </c>
      <c r="DD145" s="228">
        <v>0.21</v>
      </c>
      <c r="DE145" s="228">
        <v>21.56</v>
      </c>
      <c r="DF145" s="228">
        <v>21.61</v>
      </c>
      <c r="DG145" s="228">
        <v>-8.32</v>
      </c>
      <c r="DH145" s="228">
        <v>-0.05</v>
      </c>
      <c r="DI145" s="228">
        <v>12.55</v>
      </c>
      <c r="DJ145" s="228">
        <v>12.63</v>
      </c>
      <c r="DK145" s="228">
        <v>-0.08</v>
      </c>
      <c r="DL145" s="228">
        <v>-0.08</v>
      </c>
      <c r="DM145" s="228">
        <v>14.12</v>
      </c>
      <c r="DN145" s="228">
        <v>14.07</v>
      </c>
      <c r="DO145" s="228">
        <v>0.05</v>
      </c>
      <c r="DP145" s="228">
        <v>0.05</v>
      </c>
      <c r="DQ145" s="228">
        <v>0.33</v>
      </c>
      <c r="DR145" s="228">
        <v>0.28000000000000003</v>
      </c>
      <c r="DS145" s="228">
        <v>0.05</v>
      </c>
      <c r="DT145" s="229">
        <v>0.17860000000000001</v>
      </c>
      <c r="DU145" s="231">
        <v>68400</v>
      </c>
      <c r="DV145" s="231">
        <v>67500</v>
      </c>
      <c r="DW145" s="228">
        <v>0.79</v>
      </c>
      <c r="DX145" s="228">
        <v>0.39</v>
      </c>
      <c r="DY145" s="228">
        <v>0.4</v>
      </c>
      <c r="DZ145" s="229">
        <v>1.0256000000000001</v>
      </c>
      <c r="EA145" s="229">
        <v>9.4799999999999995E-2</v>
      </c>
      <c r="EB145" s="230">
        <v>1925</v>
      </c>
      <c r="EC145" s="229">
        <v>6.1000000000000004E-3</v>
      </c>
      <c r="ED145" s="229">
        <v>9.4799999999999995E-2</v>
      </c>
      <c r="EE145" s="228">
        <v>531.55999999999995</v>
      </c>
      <c r="EF145" s="229">
        <v>7.7000000000000002E-3</v>
      </c>
      <c r="EG145" s="228">
        <v>0</v>
      </c>
      <c r="EH145" s="228">
        <v>0</v>
      </c>
      <c r="EI145" s="229">
        <v>0</v>
      </c>
      <c r="EJ145" s="229">
        <v>0</v>
      </c>
      <c r="EK145" s="228">
        <v>22.02</v>
      </c>
      <c r="EL145" s="228">
        <v>17.14</v>
      </c>
      <c r="EM145" s="228">
        <v>42.32</v>
      </c>
      <c r="EN145" s="228">
        <v>0</v>
      </c>
      <c r="EO145" s="228">
        <v>81.47</v>
      </c>
      <c r="EP145" s="228">
        <v>55.82</v>
      </c>
      <c r="EQ145" s="228">
        <v>25.65</v>
      </c>
      <c r="ER145" s="229">
        <v>0.45960000000000001</v>
      </c>
      <c r="ES145" s="228">
        <v>18.04</v>
      </c>
      <c r="ET145" s="228">
        <v>5.92</v>
      </c>
      <c r="EU145" s="228">
        <v>178.33</v>
      </c>
      <c r="EV145" s="228">
        <v>0</v>
      </c>
      <c r="EW145" s="228">
        <v>202.3</v>
      </c>
      <c r="EX145" s="228">
        <v>182.36</v>
      </c>
      <c r="EY145" s="228">
        <v>19.940000000000001</v>
      </c>
      <c r="EZ145" s="229">
        <v>0.10929999999999999</v>
      </c>
      <c r="FA145" s="229">
        <v>0</v>
      </c>
      <c r="FB145" s="227" t="s">
        <v>555</v>
      </c>
      <c r="FC145">
        <f t="shared" si="2"/>
        <v>17</v>
      </c>
    </row>
    <row r="146" spans="1:159" ht="17.25" thickBot="1" x14ac:dyDescent="0.3">
      <c r="A146" s="226">
        <v>45936</v>
      </c>
      <c r="B146" s="227" t="s">
        <v>227</v>
      </c>
      <c r="C146" s="227" t="s">
        <v>267</v>
      </c>
      <c r="D146" s="228">
        <v>13500</v>
      </c>
      <c r="E146" s="228">
        <v>22</v>
      </c>
      <c r="F146" s="228">
        <v>76.540000000000006</v>
      </c>
      <c r="G146" s="228">
        <v>77.61</v>
      </c>
      <c r="H146" s="228">
        <v>-1.07</v>
      </c>
      <c r="I146" s="229">
        <v>-1.38E-2</v>
      </c>
      <c r="J146" s="228">
        <v>76.06</v>
      </c>
      <c r="K146" s="228">
        <v>77.099999999999994</v>
      </c>
      <c r="L146" s="228">
        <v>-1.04</v>
      </c>
      <c r="M146" s="229">
        <v>-1.35E-2</v>
      </c>
      <c r="N146" s="228">
        <v>76.540000000000006</v>
      </c>
      <c r="O146" s="228">
        <v>77.61</v>
      </c>
      <c r="P146" s="228">
        <v>-1.07</v>
      </c>
      <c r="Q146" s="229">
        <v>-1.38E-2</v>
      </c>
      <c r="R146" s="228">
        <v>76.95</v>
      </c>
      <c r="S146" s="228">
        <v>78</v>
      </c>
      <c r="T146" s="228">
        <v>-1.05</v>
      </c>
      <c r="U146" s="229">
        <v>-1.35E-2</v>
      </c>
      <c r="V146" s="228">
        <v>77.2</v>
      </c>
      <c r="W146" s="228">
        <v>78.430000000000007</v>
      </c>
      <c r="X146" s="228">
        <v>-1.23</v>
      </c>
      <c r="Y146" s="229">
        <v>-1.5699999999999999E-2</v>
      </c>
      <c r="Z146" s="228">
        <v>0.48</v>
      </c>
      <c r="AA146" s="228">
        <v>0.51</v>
      </c>
      <c r="AB146" s="228">
        <v>-0.03</v>
      </c>
      <c r="AC146" s="229">
        <v>6.3E-3</v>
      </c>
      <c r="AD146" s="228">
        <v>0.48</v>
      </c>
      <c r="AE146" s="228">
        <v>0.51</v>
      </c>
      <c r="AF146" s="228">
        <v>-0.03</v>
      </c>
      <c r="AG146" s="229">
        <v>6.3E-3</v>
      </c>
      <c r="AH146" s="228">
        <v>0.89</v>
      </c>
      <c r="AI146" s="228">
        <v>0.9</v>
      </c>
      <c r="AJ146" s="228">
        <v>-0.01</v>
      </c>
      <c r="AK146" s="229">
        <v>1.17E-2</v>
      </c>
      <c r="AL146" s="228">
        <v>1.1399999999999999</v>
      </c>
      <c r="AM146" s="228">
        <v>1.33</v>
      </c>
      <c r="AN146" s="228">
        <v>-0.19</v>
      </c>
      <c r="AO146" s="229">
        <v>1.4999999999999999E-2</v>
      </c>
      <c r="AP146" s="228">
        <v>76.760000000000005</v>
      </c>
      <c r="AQ146" s="228">
        <v>77.14</v>
      </c>
      <c r="AR146" s="228">
        <v>0</v>
      </c>
      <c r="AS146" s="228">
        <v>245</v>
      </c>
      <c r="AT146" s="228">
        <v>349</v>
      </c>
      <c r="AU146" s="228">
        <v>-104</v>
      </c>
      <c r="AV146" s="229">
        <v>-0.29780000000000001</v>
      </c>
      <c r="AW146" s="228">
        <v>219</v>
      </c>
      <c r="AX146" s="228">
        <v>325</v>
      </c>
      <c r="AY146" s="228">
        <v>-106</v>
      </c>
      <c r="AZ146" s="229">
        <v>-0.3251</v>
      </c>
      <c r="BA146" s="228">
        <v>23</v>
      </c>
      <c r="BB146" s="228">
        <v>22</v>
      </c>
      <c r="BC146" s="228">
        <v>1</v>
      </c>
      <c r="BD146" s="229">
        <v>6.2199999999999998E-2</v>
      </c>
      <c r="BE146" s="228">
        <v>3</v>
      </c>
      <c r="BF146" s="228">
        <v>3</v>
      </c>
      <c r="BG146" s="228">
        <v>0</v>
      </c>
      <c r="BH146" s="229">
        <v>0.12</v>
      </c>
      <c r="BI146" s="228">
        <v>637</v>
      </c>
      <c r="BJ146" s="230">
        <v>1004</v>
      </c>
      <c r="BK146" s="228">
        <v>-367</v>
      </c>
      <c r="BL146" s="229">
        <v>-0.3654</v>
      </c>
      <c r="BM146" s="228">
        <v>273</v>
      </c>
      <c r="BN146" s="228">
        <v>416</v>
      </c>
      <c r="BO146" s="228">
        <v>-143</v>
      </c>
      <c r="BP146" s="229">
        <v>-0.34339999999999998</v>
      </c>
      <c r="BQ146" s="230">
        <v>1156</v>
      </c>
      <c r="BR146" s="230">
        <v>1769</v>
      </c>
      <c r="BS146" s="228">
        <v>-614</v>
      </c>
      <c r="BT146" s="229">
        <v>-0.34689999999999999</v>
      </c>
      <c r="BU146" s="230">
        <v>13185144</v>
      </c>
      <c r="BV146" s="230">
        <v>33323920</v>
      </c>
      <c r="BW146" s="230">
        <v>-20138776</v>
      </c>
      <c r="BX146" s="229">
        <v>-0.60429999999999995</v>
      </c>
      <c r="BY146" s="230">
        <v>2168</v>
      </c>
      <c r="BZ146" s="230">
        <v>2134</v>
      </c>
      <c r="CA146" s="228">
        <v>34</v>
      </c>
      <c r="CB146" s="229">
        <v>1.61E-2</v>
      </c>
      <c r="CC146" s="230">
        <v>2121</v>
      </c>
      <c r="CD146" s="230">
        <v>2094</v>
      </c>
      <c r="CE146" s="228">
        <v>27</v>
      </c>
      <c r="CF146" s="229">
        <v>1.29E-2</v>
      </c>
      <c r="CG146" s="228">
        <v>44</v>
      </c>
      <c r="CH146" s="228">
        <v>39</v>
      </c>
      <c r="CI146" s="228">
        <v>5</v>
      </c>
      <c r="CJ146" s="229">
        <v>0.1421</v>
      </c>
      <c r="CK146" s="228">
        <v>4</v>
      </c>
      <c r="CL146" s="228">
        <v>2</v>
      </c>
      <c r="CM146" s="228">
        <v>2</v>
      </c>
      <c r="CN146" s="229">
        <v>1.1175999999999999</v>
      </c>
      <c r="CO146" s="228">
        <v>708</v>
      </c>
      <c r="CP146" s="228">
        <v>625</v>
      </c>
      <c r="CQ146" s="228">
        <v>82</v>
      </c>
      <c r="CR146" s="229">
        <v>0.13170000000000001</v>
      </c>
      <c r="CS146" s="228">
        <v>491</v>
      </c>
      <c r="CT146" s="228">
        <v>468</v>
      </c>
      <c r="CU146" s="228">
        <v>23</v>
      </c>
      <c r="CV146" s="229">
        <v>4.8500000000000001E-2</v>
      </c>
      <c r="CW146" s="230">
        <v>3367</v>
      </c>
      <c r="CX146" s="230">
        <v>3228</v>
      </c>
      <c r="CY146" s="228">
        <v>139</v>
      </c>
      <c r="CZ146" s="229">
        <v>4.3200000000000002E-2</v>
      </c>
      <c r="DA146" s="228">
        <v>28.34</v>
      </c>
      <c r="DB146" s="228">
        <v>26.99</v>
      </c>
      <c r="DC146" s="228">
        <v>1.35</v>
      </c>
      <c r="DD146" s="228">
        <v>1.35</v>
      </c>
      <c r="DE146" s="228">
        <v>39.92</v>
      </c>
      <c r="DF146" s="228">
        <v>39.979999999999997</v>
      </c>
      <c r="DG146" s="228">
        <v>-11.58</v>
      </c>
      <c r="DH146" s="228">
        <v>-0.06</v>
      </c>
      <c r="DI146" s="228">
        <v>28.44</v>
      </c>
      <c r="DJ146" s="228">
        <v>26.88</v>
      </c>
      <c r="DK146" s="228">
        <v>1.56</v>
      </c>
      <c r="DL146" s="228">
        <v>1.56</v>
      </c>
      <c r="DM146" s="228">
        <v>28.09</v>
      </c>
      <c r="DN146" s="228">
        <v>27.25</v>
      </c>
      <c r="DO146" s="228">
        <v>0.84</v>
      </c>
      <c r="DP146" s="228">
        <v>0.84</v>
      </c>
      <c r="DQ146" s="228">
        <v>0.69</v>
      </c>
      <c r="DR146" s="228">
        <v>0.75</v>
      </c>
      <c r="DS146" s="228">
        <v>-0.06</v>
      </c>
      <c r="DT146" s="229">
        <v>-0.08</v>
      </c>
      <c r="DU146" s="228">
        <v>80</v>
      </c>
      <c r="DV146" s="228">
        <v>84</v>
      </c>
      <c r="DW146" s="228">
        <v>0.43</v>
      </c>
      <c r="DX146" s="228">
        <v>0.41</v>
      </c>
      <c r="DY146" s="228">
        <v>0.02</v>
      </c>
      <c r="DZ146" s="229">
        <v>4.8800000000000003E-2</v>
      </c>
      <c r="EA146" s="229">
        <v>2.1999999999999999E-2</v>
      </c>
      <c r="EB146" s="230">
        <v>5265000</v>
      </c>
      <c r="EC146" s="229">
        <v>5.4000000000000003E-3</v>
      </c>
      <c r="ED146" s="229">
        <v>2.1999999999999999E-2</v>
      </c>
      <c r="EE146" s="228">
        <v>0.38</v>
      </c>
      <c r="EF146" s="229">
        <v>5.0000000000000001E-3</v>
      </c>
      <c r="EG146" s="230">
        <v>5877105</v>
      </c>
      <c r="EH146" s="230">
        <v>17074038</v>
      </c>
      <c r="EI146" s="229">
        <v>-0.65580000000000005</v>
      </c>
      <c r="EJ146" s="229">
        <v>0.44569999999999999</v>
      </c>
      <c r="EK146" s="228">
        <v>671.39</v>
      </c>
      <c r="EL146" s="228">
        <v>272.3</v>
      </c>
      <c r="EM146" s="228">
        <v>246.15</v>
      </c>
      <c r="EN146" s="228">
        <v>75.66</v>
      </c>
      <c r="EO146" s="231">
        <v>1189.8399999999999</v>
      </c>
      <c r="EP146" s="231">
        <v>1835.45</v>
      </c>
      <c r="EQ146" s="228">
        <v>-645.61</v>
      </c>
      <c r="ER146" s="229">
        <v>-0.35170000000000001</v>
      </c>
      <c r="ES146" s="228">
        <v>733.24</v>
      </c>
      <c r="ET146" s="228">
        <v>480.22</v>
      </c>
      <c r="EU146" s="231">
        <v>2168.52</v>
      </c>
      <c r="EV146" s="231">
        <v>517037525</v>
      </c>
      <c r="EW146" s="231">
        <v>3381.98</v>
      </c>
      <c r="EX146" s="231">
        <v>3271.2</v>
      </c>
      <c r="EY146" s="228">
        <v>110.78</v>
      </c>
      <c r="EZ146" s="229">
        <v>3.39E-2</v>
      </c>
      <c r="FA146" s="229">
        <v>0.85089999999999999</v>
      </c>
      <c r="FB146" s="227" t="s">
        <v>567</v>
      </c>
      <c r="FC146">
        <f t="shared" si="2"/>
        <v>47</v>
      </c>
    </row>
    <row r="147" spans="1:159" ht="17.25" thickBot="1" x14ac:dyDescent="0.3">
      <c r="A147" s="226">
        <v>45936</v>
      </c>
      <c r="B147" s="227" t="s">
        <v>161</v>
      </c>
      <c r="C147" s="227" t="s">
        <v>268</v>
      </c>
      <c r="D147" s="228">
        <v>1500</v>
      </c>
      <c r="E147" s="228">
        <v>22</v>
      </c>
      <c r="F147" s="228">
        <v>341.1</v>
      </c>
      <c r="G147" s="228">
        <v>344.15</v>
      </c>
      <c r="H147" s="228">
        <v>-3.05</v>
      </c>
      <c r="I147" s="229">
        <v>-8.8999999999999999E-3</v>
      </c>
      <c r="J147" s="228">
        <v>339.1</v>
      </c>
      <c r="K147" s="228">
        <v>342</v>
      </c>
      <c r="L147" s="228">
        <v>-2.9</v>
      </c>
      <c r="M147" s="229">
        <v>-8.5000000000000006E-3</v>
      </c>
      <c r="N147" s="228">
        <v>341.1</v>
      </c>
      <c r="O147" s="228">
        <v>344.15</v>
      </c>
      <c r="P147" s="228">
        <v>-3.05</v>
      </c>
      <c r="Q147" s="229">
        <v>-8.8999999999999999E-3</v>
      </c>
      <c r="R147" s="228">
        <v>340.7</v>
      </c>
      <c r="S147" s="228">
        <v>343.65</v>
      </c>
      <c r="T147" s="228">
        <v>-2.95</v>
      </c>
      <c r="U147" s="229">
        <v>-8.6E-3</v>
      </c>
      <c r="V147" s="228">
        <v>343.1</v>
      </c>
      <c r="W147" s="228">
        <v>346</v>
      </c>
      <c r="X147" s="228">
        <v>-2.9</v>
      </c>
      <c r="Y147" s="229">
        <v>-8.3999999999999995E-3</v>
      </c>
      <c r="Z147" s="228">
        <v>2</v>
      </c>
      <c r="AA147" s="228">
        <v>2.15</v>
      </c>
      <c r="AB147" s="228">
        <v>-0.15</v>
      </c>
      <c r="AC147" s="229">
        <v>5.8999999999999999E-3</v>
      </c>
      <c r="AD147" s="228">
        <v>2</v>
      </c>
      <c r="AE147" s="228">
        <v>2.15</v>
      </c>
      <c r="AF147" s="228">
        <v>-0.15</v>
      </c>
      <c r="AG147" s="229">
        <v>5.8999999999999999E-3</v>
      </c>
      <c r="AH147" s="228">
        <v>1.6</v>
      </c>
      <c r="AI147" s="228">
        <v>1.65</v>
      </c>
      <c r="AJ147" s="228">
        <v>-0.05</v>
      </c>
      <c r="AK147" s="229">
        <v>4.7000000000000002E-3</v>
      </c>
      <c r="AL147" s="228">
        <v>4</v>
      </c>
      <c r="AM147" s="228">
        <v>4</v>
      </c>
      <c r="AN147" s="228">
        <v>0</v>
      </c>
      <c r="AO147" s="229">
        <v>1.18E-2</v>
      </c>
      <c r="AP147" s="228">
        <v>340.4</v>
      </c>
      <c r="AQ147" s="228">
        <v>339.72</v>
      </c>
      <c r="AR147" s="228">
        <v>0</v>
      </c>
      <c r="AS147" s="228">
        <v>295</v>
      </c>
      <c r="AT147" s="228">
        <v>308</v>
      </c>
      <c r="AU147" s="228">
        <v>-13</v>
      </c>
      <c r="AV147" s="229">
        <v>-4.1500000000000002E-2</v>
      </c>
      <c r="AW147" s="228">
        <v>271</v>
      </c>
      <c r="AX147" s="228">
        <v>288</v>
      </c>
      <c r="AY147" s="228">
        <v>-17</v>
      </c>
      <c r="AZ147" s="229">
        <v>-5.8400000000000001E-2</v>
      </c>
      <c r="BA147" s="228">
        <v>21</v>
      </c>
      <c r="BB147" s="228">
        <v>18</v>
      </c>
      <c r="BC147" s="228">
        <v>3</v>
      </c>
      <c r="BD147" s="229">
        <v>0.15559999999999999</v>
      </c>
      <c r="BE147" s="228">
        <v>3</v>
      </c>
      <c r="BF147" s="228">
        <v>1</v>
      </c>
      <c r="BG147" s="228">
        <v>1</v>
      </c>
      <c r="BH147" s="229">
        <v>0.85189999999999999</v>
      </c>
      <c r="BI147" s="228">
        <v>955</v>
      </c>
      <c r="BJ147" s="228">
        <v>770</v>
      </c>
      <c r="BK147" s="228">
        <v>184</v>
      </c>
      <c r="BL147" s="229">
        <v>0.23930000000000001</v>
      </c>
      <c r="BM147" s="228">
        <v>412</v>
      </c>
      <c r="BN147" s="228">
        <v>392</v>
      </c>
      <c r="BO147" s="228">
        <v>20</v>
      </c>
      <c r="BP147" s="229">
        <v>5.1700000000000003E-2</v>
      </c>
      <c r="BQ147" s="230">
        <v>1662</v>
      </c>
      <c r="BR147" s="230">
        <v>1470</v>
      </c>
      <c r="BS147" s="228">
        <v>192</v>
      </c>
      <c r="BT147" s="229">
        <v>0.1305</v>
      </c>
      <c r="BU147" s="230">
        <v>8776280</v>
      </c>
      <c r="BV147" s="230">
        <v>8583849</v>
      </c>
      <c r="BW147" s="230">
        <v>192431</v>
      </c>
      <c r="BX147" s="229">
        <v>2.24E-2</v>
      </c>
      <c r="BY147" s="230">
        <v>3374</v>
      </c>
      <c r="BZ147" s="230">
        <v>3343</v>
      </c>
      <c r="CA147" s="228">
        <v>32</v>
      </c>
      <c r="CB147" s="229">
        <v>9.4000000000000004E-3</v>
      </c>
      <c r="CC147" s="230">
        <v>3297</v>
      </c>
      <c r="CD147" s="230">
        <v>3277</v>
      </c>
      <c r="CE147" s="228">
        <v>20</v>
      </c>
      <c r="CF147" s="229">
        <v>6.1999999999999998E-3</v>
      </c>
      <c r="CG147" s="228">
        <v>73</v>
      </c>
      <c r="CH147" s="228">
        <v>64</v>
      </c>
      <c r="CI147" s="228">
        <v>9</v>
      </c>
      <c r="CJ147" s="229">
        <v>0.14410000000000001</v>
      </c>
      <c r="CK147" s="228">
        <v>4</v>
      </c>
      <c r="CL147" s="228">
        <v>2</v>
      </c>
      <c r="CM147" s="228">
        <v>2</v>
      </c>
      <c r="CN147" s="229">
        <v>1.1515</v>
      </c>
      <c r="CO147" s="228">
        <v>791</v>
      </c>
      <c r="CP147" s="228">
        <v>687</v>
      </c>
      <c r="CQ147" s="228">
        <v>104</v>
      </c>
      <c r="CR147" s="229">
        <v>0.15190000000000001</v>
      </c>
      <c r="CS147" s="228">
        <v>530</v>
      </c>
      <c r="CT147" s="228">
        <v>492</v>
      </c>
      <c r="CU147" s="228">
        <v>38</v>
      </c>
      <c r="CV147" s="229">
        <v>7.7899999999999997E-2</v>
      </c>
      <c r="CW147" s="230">
        <v>4696</v>
      </c>
      <c r="CX147" s="230">
        <v>4522</v>
      </c>
      <c r="CY147" s="228">
        <v>174</v>
      </c>
      <c r="CZ147" s="229">
        <v>3.85E-2</v>
      </c>
      <c r="DA147" s="228">
        <v>18.829999999999998</v>
      </c>
      <c r="DB147" s="228">
        <v>18.52</v>
      </c>
      <c r="DC147" s="228">
        <v>0.31</v>
      </c>
      <c r="DD147" s="228">
        <v>0.31</v>
      </c>
      <c r="DE147" s="228">
        <v>29.08</v>
      </c>
      <c r="DF147" s="228">
        <v>29.13</v>
      </c>
      <c r="DG147" s="228">
        <v>-10.25</v>
      </c>
      <c r="DH147" s="228">
        <v>-0.05</v>
      </c>
      <c r="DI147" s="228">
        <v>18.78</v>
      </c>
      <c r="DJ147" s="228">
        <v>18.37</v>
      </c>
      <c r="DK147" s="228">
        <v>0.41</v>
      </c>
      <c r="DL147" s="228">
        <v>0.41</v>
      </c>
      <c r="DM147" s="228">
        <v>18.96</v>
      </c>
      <c r="DN147" s="228">
        <v>18.829999999999998</v>
      </c>
      <c r="DO147" s="228">
        <v>0.13</v>
      </c>
      <c r="DP147" s="228">
        <v>0.13</v>
      </c>
      <c r="DQ147" s="228">
        <v>0.67</v>
      </c>
      <c r="DR147" s="228">
        <v>0.72</v>
      </c>
      <c r="DS147" s="228">
        <v>-0.05</v>
      </c>
      <c r="DT147" s="229">
        <v>-6.9400000000000003E-2</v>
      </c>
      <c r="DU147" s="228">
        <v>350</v>
      </c>
      <c r="DV147" s="228">
        <v>380</v>
      </c>
      <c r="DW147" s="228">
        <v>0.43</v>
      </c>
      <c r="DX147" s="228">
        <v>0.51</v>
      </c>
      <c r="DY147" s="228">
        <v>-0.08</v>
      </c>
      <c r="DZ147" s="229">
        <v>-0.15690000000000001</v>
      </c>
      <c r="EA147" s="229">
        <v>2.2700000000000001E-2</v>
      </c>
      <c r="EB147" s="230">
        <v>1923000</v>
      </c>
      <c r="EC147" s="229">
        <v>-1.1999999999999999E-3</v>
      </c>
      <c r="ED147" s="229">
        <v>2.2700000000000001E-2</v>
      </c>
      <c r="EE147" s="228">
        <v>-0.68</v>
      </c>
      <c r="EF147" s="229">
        <v>-2E-3</v>
      </c>
      <c r="EG147" s="230">
        <v>6215575</v>
      </c>
      <c r="EH147" s="230">
        <v>5930966</v>
      </c>
      <c r="EI147" s="229">
        <v>4.8000000000000001E-2</v>
      </c>
      <c r="EJ147" s="229">
        <v>0.70820000000000005</v>
      </c>
      <c r="EK147" s="228">
        <v>986.09</v>
      </c>
      <c r="EL147" s="228">
        <v>409.85</v>
      </c>
      <c r="EM147" s="228">
        <v>294.43</v>
      </c>
      <c r="EN147" s="228">
        <v>206.24</v>
      </c>
      <c r="EO147" s="231">
        <v>1690.37</v>
      </c>
      <c r="EP147" s="231">
        <v>1501.4</v>
      </c>
      <c r="EQ147" s="228">
        <v>188.97</v>
      </c>
      <c r="ER147" s="229">
        <v>0.12590000000000001</v>
      </c>
      <c r="ES147" s="228">
        <v>825.15</v>
      </c>
      <c r="ET147" s="228">
        <v>527.69000000000005</v>
      </c>
      <c r="EU147" s="231">
        <v>3374.06</v>
      </c>
      <c r="EV147" s="231">
        <v>572782298</v>
      </c>
      <c r="EW147" s="231">
        <v>4726.91</v>
      </c>
      <c r="EX147" s="231">
        <v>4582.1899999999996</v>
      </c>
      <c r="EY147" s="228">
        <v>144.72</v>
      </c>
      <c r="EZ147" s="229">
        <v>3.1600000000000003E-2</v>
      </c>
      <c r="FA147" s="229">
        <v>0.24030000000000001</v>
      </c>
      <c r="FB147" s="227" t="s">
        <v>567</v>
      </c>
      <c r="FC147">
        <f t="shared" si="2"/>
        <v>77</v>
      </c>
    </row>
    <row r="148" spans="1:159" ht="17.25" thickBot="1" x14ac:dyDescent="0.3">
      <c r="A148" s="226">
        <v>45936</v>
      </c>
      <c r="B148" s="227" t="s">
        <v>175</v>
      </c>
      <c r="C148" s="227" t="s">
        <v>687</v>
      </c>
      <c r="D148" s="228">
        <v>75</v>
      </c>
      <c r="E148" s="228">
        <v>22</v>
      </c>
      <c r="F148" s="231">
        <v>6932</v>
      </c>
      <c r="G148" s="231">
        <v>6761.5</v>
      </c>
      <c r="H148" s="228">
        <v>170.5</v>
      </c>
      <c r="I148" s="229">
        <v>2.52E-2</v>
      </c>
      <c r="J148" s="231">
        <v>6928</v>
      </c>
      <c r="K148" s="231">
        <v>6754.5</v>
      </c>
      <c r="L148" s="228">
        <v>173.5</v>
      </c>
      <c r="M148" s="229">
        <v>2.5700000000000001E-2</v>
      </c>
      <c r="N148" s="231">
        <v>6932</v>
      </c>
      <c r="O148" s="231">
        <v>6761.5</v>
      </c>
      <c r="P148" s="228">
        <v>170.5</v>
      </c>
      <c r="Q148" s="229">
        <v>2.52E-2</v>
      </c>
      <c r="R148" s="231">
        <v>6907.5</v>
      </c>
      <c r="S148" s="231">
        <v>6745.5</v>
      </c>
      <c r="T148" s="228">
        <v>162</v>
      </c>
      <c r="U148" s="229">
        <v>2.4E-2</v>
      </c>
      <c r="V148" s="231">
        <v>6920</v>
      </c>
      <c r="W148" s="231">
        <v>6692.5</v>
      </c>
      <c r="X148" s="228">
        <v>227.5</v>
      </c>
      <c r="Y148" s="229">
        <v>3.4000000000000002E-2</v>
      </c>
      <c r="Z148" s="228">
        <v>4</v>
      </c>
      <c r="AA148" s="228">
        <v>7</v>
      </c>
      <c r="AB148" s="228">
        <v>-3</v>
      </c>
      <c r="AC148" s="229">
        <v>5.9999999999999995E-4</v>
      </c>
      <c r="AD148" s="228">
        <v>4</v>
      </c>
      <c r="AE148" s="228">
        <v>7</v>
      </c>
      <c r="AF148" s="228">
        <v>-3</v>
      </c>
      <c r="AG148" s="229">
        <v>5.9999999999999995E-4</v>
      </c>
      <c r="AH148" s="228">
        <v>-20.5</v>
      </c>
      <c r="AI148" s="228">
        <v>-9</v>
      </c>
      <c r="AJ148" s="228">
        <v>-11.5</v>
      </c>
      <c r="AK148" s="229">
        <v>-3.0000000000000001E-3</v>
      </c>
      <c r="AL148" s="228">
        <v>-8</v>
      </c>
      <c r="AM148" s="228">
        <v>-62</v>
      </c>
      <c r="AN148" s="228">
        <v>54</v>
      </c>
      <c r="AO148" s="229">
        <v>-1.1999999999999999E-3</v>
      </c>
      <c r="AP148" s="231">
        <v>6877.14</v>
      </c>
      <c r="AQ148" s="231">
        <v>6853.73</v>
      </c>
      <c r="AR148" s="228">
        <v>0</v>
      </c>
      <c r="AS148" s="228">
        <v>133</v>
      </c>
      <c r="AT148" s="228">
        <v>227</v>
      </c>
      <c r="AU148" s="228">
        <v>-94</v>
      </c>
      <c r="AV148" s="229">
        <v>-0.41520000000000001</v>
      </c>
      <c r="AW148" s="228">
        <v>126</v>
      </c>
      <c r="AX148" s="228">
        <v>218</v>
      </c>
      <c r="AY148" s="228">
        <v>-92</v>
      </c>
      <c r="AZ148" s="229">
        <v>-0.42259999999999998</v>
      </c>
      <c r="BA148" s="228">
        <v>7</v>
      </c>
      <c r="BB148" s="228">
        <v>9</v>
      </c>
      <c r="BC148" s="228">
        <v>-2</v>
      </c>
      <c r="BD148" s="229">
        <v>-0.2611</v>
      </c>
      <c r="BE148" s="228">
        <v>0</v>
      </c>
      <c r="BF148" s="228">
        <v>0</v>
      </c>
      <c r="BG148" s="228">
        <v>0</v>
      </c>
      <c r="BH148" s="229">
        <v>0.2</v>
      </c>
      <c r="BI148" s="228">
        <v>805</v>
      </c>
      <c r="BJ148" s="230">
        <v>1479</v>
      </c>
      <c r="BK148" s="228">
        <v>-674</v>
      </c>
      <c r="BL148" s="229">
        <v>-0.45579999999999998</v>
      </c>
      <c r="BM148" s="228">
        <v>318</v>
      </c>
      <c r="BN148" s="228">
        <v>457</v>
      </c>
      <c r="BO148" s="228">
        <v>-139</v>
      </c>
      <c r="BP148" s="229">
        <v>-0.3049</v>
      </c>
      <c r="BQ148" s="230">
        <v>1255</v>
      </c>
      <c r="BR148" s="230">
        <v>2163</v>
      </c>
      <c r="BS148" s="228">
        <v>-908</v>
      </c>
      <c r="BT148" s="229">
        <v>-0.41970000000000002</v>
      </c>
      <c r="BU148" s="230">
        <v>195362</v>
      </c>
      <c r="BV148" s="230">
        <v>596381</v>
      </c>
      <c r="BW148" s="230">
        <v>-401019</v>
      </c>
      <c r="BX148" s="229">
        <v>-0.6724</v>
      </c>
      <c r="BY148" s="228">
        <v>234</v>
      </c>
      <c r="BZ148" s="228">
        <v>244</v>
      </c>
      <c r="CA148" s="228">
        <v>-10</v>
      </c>
      <c r="CB148" s="229">
        <v>-3.95E-2</v>
      </c>
      <c r="CC148" s="228">
        <v>219</v>
      </c>
      <c r="CD148" s="228">
        <v>229</v>
      </c>
      <c r="CE148" s="228">
        <v>-10</v>
      </c>
      <c r="CF148" s="229">
        <v>-4.53E-2</v>
      </c>
      <c r="CG148" s="228">
        <v>15</v>
      </c>
      <c r="CH148" s="228">
        <v>14</v>
      </c>
      <c r="CI148" s="228">
        <v>1</v>
      </c>
      <c r="CJ148" s="229">
        <v>6.2700000000000006E-2</v>
      </c>
      <c r="CK148" s="228">
        <v>0</v>
      </c>
      <c r="CL148" s="228">
        <v>0</v>
      </c>
      <c r="CM148" s="228">
        <v>0</v>
      </c>
      <c r="CN148" s="229">
        <v>-0.33329999999999999</v>
      </c>
      <c r="CO148" s="228">
        <v>167</v>
      </c>
      <c r="CP148" s="228">
        <v>221</v>
      </c>
      <c r="CQ148" s="228">
        <v>-53</v>
      </c>
      <c r="CR148" s="229">
        <v>-0.24129999999999999</v>
      </c>
      <c r="CS148" s="228">
        <v>109</v>
      </c>
      <c r="CT148" s="228">
        <v>107</v>
      </c>
      <c r="CU148" s="228">
        <v>2</v>
      </c>
      <c r="CV148" s="229">
        <v>2.0400000000000001E-2</v>
      </c>
      <c r="CW148" s="228">
        <v>511</v>
      </c>
      <c r="CX148" s="228">
        <v>572</v>
      </c>
      <c r="CY148" s="228">
        <v>-61</v>
      </c>
      <c r="CZ148" s="229">
        <v>-0.1061</v>
      </c>
      <c r="DA148" s="228">
        <v>32.69</v>
      </c>
      <c r="DB148" s="228">
        <v>31.88</v>
      </c>
      <c r="DC148" s="228">
        <v>0.81</v>
      </c>
      <c r="DD148" s="228">
        <v>0.81</v>
      </c>
      <c r="DE148" s="228">
        <v>52.97</v>
      </c>
      <c r="DF148" s="228">
        <v>52.99</v>
      </c>
      <c r="DG148" s="228">
        <v>-20.28</v>
      </c>
      <c r="DH148" s="228">
        <v>-0.02</v>
      </c>
      <c r="DI148" s="228">
        <v>31.29</v>
      </c>
      <c r="DJ148" s="228">
        <v>31.59</v>
      </c>
      <c r="DK148" s="228">
        <v>-0.3</v>
      </c>
      <c r="DL148" s="228">
        <v>-0.3</v>
      </c>
      <c r="DM148" s="228">
        <v>36.24</v>
      </c>
      <c r="DN148" s="228">
        <v>32.82</v>
      </c>
      <c r="DO148" s="228">
        <v>3.42</v>
      </c>
      <c r="DP148" s="228">
        <v>3.42</v>
      </c>
      <c r="DQ148" s="228">
        <v>0.65</v>
      </c>
      <c r="DR148" s="228">
        <v>0.49</v>
      </c>
      <c r="DS148" s="228">
        <v>0.16</v>
      </c>
      <c r="DT148" s="229">
        <v>0.32650000000000001</v>
      </c>
      <c r="DU148" s="231">
        <v>7400</v>
      </c>
      <c r="DV148" s="231">
        <v>6500</v>
      </c>
      <c r="DW148" s="228">
        <v>0.39</v>
      </c>
      <c r="DX148" s="228">
        <v>0.31</v>
      </c>
      <c r="DY148" s="228">
        <v>0.08</v>
      </c>
      <c r="DZ148" s="229">
        <v>0.2581</v>
      </c>
      <c r="EA148" s="229">
        <v>6.4799999999999996E-2</v>
      </c>
      <c r="EB148" s="230">
        <v>20775</v>
      </c>
      <c r="EC148" s="229">
        <v>-3.5000000000000001E-3</v>
      </c>
      <c r="ED148" s="229">
        <v>6.4799999999999996E-2</v>
      </c>
      <c r="EE148" s="228">
        <v>-23.41</v>
      </c>
      <c r="EF148" s="229">
        <v>-3.3999999999999998E-3</v>
      </c>
      <c r="EG148" s="230">
        <v>81425</v>
      </c>
      <c r="EH148" s="230">
        <v>269466</v>
      </c>
      <c r="EI148" s="229">
        <v>-0.69779999999999998</v>
      </c>
      <c r="EJ148" s="229">
        <v>0.4168</v>
      </c>
      <c r="EK148" s="228">
        <v>831.17</v>
      </c>
      <c r="EL148" s="228">
        <v>290.17</v>
      </c>
      <c r="EM148" s="228">
        <v>131.81</v>
      </c>
      <c r="EN148" s="228">
        <v>44.97</v>
      </c>
      <c r="EO148" s="231">
        <v>1253.1500000000001</v>
      </c>
      <c r="EP148" s="231">
        <v>2163.36</v>
      </c>
      <c r="EQ148" s="228">
        <v>-910.21</v>
      </c>
      <c r="ER148" s="229">
        <v>-0.42070000000000002</v>
      </c>
      <c r="ES148" s="228">
        <v>166.97</v>
      </c>
      <c r="ET148" s="228">
        <v>101.27</v>
      </c>
      <c r="EU148" s="228">
        <v>234.11</v>
      </c>
      <c r="EV148" s="231">
        <v>2444664</v>
      </c>
      <c r="EW148" s="228">
        <v>502.35</v>
      </c>
      <c r="EX148" s="228">
        <v>555.16</v>
      </c>
      <c r="EY148" s="228">
        <v>-52.81</v>
      </c>
      <c r="EZ148" s="229">
        <v>-9.5100000000000004E-2</v>
      </c>
      <c r="FA148" s="229">
        <v>0.30149999999999999</v>
      </c>
      <c r="FB148" s="227" t="s">
        <v>556</v>
      </c>
      <c r="FC148">
        <f>BY217-CC217</f>
        <v>0</v>
      </c>
    </row>
    <row r="149" spans="1:159" ht="17.25" thickBot="1" x14ac:dyDescent="0.3">
      <c r="A149" s="226">
        <v>45936</v>
      </c>
      <c r="B149" s="227" t="s">
        <v>616</v>
      </c>
      <c r="C149" s="227" t="s">
        <v>614</v>
      </c>
      <c r="D149" s="228">
        <v>3125</v>
      </c>
      <c r="E149" s="228">
        <v>22</v>
      </c>
      <c r="F149" s="228">
        <v>254.44</v>
      </c>
      <c r="G149" s="228">
        <v>239.63</v>
      </c>
      <c r="H149" s="228">
        <v>14.81</v>
      </c>
      <c r="I149" s="229">
        <v>6.1800000000000001E-2</v>
      </c>
      <c r="J149" s="228">
        <v>255.34</v>
      </c>
      <c r="K149" s="228">
        <v>239.81</v>
      </c>
      <c r="L149" s="228">
        <v>15.53</v>
      </c>
      <c r="M149" s="229">
        <v>6.4799999999999996E-2</v>
      </c>
      <c r="N149" s="228">
        <v>254.44</v>
      </c>
      <c r="O149" s="228">
        <v>239.63</v>
      </c>
      <c r="P149" s="228">
        <v>14.81</v>
      </c>
      <c r="Q149" s="229">
        <v>6.1800000000000001E-2</v>
      </c>
      <c r="R149" s="228">
        <v>251.99</v>
      </c>
      <c r="S149" s="228">
        <v>238</v>
      </c>
      <c r="T149" s="228">
        <v>13.99</v>
      </c>
      <c r="U149" s="229">
        <v>5.8799999999999998E-2</v>
      </c>
      <c r="V149" s="228">
        <v>251.4</v>
      </c>
      <c r="W149" s="228">
        <v>237.1</v>
      </c>
      <c r="X149" s="228">
        <v>14.3</v>
      </c>
      <c r="Y149" s="229">
        <v>6.0299999999999999E-2</v>
      </c>
      <c r="Z149" s="228">
        <v>-0.9</v>
      </c>
      <c r="AA149" s="228">
        <v>-0.18</v>
      </c>
      <c r="AB149" s="228">
        <v>-0.72</v>
      </c>
      <c r="AC149" s="229">
        <v>-3.5000000000000001E-3</v>
      </c>
      <c r="AD149" s="228">
        <v>-0.9</v>
      </c>
      <c r="AE149" s="228">
        <v>-0.18</v>
      </c>
      <c r="AF149" s="228">
        <v>-0.72</v>
      </c>
      <c r="AG149" s="229">
        <v>-3.5000000000000001E-3</v>
      </c>
      <c r="AH149" s="228">
        <v>-3.35</v>
      </c>
      <c r="AI149" s="228">
        <v>-1.81</v>
      </c>
      <c r="AJ149" s="228">
        <v>-1.54</v>
      </c>
      <c r="AK149" s="229">
        <v>-1.3100000000000001E-2</v>
      </c>
      <c r="AL149" s="228">
        <v>-3.94</v>
      </c>
      <c r="AM149" s="228">
        <v>-2.71</v>
      </c>
      <c r="AN149" s="228">
        <v>-1.23</v>
      </c>
      <c r="AO149" s="229">
        <v>-1.54E-2</v>
      </c>
      <c r="AP149" s="228">
        <v>250.4</v>
      </c>
      <c r="AQ149" s="228">
        <v>248.36</v>
      </c>
      <c r="AR149" s="228">
        <v>0</v>
      </c>
      <c r="AS149" s="228">
        <v>528</v>
      </c>
      <c r="AT149" s="228">
        <v>146</v>
      </c>
      <c r="AU149" s="228">
        <v>382</v>
      </c>
      <c r="AV149" s="229">
        <v>2.6153</v>
      </c>
      <c r="AW149" s="228">
        <v>496</v>
      </c>
      <c r="AX149" s="228">
        <v>139</v>
      </c>
      <c r="AY149" s="228">
        <v>357</v>
      </c>
      <c r="AZ149" s="229">
        <v>2.573</v>
      </c>
      <c r="BA149" s="228">
        <v>29</v>
      </c>
      <c r="BB149" s="228">
        <v>6</v>
      </c>
      <c r="BC149" s="228">
        <v>23</v>
      </c>
      <c r="BD149" s="229">
        <v>4.0138999999999996</v>
      </c>
      <c r="BE149" s="228">
        <v>3</v>
      </c>
      <c r="BF149" s="228">
        <v>2</v>
      </c>
      <c r="BG149" s="228">
        <v>2</v>
      </c>
      <c r="BH149" s="229">
        <v>1.2104999999999999</v>
      </c>
      <c r="BI149" s="230">
        <v>1994</v>
      </c>
      <c r="BJ149" s="228">
        <v>269</v>
      </c>
      <c r="BK149" s="230">
        <v>1725</v>
      </c>
      <c r="BL149" s="229">
        <v>6.4097</v>
      </c>
      <c r="BM149" s="228">
        <v>730</v>
      </c>
      <c r="BN149" s="228">
        <v>80</v>
      </c>
      <c r="BO149" s="228">
        <v>650</v>
      </c>
      <c r="BP149" s="229">
        <v>8.1717999999999993</v>
      </c>
      <c r="BQ149" s="230">
        <v>3253</v>
      </c>
      <c r="BR149" s="228">
        <v>495</v>
      </c>
      <c r="BS149" s="230">
        <v>2758</v>
      </c>
      <c r="BT149" s="229">
        <v>5.5726000000000004</v>
      </c>
      <c r="BU149" s="230">
        <v>31046264</v>
      </c>
      <c r="BV149" s="230">
        <v>2888769</v>
      </c>
      <c r="BW149" s="230">
        <v>28157495</v>
      </c>
      <c r="BX149" s="229">
        <v>9.7471999999999994</v>
      </c>
      <c r="BY149" s="230">
        <v>1591</v>
      </c>
      <c r="BZ149" s="230">
        <v>1497</v>
      </c>
      <c r="CA149" s="228">
        <v>94</v>
      </c>
      <c r="CB149" s="229">
        <v>6.2799999999999995E-2</v>
      </c>
      <c r="CC149" s="230">
        <v>1571</v>
      </c>
      <c r="CD149" s="230">
        <v>1484</v>
      </c>
      <c r="CE149" s="228">
        <v>88</v>
      </c>
      <c r="CF149" s="229">
        <v>5.8999999999999997E-2</v>
      </c>
      <c r="CG149" s="228">
        <v>17</v>
      </c>
      <c r="CH149" s="228">
        <v>12</v>
      </c>
      <c r="CI149" s="228">
        <v>5</v>
      </c>
      <c r="CJ149" s="229">
        <v>0.45269999999999999</v>
      </c>
      <c r="CK149" s="228">
        <v>3</v>
      </c>
      <c r="CL149" s="228">
        <v>1</v>
      </c>
      <c r="CM149" s="228">
        <v>1</v>
      </c>
      <c r="CN149" s="229">
        <v>0.77780000000000005</v>
      </c>
      <c r="CO149" s="228">
        <v>305</v>
      </c>
      <c r="CP149" s="228">
        <v>180</v>
      </c>
      <c r="CQ149" s="228">
        <v>125</v>
      </c>
      <c r="CR149" s="229">
        <v>0.69669999999999999</v>
      </c>
      <c r="CS149" s="228">
        <v>193</v>
      </c>
      <c r="CT149" s="228">
        <v>92</v>
      </c>
      <c r="CU149" s="228">
        <v>102</v>
      </c>
      <c r="CV149" s="229">
        <v>1.1047</v>
      </c>
      <c r="CW149" s="230">
        <v>2089</v>
      </c>
      <c r="CX149" s="230">
        <v>1769</v>
      </c>
      <c r="CY149" s="228">
        <v>321</v>
      </c>
      <c r="CZ149" s="229">
        <v>0.18140000000000001</v>
      </c>
      <c r="DA149" s="228">
        <v>30.53</v>
      </c>
      <c r="DB149" s="228">
        <v>28.72</v>
      </c>
      <c r="DC149" s="228">
        <v>1.81</v>
      </c>
      <c r="DD149" s="228">
        <v>1.81</v>
      </c>
      <c r="DE149" s="228">
        <v>37.479999999999997</v>
      </c>
      <c r="DF149" s="228">
        <v>36.6</v>
      </c>
      <c r="DG149" s="228">
        <v>-6.95</v>
      </c>
      <c r="DH149" s="228">
        <v>0.88</v>
      </c>
      <c r="DI149" s="228">
        <v>30.32</v>
      </c>
      <c r="DJ149" s="228">
        <v>28.73</v>
      </c>
      <c r="DK149" s="228">
        <v>1.59</v>
      </c>
      <c r="DL149" s="228">
        <v>1.59</v>
      </c>
      <c r="DM149" s="228">
        <v>31.12</v>
      </c>
      <c r="DN149" s="228">
        <v>28.66</v>
      </c>
      <c r="DO149" s="228">
        <v>2.46</v>
      </c>
      <c r="DP149" s="228">
        <v>2.46</v>
      </c>
      <c r="DQ149" s="228">
        <v>0.63</v>
      </c>
      <c r="DR149" s="228">
        <v>0.51</v>
      </c>
      <c r="DS149" s="228">
        <v>0.12</v>
      </c>
      <c r="DT149" s="229">
        <v>0.23530000000000001</v>
      </c>
      <c r="DU149" s="228">
        <v>260</v>
      </c>
      <c r="DV149" s="228">
        <v>250</v>
      </c>
      <c r="DW149" s="228">
        <v>0.37</v>
      </c>
      <c r="DX149" s="228">
        <v>0.3</v>
      </c>
      <c r="DY149" s="228">
        <v>7.0000000000000007E-2</v>
      </c>
      <c r="DZ149" s="229">
        <v>0.23330000000000001</v>
      </c>
      <c r="EA149" s="229">
        <v>1.23E-2</v>
      </c>
      <c r="EB149" s="230">
        <v>518750</v>
      </c>
      <c r="EC149" s="229">
        <v>-9.5999999999999992E-3</v>
      </c>
      <c r="ED149" s="229">
        <v>1.23E-2</v>
      </c>
      <c r="EE149" s="228">
        <v>-2.04</v>
      </c>
      <c r="EF149" s="229">
        <v>-8.0999999999999996E-3</v>
      </c>
      <c r="EG149" s="230">
        <v>11495457</v>
      </c>
      <c r="EH149" s="230">
        <v>1242460</v>
      </c>
      <c r="EI149" s="229">
        <v>8.2522000000000002</v>
      </c>
      <c r="EJ149" s="229">
        <v>0.37030000000000002</v>
      </c>
      <c r="EK149" s="231">
        <v>2046.9</v>
      </c>
      <c r="EL149" s="228">
        <v>705.96</v>
      </c>
      <c r="EM149" s="228">
        <v>519.71</v>
      </c>
      <c r="EN149" s="228">
        <v>82.7</v>
      </c>
      <c r="EO149" s="231">
        <v>3272.57</v>
      </c>
      <c r="EP149" s="228">
        <v>477.59</v>
      </c>
      <c r="EQ149" s="231">
        <v>2794.99</v>
      </c>
      <c r="ER149" s="229">
        <v>5.8522999999999996</v>
      </c>
      <c r="ES149" s="228">
        <v>305.55</v>
      </c>
      <c r="ET149" s="228">
        <v>180.79</v>
      </c>
      <c r="EU149" s="231">
        <v>1590.53</v>
      </c>
      <c r="EV149" s="231">
        <v>205324177</v>
      </c>
      <c r="EW149" s="231">
        <v>2076.88</v>
      </c>
      <c r="EX149" s="231">
        <v>1665.22</v>
      </c>
      <c r="EY149" s="228">
        <v>411.66</v>
      </c>
      <c r="EZ149" s="229">
        <v>0.2472</v>
      </c>
      <c r="FA149" s="229">
        <v>0.39989999999999998</v>
      </c>
      <c r="FB149" s="227" t="s">
        <v>555</v>
      </c>
      <c r="FC149">
        <f t="shared" ref="FC149:FC194" si="3">BY216-CC216</f>
        <v>12</v>
      </c>
    </row>
    <row r="150" spans="1:159" ht="17.25" thickBot="1" x14ac:dyDescent="0.3">
      <c r="A150" s="226">
        <v>45936</v>
      </c>
      <c r="B150" s="227" t="s">
        <v>206</v>
      </c>
      <c r="C150" s="227" t="s">
        <v>528</v>
      </c>
      <c r="D150" s="228">
        <v>350</v>
      </c>
      <c r="E150" s="228">
        <v>22</v>
      </c>
      <c r="F150" s="231">
        <v>1632.2</v>
      </c>
      <c r="G150" s="231">
        <v>1615.5</v>
      </c>
      <c r="H150" s="228">
        <v>16.7</v>
      </c>
      <c r="I150" s="229">
        <v>1.03E-2</v>
      </c>
      <c r="J150" s="231">
        <v>1622.3</v>
      </c>
      <c r="K150" s="231">
        <v>1605.4</v>
      </c>
      <c r="L150" s="228">
        <v>16.899999999999999</v>
      </c>
      <c r="M150" s="229">
        <v>1.0500000000000001E-2</v>
      </c>
      <c r="N150" s="231">
        <v>1632.2</v>
      </c>
      <c r="O150" s="231">
        <v>1615.5</v>
      </c>
      <c r="P150" s="228">
        <v>16.7</v>
      </c>
      <c r="Q150" s="229">
        <v>1.03E-2</v>
      </c>
      <c r="R150" s="231">
        <v>1639.8</v>
      </c>
      <c r="S150" s="231">
        <v>1621.7</v>
      </c>
      <c r="T150" s="228">
        <v>18.100000000000001</v>
      </c>
      <c r="U150" s="229">
        <v>1.12E-2</v>
      </c>
      <c r="V150" s="231">
        <v>1615</v>
      </c>
      <c r="W150" s="231">
        <v>1617.8</v>
      </c>
      <c r="X150" s="228">
        <v>-2.8</v>
      </c>
      <c r="Y150" s="229">
        <v>-1.6999999999999999E-3</v>
      </c>
      <c r="Z150" s="228">
        <v>9.9</v>
      </c>
      <c r="AA150" s="228">
        <v>10.1</v>
      </c>
      <c r="AB150" s="228">
        <v>-0.2</v>
      </c>
      <c r="AC150" s="229">
        <v>6.1000000000000004E-3</v>
      </c>
      <c r="AD150" s="228">
        <v>9.9</v>
      </c>
      <c r="AE150" s="228">
        <v>10.1</v>
      </c>
      <c r="AF150" s="228">
        <v>-0.2</v>
      </c>
      <c r="AG150" s="229">
        <v>6.1000000000000004E-3</v>
      </c>
      <c r="AH150" s="228">
        <v>17.5</v>
      </c>
      <c r="AI150" s="228">
        <v>16.3</v>
      </c>
      <c r="AJ150" s="228">
        <v>1.2</v>
      </c>
      <c r="AK150" s="229">
        <v>1.0800000000000001E-2</v>
      </c>
      <c r="AL150" s="228">
        <v>-7.3</v>
      </c>
      <c r="AM150" s="228">
        <v>12.4</v>
      </c>
      <c r="AN150" s="228">
        <v>-19.7</v>
      </c>
      <c r="AO150" s="229">
        <v>-4.4999999999999997E-3</v>
      </c>
      <c r="AP150" s="231">
        <v>1617.49</v>
      </c>
      <c r="AQ150" s="231">
        <v>1624.98</v>
      </c>
      <c r="AR150" s="228">
        <v>0</v>
      </c>
      <c r="AS150" s="228">
        <v>97</v>
      </c>
      <c r="AT150" s="228">
        <v>104</v>
      </c>
      <c r="AU150" s="228">
        <v>-7</v>
      </c>
      <c r="AV150" s="229">
        <v>-7.0000000000000007E-2</v>
      </c>
      <c r="AW150" s="228">
        <v>93</v>
      </c>
      <c r="AX150" s="228">
        <v>101</v>
      </c>
      <c r="AY150" s="228">
        <v>-8</v>
      </c>
      <c r="AZ150" s="229">
        <v>-8.0799999999999997E-2</v>
      </c>
      <c r="BA150" s="228">
        <v>4</v>
      </c>
      <c r="BB150" s="228">
        <v>3</v>
      </c>
      <c r="BC150" s="228">
        <v>1</v>
      </c>
      <c r="BD150" s="229">
        <v>0.23330000000000001</v>
      </c>
      <c r="BE150" s="228">
        <v>0</v>
      </c>
      <c r="BF150" s="228">
        <v>0</v>
      </c>
      <c r="BG150" s="228">
        <v>0</v>
      </c>
      <c r="BH150" s="229">
        <v>0</v>
      </c>
      <c r="BI150" s="228">
        <v>248</v>
      </c>
      <c r="BJ150" s="228">
        <v>96</v>
      </c>
      <c r="BK150" s="228">
        <v>152</v>
      </c>
      <c r="BL150" s="229">
        <v>1.5883</v>
      </c>
      <c r="BM150" s="228">
        <v>62</v>
      </c>
      <c r="BN150" s="228">
        <v>27</v>
      </c>
      <c r="BO150" s="228">
        <v>34</v>
      </c>
      <c r="BP150" s="229">
        <v>1.2642</v>
      </c>
      <c r="BQ150" s="228">
        <v>407</v>
      </c>
      <c r="BR150" s="228">
        <v>227</v>
      </c>
      <c r="BS150" s="228">
        <v>179</v>
      </c>
      <c r="BT150" s="229">
        <v>0.78779999999999994</v>
      </c>
      <c r="BU150" s="230">
        <v>159858</v>
      </c>
      <c r="BV150" s="230">
        <v>434380</v>
      </c>
      <c r="BW150" s="230">
        <v>-274522</v>
      </c>
      <c r="BX150" s="229">
        <v>-0.63200000000000001</v>
      </c>
      <c r="BY150" s="228">
        <v>786</v>
      </c>
      <c r="BZ150" s="228">
        <v>774</v>
      </c>
      <c r="CA150" s="228">
        <v>12</v>
      </c>
      <c r="CB150" s="229">
        <v>1.4999999999999999E-2</v>
      </c>
      <c r="CC150" s="228">
        <v>773</v>
      </c>
      <c r="CD150" s="228">
        <v>761</v>
      </c>
      <c r="CE150" s="228">
        <v>12</v>
      </c>
      <c r="CF150" s="229">
        <v>1.5800000000000002E-2</v>
      </c>
      <c r="CG150" s="228">
        <v>13</v>
      </c>
      <c r="CH150" s="228">
        <v>13</v>
      </c>
      <c r="CI150" s="228">
        <v>-1</v>
      </c>
      <c r="CJ150" s="229">
        <v>-3.9300000000000002E-2</v>
      </c>
      <c r="CK150" s="228">
        <v>0</v>
      </c>
      <c r="CL150" s="228">
        <v>0</v>
      </c>
      <c r="CM150" s="228">
        <v>0</v>
      </c>
      <c r="CN150" s="229">
        <v>1</v>
      </c>
      <c r="CO150" s="228">
        <v>139</v>
      </c>
      <c r="CP150" s="228">
        <v>130</v>
      </c>
      <c r="CQ150" s="228">
        <v>9</v>
      </c>
      <c r="CR150" s="229">
        <v>6.9699999999999998E-2</v>
      </c>
      <c r="CS150" s="228">
        <v>105</v>
      </c>
      <c r="CT150" s="228">
        <v>102</v>
      </c>
      <c r="CU150" s="228">
        <v>3</v>
      </c>
      <c r="CV150" s="229">
        <v>2.5100000000000001E-2</v>
      </c>
      <c r="CW150" s="230">
        <v>1030</v>
      </c>
      <c r="CX150" s="230">
        <v>1006</v>
      </c>
      <c r="CY150" s="228">
        <v>23</v>
      </c>
      <c r="CZ150" s="229">
        <v>2.3E-2</v>
      </c>
      <c r="DA150" s="228">
        <v>29.85</v>
      </c>
      <c r="DB150" s="228">
        <v>28.71</v>
      </c>
      <c r="DC150" s="228">
        <v>1.1399999999999999</v>
      </c>
      <c r="DD150" s="228">
        <v>1.1399999999999999</v>
      </c>
      <c r="DE150" s="228">
        <v>38.409999999999997</v>
      </c>
      <c r="DF150" s="228">
        <v>38.479999999999997</v>
      </c>
      <c r="DG150" s="228">
        <v>-8.56</v>
      </c>
      <c r="DH150" s="228">
        <v>-7.0000000000000007E-2</v>
      </c>
      <c r="DI150" s="228">
        <v>29.77</v>
      </c>
      <c r="DJ150" s="228">
        <v>28.59</v>
      </c>
      <c r="DK150" s="228">
        <v>1.18</v>
      </c>
      <c r="DL150" s="228">
        <v>1.18</v>
      </c>
      <c r="DM150" s="228">
        <v>30.19</v>
      </c>
      <c r="DN150" s="228">
        <v>29.13</v>
      </c>
      <c r="DO150" s="228">
        <v>1.06</v>
      </c>
      <c r="DP150" s="228">
        <v>1.06</v>
      </c>
      <c r="DQ150" s="228">
        <v>0.76</v>
      </c>
      <c r="DR150" s="228">
        <v>0.79</v>
      </c>
      <c r="DS150" s="228">
        <v>-0.03</v>
      </c>
      <c r="DT150" s="229">
        <v>-3.7999999999999999E-2</v>
      </c>
      <c r="DU150" s="231">
        <v>1700</v>
      </c>
      <c r="DV150" s="231">
        <v>1600</v>
      </c>
      <c r="DW150" s="228">
        <v>0.25</v>
      </c>
      <c r="DX150" s="228">
        <v>0.28000000000000003</v>
      </c>
      <c r="DY150" s="228">
        <v>-0.03</v>
      </c>
      <c r="DZ150" s="229">
        <v>-0.1071</v>
      </c>
      <c r="EA150" s="229">
        <v>1.61E-2</v>
      </c>
      <c r="EB150" s="230">
        <v>80500</v>
      </c>
      <c r="EC150" s="229">
        <v>4.7000000000000002E-3</v>
      </c>
      <c r="ED150" s="229">
        <v>1.61E-2</v>
      </c>
      <c r="EE150" s="228">
        <v>7.49</v>
      </c>
      <c r="EF150" s="229">
        <v>4.5999999999999999E-3</v>
      </c>
      <c r="EG150" s="230">
        <v>61748</v>
      </c>
      <c r="EH150" s="230">
        <v>229502</v>
      </c>
      <c r="EI150" s="229">
        <v>-0.73089999999999999</v>
      </c>
      <c r="EJ150" s="229">
        <v>0.38629999999999998</v>
      </c>
      <c r="EK150" s="228">
        <v>254.63</v>
      </c>
      <c r="EL150" s="228">
        <v>61.05</v>
      </c>
      <c r="EM150" s="228">
        <v>96.32</v>
      </c>
      <c r="EN150" s="228">
        <v>48.29</v>
      </c>
      <c r="EO150" s="228">
        <v>412</v>
      </c>
      <c r="EP150" s="228">
        <v>228.39</v>
      </c>
      <c r="EQ150" s="228">
        <v>183.61</v>
      </c>
      <c r="ER150" s="229">
        <v>0.80389999999999995</v>
      </c>
      <c r="ES150" s="228">
        <v>141.01</v>
      </c>
      <c r="ET150" s="228">
        <v>102.82</v>
      </c>
      <c r="EU150" s="228">
        <v>786.07</v>
      </c>
      <c r="EV150" s="231">
        <v>17614093</v>
      </c>
      <c r="EW150" s="231">
        <v>1029.9000000000001</v>
      </c>
      <c r="EX150" s="228">
        <v>999.14</v>
      </c>
      <c r="EY150" s="228">
        <v>30.76</v>
      </c>
      <c r="EZ150" s="229">
        <v>3.0800000000000001E-2</v>
      </c>
      <c r="FA150" s="229">
        <v>0.35809999999999997</v>
      </c>
      <c r="FB150" s="227" t="s">
        <v>555</v>
      </c>
      <c r="FC150">
        <f t="shared" si="3"/>
        <v>0</v>
      </c>
    </row>
    <row r="151" spans="1:159" ht="17.25" thickBot="1" x14ac:dyDescent="0.3">
      <c r="A151" s="226">
        <v>45936</v>
      </c>
      <c r="B151" s="227" t="s">
        <v>221</v>
      </c>
      <c r="C151" s="227" t="s">
        <v>518</v>
      </c>
      <c r="D151" s="228">
        <v>75</v>
      </c>
      <c r="E151" s="228">
        <v>22</v>
      </c>
      <c r="F151" s="231">
        <v>9149</v>
      </c>
      <c r="G151" s="231">
        <v>8977.5</v>
      </c>
      <c r="H151" s="228">
        <v>171.5</v>
      </c>
      <c r="I151" s="229">
        <v>1.9099999999999999E-2</v>
      </c>
      <c r="J151" s="231">
        <v>9093.5</v>
      </c>
      <c r="K151" s="231">
        <v>8962</v>
      </c>
      <c r="L151" s="228">
        <v>131.5</v>
      </c>
      <c r="M151" s="229">
        <v>1.47E-2</v>
      </c>
      <c r="N151" s="231">
        <v>9149</v>
      </c>
      <c r="O151" s="231">
        <v>8977.5</v>
      </c>
      <c r="P151" s="228">
        <v>171.5</v>
      </c>
      <c r="Q151" s="229">
        <v>1.9099999999999999E-2</v>
      </c>
      <c r="R151" s="231">
        <v>9185</v>
      </c>
      <c r="S151" s="231">
        <v>9011</v>
      </c>
      <c r="T151" s="228">
        <v>174</v>
      </c>
      <c r="U151" s="229">
        <v>1.9300000000000001E-2</v>
      </c>
      <c r="V151" s="231">
        <v>9217</v>
      </c>
      <c r="W151" s="231">
        <v>9050</v>
      </c>
      <c r="X151" s="228">
        <v>167</v>
      </c>
      <c r="Y151" s="229">
        <v>1.8499999999999999E-2</v>
      </c>
      <c r="Z151" s="228">
        <v>55.5</v>
      </c>
      <c r="AA151" s="228">
        <v>15.5</v>
      </c>
      <c r="AB151" s="228">
        <v>40</v>
      </c>
      <c r="AC151" s="229">
        <v>6.1000000000000004E-3</v>
      </c>
      <c r="AD151" s="228">
        <v>55.5</v>
      </c>
      <c r="AE151" s="228">
        <v>15.5</v>
      </c>
      <c r="AF151" s="228">
        <v>40</v>
      </c>
      <c r="AG151" s="229">
        <v>6.1000000000000004E-3</v>
      </c>
      <c r="AH151" s="228">
        <v>91.5</v>
      </c>
      <c r="AI151" s="228">
        <v>49</v>
      </c>
      <c r="AJ151" s="228">
        <v>42.5</v>
      </c>
      <c r="AK151" s="229">
        <v>1.01E-2</v>
      </c>
      <c r="AL151" s="228">
        <v>123.5</v>
      </c>
      <c r="AM151" s="228">
        <v>88</v>
      </c>
      <c r="AN151" s="228">
        <v>35.5</v>
      </c>
      <c r="AO151" s="229">
        <v>1.3599999999999999E-2</v>
      </c>
      <c r="AP151" s="231">
        <v>9078.0300000000007</v>
      </c>
      <c r="AQ151" s="231">
        <v>9114</v>
      </c>
      <c r="AR151" s="228">
        <v>0</v>
      </c>
      <c r="AS151" s="228">
        <v>226</v>
      </c>
      <c r="AT151" s="228">
        <v>290</v>
      </c>
      <c r="AU151" s="228">
        <v>-64</v>
      </c>
      <c r="AV151" s="229">
        <v>-0.22189999999999999</v>
      </c>
      <c r="AW151" s="228">
        <v>213</v>
      </c>
      <c r="AX151" s="228">
        <v>278</v>
      </c>
      <c r="AY151" s="228">
        <v>-65</v>
      </c>
      <c r="AZ151" s="229">
        <v>-0.23449999999999999</v>
      </c>
      <c r="BA151" s="228">
        <v>12</v>
      </c>
      <c r="BB151" s="228">
        <v>12</v>
      </c>
      <c r="BC151" s="228">
        <v>1</v>
      </c>
      <c r="BD151" s="229">
        <v>5.2600000000000001E-2</v>
      </c>
      <c r="BE151" s="228">
        <v>1</v>
      </c>
      <c r="BF151" s="228">
        <v>1</v>
      </c>
      <c r="BG151" s="228">
        <v>0</v>
      </c>
      <c r="BH151" s="229">
        <v>0.25</v>
      </c>
      <c r="BI151" s="228">
        <v>806</v>
      </c>
      <c r="BJ151" s="230">
        <v>1175</v>
      </c>
      <c r="BK151" s="228">
        <v>-370</v>
      </c>
      <c r="BL151" s="229">
        <v>-0.31459999999999999</v>
      </c>
      <c r="BM151" s="228">
        <v>281</v>
      </c>
      <c r="BN151" s="228">
        <v>396</v>
      </c>
      <c r="BO151" s="228">
        <v>-115</v>
      </c>
      <c r="BP151" s="229">
        <v>-0.29049999999999998</v>
      </c>
      <c r="BQ151" s="230">
        <v>1312</v>
      </c>
      <c r="BR151" s="230">
        <v>1861</v>
      </c>
      <c r="BS151" s="228">
        <v>-549</v>
      </c>
      <c r="BT151" s="229">
        <v>-0.29499999999999998</v>
      </c>
      <c r="BU151" s="230">
        <v>117266</v>
      </c>
      <c r="BV151" s="230">
        <v>217125</v>
      </c>
      <c r="BW151" s="230">
        <v>-99859</v>
      </c>
      <c r="BX151" s="229">
        <v>-0.45989999999999998</v>
      </c>
      <c r="BY151" s="228">
        <v>914</v>
      </c>
      <c r="BZ151" s="228">
        <v>894</v>
      </c>
      <c r="CA151" s="228">
        <v>19</v>
      </c>
      <c r="CB151" s="229">
        <v>2.1600000000000001E-2</v>
      </c>
      <c r="CC151" s="228">
        <v>889</v>
      </c>
      <c r="CD151" s="228">
        <v>872</v>
      </c>
      <c r="CE151" s="228">
        <v>17</v>
      </c>
      <c r="CF151" s="229">
        <v>1.9599999999999999E-2</v>
      </c>
      <c r="CG151" s="228">
        <v>23</v>
      </c>
      <c r="CH151" s="228">
        <v>21</v>
      </c>
      <c r="CI151" s="228">
        <v>2</v>
      </c>
      <c r="CJ151" s="229">
        <v>9.4799999999999995E-2</v>
      </c>
      <c r="CK151" s="228">
        <v>2</v>
      </c>
      <c r="CL151" s="228">
        <v>1</v>
      </c>
      <c r="CM151" s="228">
        <v>0</v>
      </c>
      <c r="CN151" s="229">
        <v>0.21049999999999999</v>
      </c>
      <c r="CO151" s="228">
        <v>354</v>
      </c>
      <c r="CP151" s="228">
        <v>352</v>
      </c>
      <c r="CQ151" s="228">
        <v>3</v>
      </c>
      <c r="CR151" s="229">
        <v>7.6E-3</v>
      </c>
      <c r="CS151" s="228">
        <v>220</v>
      </c>
      <c r="CT151" s="228">
        <v>213</v>
      </c>
      <c r="CU151" s="228">
        <v>7</v>
      </c>
      <c r="CV151" s="229">
        <v>3.4799999999999998E-2</v>
      </c>
      <c r="CW151" s="230">
        <v>1489</v>
      </c>
      <c r="CX151" s="230">
        <v>1459</v>
      </c>
      <c r="CY151" s="228">
        <v>29</v>
      </c>
      <c r="CZ151" s="229">
        <v>2.0199999999999999E-2</v>
      </c>
      <c r="DA151" s="228">
        <v>31.08</v>
      </c>
      <c r="DB151" s="228">
        <v>29.87</v>
      </c>
      <c r="DC151" s="228">
        <v>1.21</v>
      </c>
      <c r="DD151" s="228">
        <v>1.21</v>
      </c>
      <c r="DE151" s="228">
        <v>42.14</v>
      </c>
      <c r="DF151" s="228">
        <v>42.2</v>
      </c>
      <c r="DG151" s="228">
        <v>-11.06</v>
      </c>
      <c r="DH151" s="228">
        <v>-0.06</v>
      </c>
      <c r="DI151" s="228">
        <v>30.94</v>
      </c>
      <c r="DJ151" s="228">
        <v>29.82</v>
      </c>
      <c r="DK151" s="228">
        <v>1.1200000000000001</v>
      </c>
      <c r="DL151" s="228">
        <v>1.1200000000000001</v>
      </c>
      <c r="DM151" s="228">
        <v>31.51</v>
      </c>
      <c r="DN151" s="228">
        <v>30.02</v>
      </c>
      <c r="DO151" s="228">
        <v>1.49</v>
      </c>
      <c r="DP151" s="228">
        <v>1.49</v>
      </c>
      <c r="DQ151" s="228">
        <v>0.62</v>
      </c>
      <c r="DR151" s="228">
        <v>0.61</v>
      </c>
      <c r="DS151" s="228">
        <v>0.01</v>
      </c>
      <c r="DT151" s="229">
        <v>1.6400000000000001E-2</v>
      </c>
      <c r="DU151" s="231">
        <v>9500</v>
      </c>
      <c r="DV151" s="231">
        <v>9000</v>
      </c>
      <c r="DW151" s="228">
        <v>0.35</v>
      </c>
      <c r="DX151" s="228">
        <v>0.34</v>
      </c>
      <c r="DY151" s="228">
        <v>0.01</v>
      </c>
      <c r="DZ151" s="229">
        <v>2.9399999999999999E-2</v>
      </c>
      <c r="EA151" s="229">
        <v>2.69E-2</v>
      </c>
      <c r="EB151" s="230">
        <v>24375</v>
      </c>
      <c r="EC151" s="229">
        <v>3.8999999999999998E-3</v>
      </c>
      <c r="ED151" s="229">
        <v>2.69E-2</v>
      </c>
      <c r="EE151" s="228">
        <v>35.97</v>
      </c>
      <c r="EF151" s="229">
        <v>4.0000000000000001E-3</v>
      </c>
      <c r="EG151" s="230">
        <v>33732</v>
      </c>
      <c r="EH151" s="230">
        <v>106718</v>
      </c>
      <c r="EI151" s="229">
        <v>-0.68389999999999995</v>
      </c>
      <c r="EJ151" s="229">
        <v>0.28770000000000001</v>
      </c>
      <c r="EK151" s="228">
        <v>838.03</v>
      </c>
      <c r="EL151" s="228">
        <v>271.97000000000003</v>
      </c>
      <c r="EM151" s="228">
        <v>224.19</v>
      </c>
      <c r="EN151" s="228">
        <v>68.33</v>
      </c>
      <c r="EO151" s="231">
        <v>1334.19</v>
      </c>
      <c r="EP151" s="231">
        <v>1868.29</v>
      </c>
      <c r="EQ151" s="228">
        <v>-534.09</v>
      </c>
      <c r="ER151" s="229">
        <v>-0.28589999999999999</v>
      </c>
      <c r="ES151" s="228">
        <v>362.86</v>
      </c>
      <c r="ET151" s="228">
        <v>204.24</v>
      </c>
      <c r="EU151" s="228">
        <v>913.81</v>
      </c>
      <c r="EV151" s="231">
        <v>3401732</v>
      </c>
      <c r="EW151" s="231">
        <v>1480.91</v>
      </c>
      <c r="EX151" s="231">
        <v>1434.14</v>
      </c>
      <c r="EY151" s="228">
        <v>46.77</v>
      </c>
      <c r="EZ151" s="229">
        <v>3.2599999999999997E-2</v>
      </c>
      <c r="FA151" s="229">
        <v>0.4783</v>
      </c>
      <c r="FB151" s="227" t="s">
        <v>555</v>
      </c>
      <c r="FC151">
        <f t="shared" si="3"/>
        <v>0</v>
      </c>
    </row>
    <row r="152" spans="1:159" ht="17.25" thickBot="1" x14ac:dyDescent="0.3">
      <c r="A152" s="226">
        <v>45936</v>
      </c>
      <c r="B152" s="227" t="s">
        <v>193</v>
      </c>
      <c r="C152" s="227" t="s">
        <v>588</v>
      </c>
      <c r="D152" s="228">
        <v>1400</v>
      </c>
      <c r="E152" s="228">
        <v>22</v>
      </c>
      <c r="F152" s="228">
        <v>421.15</v>
      </c>
      <c r="G152" s="228">
        <v>417.45</v>
      </c>
      <c r="H152" s="228">
        <v>3.7</v>
      </c>
      <c r="I152" s="229">
        <v>8.8999999999999999E-3</v>
      </c>
      <c r="J152" s="228">
        <v>419.2</v>
      </c>
      <c r="K152" s="228">
        <v>414.7</v>
      </c>
      <c r="L152" s="228">
        <v>4.5</v>
      </c>
      <c r="M152" s="229">
        <v>1.09E-2</v>
      </c>
      <c r="N152" s="228">
        <v>421.15</v>
      </c>
      <c r="O152" s="228">
        <v>417.45</v>
      </c>
      <c r="P152" s="228">
        <v>3.7</v>
      </c>
      <c r="Q152" s="229">
        <v>8.8999999999999999E-3</v>
      </c>
      <c r="R152" s="228">
        <v>420.05</v>
      </c>
      <c r="S152" s="228">
        <v>416.7</v>
      </c>
      <c r="T152" s="228">
        <v>3.35</v>
      </c>
      <c r="U152" s="229">
        <v>8.0000000000000002E-3</v>
      </c>
      <c r="V152" s="228">
        <v>421.9</v>
      </c>
      <c r="W152" s="228">
        <v>415.05</v>
      </c>
      <c r="X152" s="228">
        <v>6.85</v>
      </c>
      <c r="Y152" s="229">
        <v>1.6500000000000001E-2</v>
      </c>
      <c r="Z152" s="228">
        <v>1.95</v>
      </c>
      <c r="AA152" s="228">
        <v>2.75</v>
      </c>
      <c r="AB152" s="228">
        <v>-0.8</v>
      </c>
      <c r="AC152" s="229">
        <v>4.7000000000000002E-3</v>
      </c>
      <c r="AD152" s="228">
        <v>1.95</v>
      </c>
      <c r="AE152" s="228">
        <v>2.75</v>
      </c>
      <c r="AF152" s="228">
        <v>-0.8</v>
      </c>
      <c r="AG152" s="229">
        <v>4.7000000000000002E-3</v>
      </c>
      <c r="AH152" s="228">
        <v>0.85</v>
      </c>
      <c r="AI152" s="228">
        <v>2</v>
      </c>
      <c r="AJ152" s="228">
        <v>-1.1499999999999999</v>
      </c>
      <c r="AK152" s="229">
        <v>2E-3</v>
      </c>
      <c r="AL152" s="228">
        <v>2.7</v>
      </c>
      <c r="AM152" s="228">
        <v>0.35</v>
      </c>
      <c r="AN152" s="228">
        <v>2.35</v>
      </c>
      <c r="AO152" s="229">
        <v>6.4000000000000003E-3</v>
      </c>
      <c r="AP152" s="228">
        <v>420.1</v>
      </c>
      <c r="AQ152" s="228">
        <v>419.44</v>
      </c>
      <c r="AR152" s="228">
        <v>0</v>
      </c>
      <c r="AS152" s="228">
        <v>112</v>
      </c>
      <c r="AT152" s="228">
        <v>103</v>
      </c>
      <c r="AU152" s="228">
        <v>9</v>
      </c>
      <c r="AV152" s="229">
        <v>8.7900000000000006E-2</v>
      </c>
      <c r="AW152" s="228">
        <v>99</v>
      </c>
      <c r="AX152" s="228">
        <v>94</v>
      </c>
      <c r="AY152" s="228">
        <v>5</v>
      </c>
      <c r="AZ152" s="229">
        <v>5.2499999999999998E-2</v>
      </c>
      <c r="BA152" s="228">
        <v>11</v>
      </c>
      <c r="BB152" s="228">
        <v>7</v>
      </c>
      <c r="BC152" s="228">
        <v>4</v>
      </c>
      <c r="BD152" s="229">
        <v>0.63029999999999997</v>
      </c>
      <c r="BE152" s="228">
        <v>1</v>
      </c>
      <c r="BF152" s="228">
        <v>1</v>
      </c>
      <c r="BG152" s="228">
        <v>0</v>
      </c>
      <c r="BH152" s="229">
        <v>-0.3</v>
      </c>
      <c r="BI152" s="228">
        <v>198</v>
      </c>
      <c r="BJ152" s="228">
        <v>157</v>
      </c>
      <c r="BK152" s="228">
        <v>41</v>
      </c>
      <c r="BL152" s="229">
        <v>0.25779999999999997</v>
      </c>
      <c r="BM152" s="228">
        <v>68</v>
      </c>
      <c r="BN152" s="228">
        <v>64</v>
      </c>
      <c r="BO152" s="228">
        <v>4</v>
      </c>
      <c r="BP152" s="229">
        <v>6.25E-2</v>
      </c>
      <c r="BQ152" s="228">
        <v>378</v>
      </c>
      <c r="BR152" s="228">
        <v>324</v>
      </c>
      <c r="BS152" s="228">
        <v>54</v>
      </c>
      <c r="BT152" s="229">
        <v>0.16539999999999999</v>
      </c>
      <c r="BU152" s="230">
        <v>2467211</v>
      </c>
      <c r="BV152" s="230">
        <v>2866794</v>
      </c>
      <c r="BW152" s="230">
        <v>-399583</v>
      </c>
      <c r="BX152" s="229">
        <v>-0.1394</v>
      </c>
      <c r="BY152" s="228">
        <v>403</v>
      </c>
      <c r="BZ152" s="228">
        <v>391</v>
      </c>
      <c r="CA152" s="228">
        <v>11</v>
      </c>
      <c r="CB152" s="229">
        <v>2.9100000000000001E-2</v>
      </c>
      <c r="CC152" s="228">
        <v>387</v>
      </c>
      <c r="CD152" s="228">
        <v>378</v>
      </c>
      <c r="CE152" s="228">
        <v>8</v>
      </c>
      <c r="CF152" s="229">
        <v>2.24E-2</v>
      </c>
      <c r="CG152" s="228">
        <v>14</v>
      </c>
      <c r="CH152" s="228">
        <v>12</v>
      </c>
      <c r="CI152" s="228">
        <v>2</v>
      </c>
      <c r="CJ152" s="229">
        <v>0.21</v>
      </c>
      <c r="CK152" s="228">
        <v>1</v>
      </c>
      <c r="CL152" s="228">
        <v>1</v>
      </c>
      <c r="CM152" s="228">
        <v>0</v>
      </c>
      <c r="CN152" s="229">
        <v>0.4118</v>
      </c>
      <c r="CO152" s="228">
        <v>193</v>
      </c>
      <c r="CP152" s="228">
        <v>192</v>
      </c>
      <c r="CQ152" s="228">
        <v>1</v>
      </c>
      <c r="CR152" s="229">
        <v>3.7000000000000002E-3</v>
      </c>
      <c r="CS152" s="228">
        <v>97</v>
      </c>
      <c r="CT152" s="228">
        <v>89</v>
      </c>
      <c r="CU152" s="228">
        <v>9</v>
      </c>
      <c r="CV152" s="229">
        <v>9.9900000000000003E-2</v>
      </c>
      <c r="CW152" s="228">
        <v>693</v>
      </c>
      <c r="CX152" s="228">
        <v>672</v>
      </c>
      <c r="CY152" s="228">
        <v>21</v>
      </c>
      <c r="CZ152" s="229">
        <v>3.1099999999999999E-2</v>
      </c>
      <c r="DA152" s="228">
        <v>31.69</v>
      </c>
      <c r="DB152" s="228">
        <v>31.06</v>
      </c>
      <c r="DC152" s="228">
        <v>0.63</v>
      </c>
      <c r="DD152" s="228">
        <v>0.63</v>
      </c>
      <c r="DE152" s="228">
        <v>45.19</v>
      </c>
      <c r="DF152" s="228">
        <v>45.29</v>
      </c>
      <c r="DG152" s="228">
        <v>-13.5</v>
      </c>
      <c r="DH152" s="228">
        <v>-0.1</v>
      </c>
      <c r="DI152" s="228">
        <v>31.71</v>
      </c>
      <c r="DJ152" s="228">
        <v>31.18</v>
      </c>
      <c r="DK152" s="228">
        <v>0.53</v>
      </c>
      <c r="DL152" s="228">
        <v>0.53</v>
      </c>
      <c r="DM152" s="228">
        <v>31.61</v>
      </c>
      <c r="DN152" s="228">
        <v>30.75</v>
      </c>
      <c r="DO152" s="228">
        <v>0.86</v>
      </c>
      <c r="DP152" s="228">
        <v>0.86</v>
      </c>
      <c r="DQ152" s="228">
        <v>0.5</v>
      </c>
      <c r="DR152" s="228">
        <v>0.46</v>
      </c>
      <c r="DS152" s="228">
        <v>0.04</v>
      </c>
      <c r="DT152" s="229">
        <v>8.6999999999999994E-2</v>
      </c>
      <c r="DU152" s="228">
        <v>420</v>
      </c>
      <c r="DV152" s="228">
        <v>400</v>
      </c>
      <c r="DW152" s="228">
        <v>0.34</v>
      </c>
      <c r="DX152" s="228">
        <v>0.41</v>
      </c>
      <c r="DY152" s="228">
        <v>-7.0000000000000007E-2</v>
      </c>
      <c r="DZ152" s="229">
        <v>-0.17069999999999999</v>
      </c>
      <c r="EA152" s="229">
        <v>3.9E-2</v>
      </c>
      <c r="EB152" s="230">
        <v>303800</v>
      </c>
      <c r="EC152" s="229">
        <v>-2.5999999999999999E-3</v>
      </c>
      <c r="ED152" s="229">
        <v>3.9E-2</v>
      </c>
      <c r="EE152" s="228">
        <v>-0.66</v>
      </c>
      <c r="EF152" s="229">
        <v>-1.6000000000000001E-3</v>
      </c>
      <c r="EG152" s="230">
        <v>1199731</v>
      </c>
      <c r="EH152" s="230">
        <v>1343944</v>
      </c>
      <c r="EI152" s="229">
        <v>-0.10730000000000001</v>
      </c>
      <c r="EJ152" s="229">
        <v>0.48630000000000001</v>
      </c>
      <c r="EK152" s="228">
        <v>207.12</v>
      </c>
      <c r="EL152" s="228">
        <v>67.44</v>
      </c>
      <c r="EM152" s="228">
        <v>111.32</v>
      </c>
      <c r="EN152" s="228">
        <v>35.76</v>
      </c>
      <c r="EO152" s="228">
        <v>385.88</v>
      </c>
      <c r="EP152" s="228">
        <v>327.06</v>
      </c>
      <c r="EQ152" s="228">
        <v>58.82</v>
      </c>
      <c r="ER152" s="229">
        <v>0.17979999999999999</v>
      </c>
      <c r="ES152" s="228">
        <v>200.47</v>
      </c>
      <c r="ET152" s="228">
        <v>92.81</v>
      </c>
      <c r="EU152" s="228">
        <v>402.55</v>
      </c>
      <c r="EV152" s="231">
        <v>94123587</v>
      </c>
      <c r="EW152" s="228">
        <v>695.83</v>
      </c>
      <c r="EX152" s="228">
        <v>670.73</v>
      </c>
      <c r="EY152" s="228">
        <v>25.1</v>
      </c>
      <c r="EZ152" s="229">
        <v>3.7400000000000003E-2</v>
      </c>
      <c r="FA152" s="229">
        <v>0.17480000000000001</v>
      </c>
      <c r="FB152" s="227" t="s">
        <v>555</v>
      </c>
      <c r="FC152">
        <f t="shared" si="3"/>
        <v>0</v>
      </c>
    </row>
    <row r="153" spans="1:159" ht="17.25" thickBot="1" x14ac:dyDescent="0.3">
      <c r="A153" s="226">
        <v>45936</v>
      </c>
      <c r="B153" s="227" t="s">
        <v>193</v>
      </c>
      <c r="C153" s="227" t="s">
        <v>269</v>
      </c>
      <c r="D153" s="228">
        <v>2250</v>
      </c>
      <c r="E153" s="228">
        <v>22</v>
      </c>
      <c r="F153" s="228">
        <v>247.3</v>
      </c>
      <c r="G153" s="228">
        <v>245.23</v>
      </c>
      <c r="H153" s="228">
        <v>2.0699999999999998</v>
      </c>
      <c r="I153" s="229">
        <v>8.3999999999999995E-3</v>
      </c>
      <c r="J153" s="228">
        <v>245.86</v>
      </c>
      <c r="K153" s="228">
        <v>243.66</v>
      </c>
      <c r="L153" s="228">
        <v>2.2000000000000002</v>
      </c>
      <c r="M153" s="229">
        <v>8.9999999999999993E-3</v>
      </c>
      <c r="N153" s="228">
        <v>247.3</v>
      </c>
      <c r="O153" s="228">
        <v>245.23</v>
      </c>
      <c r="P153" s="228">
        <v>2.0699999999999998</v>
      </c>
      <c r="Q153" s="229">
        <v>8.3999999999999995E-3</v>
      </c>
      <c r="R153" s="228">
        <v>248.45</v>
      </c>
      <c r="S153" s="228">
        <v>246.44</v>
      </c>
      <c r="T153" s="228">
        <v>2.0099999999999998</v>
      </c>
      <c r="U153" s="229">
        <v>8.2000000000000007E-3</v>
      </c>
      <c r="V153" s="228">
        <v>249.8</v>
      </c>
      <c r="W153" s="228">
        <v>247.85</v>
      </c>
      <c r="X153" s="228">
        <v>1.95</v>
      </c>
      <c r="Y153" s="229">
        <v>7.9000000000000008E-3</v>
      </c>
      <c r="Z153" s="228">
        <v>1.44</v>
      </c>
      <c r="AA153" s="228">
        <v>1.57</v>
      </c>
      <c r="AB153" s="228">
        <v>-0.13</v>
      </c>
      <c r="AC153" s="229">
        <v>5.8999999999999999E-3</v>
      </c>
      <c r="AD153" s="228">
        <v>1.44</v>
      </c>
      <c r="AE153" s="228">
        <v>1.57</v>
      </c>
      <c r="AF153" s="228">
        <v>-0.13</v>
      </c>
      <c r="AG153" s="229">
        <v>5.8999999999999999E-3</v>
      </c>
      <c r="AH153" s="228">
        <v>2.59</v>
      </c>
      <c r="AI153" s="228">
        <v>2.78</v>
      </c>
      <c r="AJ153" s="228">
        <v>-0.19</v>
      </c>
      <c r="AK153" s="229">
        <v>1.0500000000000001E-2</v>
      </c>
      <c r="AL153" s="228">
        <v>3.94</v>
      </c>
      <c r="AM153" s="228">
        <v>4.1900000000000004</v>
      </c>
      <c r="AN153" s="228">
        <v>-0.25</v>
      </c>
      <c r="AO153" s="229">
        <v>1.6E-2</v>
      </c>
      <c r="AP153" s="228">
        <v>247.02</v>
      </c>
      <c r="AQ153" s="228">
        <v>248.06</v>
      </c>
      <c r="AR153" s="228">
        <v>0</v>
      </c>
      <c r="AS153" s="228">
        <v>394</v>
      </c>
      <c r="AT153" s="228">
        <v>340</v>
      </c>
      <c r="AU153" s="228">
        <v>55</v>
      </c>
      <c r="AV153" s="229">
        <v>0.1608</v>
      </c>
      <c r="AW153" s="228">
        <v>372</v>
      </c>
      <c r="AX153" s="228">
        <v>318</v>
      </c>
      <c r="AY153" s="228">
        <v>54</v>
      </c>
      <c r="AZ153" s="229">
        <v>0.17069999999999999</v>
      </c>
      <c r="BA153" s="228">
        <v>19</v>
      </c>
      <c r="BB153" s="228">
        <v>19</v>
      </c>
      <c r="BC153" s="228">
        <v>-1</v>
      </c>
      <c r="BD153" s="229">
        <v>-2.6200000000000001E-2</v>
      </c>
      <c r="BE153" s="228">
        <v>4</v>
      </c>
      <c r="BF153" s="228">
        <v>3</v>
      </c>
      <c r="BG153" s="228">
        <v>1</v>
      </c>
      <c r="BH153" s="229">
        <v>0.30769999999999997</v>
      </c>
      <c r="BI153" s="230">
        <v>1516</v>
      </c>
      <c r="BJ153" s="230">
        <v>1043</v>
      </c>
      <c r="BK153" s="228">
        <v>473</v>
      </c>
      <c r="BL153" s="229">
        <v>0.45379999999999998</v>
      </c>
      <c r="BM153" s="228">
        <v>644</v>
      </c>
      <c r="BN153" s="228">
        <v>429</v>
      </c>
      <c r="BO153" s="228">
        <v>215</v>
      </c>
      <c r="BP153" s="229">
        <v>0.50060000000000004</v>
      </c>
      <c r="BQ153" s="230">
        <v>2554</v>
      </c>
      <c r="BR153" s="230">
        <v>1812</v>
      </c>
      <c r="BS153" s="228">
        <v>743</v>
      </c>
      <c r="BT153" s="229">
        <v>0.40989999999999999</v>
      </c>
      <c r="BU153" s="230">
        <v>9773617</v>
      </c>
      <c r="BV153" s="230">
        <v>11592312</v>
      </c>
      <c r="BW153" s="230">
        <v>-1818695</v>
      </c>
      <c r="BX153" s="229">
        <v>-0.15690000000000001</v>
      </c>
      <c r="BY153" s="230">
        <v>2448</v>
      </c>
      <c r="BZ153" s="230">
        <v>2450</v>
      </c>
      <c r="CA153" s="228">
        <v>-3</v>
      </c>
      <c r="CB153" s="229">
        <v>-1E-3</v>
      </c>
      <c r="CC153" s="230">
        <v>2407</v>
      </c>
      <c r="CD153" s="230">
        <v>2413</v>
      </c>
      <c r="CE153" s="228">
        <v>-7</v>
      </c>
      <c r="CF153" s="229">
        <v>-2.7000000000000001E-3</v>
      </c>
      <c r="CG153" s="228">
        <v>39</v>
      </c>
      <c r="CH153" s="228">
        <v>34</v>
      </c>
      <c r="CI153" s="228">
        <v>4</v>
      </c>
      <c r="CJ153" s="229">
        <v>0.1258</v>
      </c>
      <c r="CK153" s="228">
        <v>2</v>
      </c>
      <c r="CL153" s="228">
        <v>3</v>
      </c>
      <c r="CM153" s="228">
        <v>0</v>
      </c>
      <c r="CN153" s="229">
        <v>-0.1111</v>
      </c>
      <c r="CO153" s="228">
        <v>869</v>
      </c>
      <c r="CP153" s="228">
        <v>765</v>
      </c>
      <c r="CQ153" s="228">
        <v>104</v>
      </c>
      <c r="CR153" s="229">
        <v>0.13589999999999999</v>
      </c>
      <c r="CS153" s="228">
        <v>461</v>
      </c>
      <c r="CT153" s="228">
        <v>468</v>
      </c>
      <c r="CU153" s="228">
        <v>-6</v>
      </c>
      <c r="CV153" s="229">
        <v>-1.3299999999999999E-2</v>
      </c>
      <c r="CW153" s="230">
        <v>3779</v>
      </c>
      <c r="CX153" s="230">
        <v>3683</v>
      </c>
      <c r="CY153" s="228">
        <v>95</v>
      </c>
      <c r="CZ153" s="229">
        <v>2.58E-2</v>
      </c>
      <c r="DA153" s="228">
        <v>19.420000000000002</v>
      </c>
      <c r="DB153" s="228">
        <v>19.36</v>
      </c>
      <c r="DC153" s="228">
        <v>0.06</v>
      </c>
      <c r="DD153" s="228">
        <v>0.06</v>
      </c>
      <c r="DE153" s="228">
        <v>32.71</v>
      </c>
      <c r="DF153" s="228">
        <v>32.770000000000003</v>
      </c>
      <c r="DG153" s="228">
        <v>-13.29</v>
      </c>
      <c r="DH153" s="228">
        <v>-0.06</v>
      </c>
      <c r="DI153" s="228">
        <v>19.190000000000001</v>
      </c>
      <c r="DJ153" s="228">
        <v>19.309999999999999</v>
      </c>
      <c r="DK153" s="228">
        <v>-0.12</v>
      </c>
      <c r="DL153" s="228">
        <v>-0.12</v>
      </c>
      <c r="DM153" s="228">
        <v>19.96</v>
      </c>
      <c r="DN153" s="228">
        <v>19.47</v>
      </c>
      <c r="DO153" s="228">
        <v>0.49</v>
      </c>
      <c r="DP153" s="228">
        <v>0.49</v>
      </c>
      <c r="DQ153" s="228">
        <v>0.53</v>
      </c>
      <c r="DR153" s="228">
        <v>0.61</v>
      </c>
      <c r="DS153" s="228">
        <v>-0.08</v>
      </c>
      <c r="DT153" s="229">
        <v>-0.13109999999999999</v>
      </c>
      <c r="DU153" s="228">
        <v>250</v>
      </c>
      <c r="DV153" s="228">
        <v>240</v>
      </c>
      <c r="DW153" s="228">
        <v>0.42</v>
      </c>
      <c r="DX153" s="228">
        <v>0.41</v>
      </c>
      <c r="DY153" s="228">
        <v>0.01</v>
      </c>
      <c r="DZ153" s="229">
        <v>2.4400000000000002E-2</v>
      </c>
      <c r="EA153" s="229">
        <v>1.6799999999999999E-2</v>
      </c>
      <c r="EB153" s="230">
        <v>1496250</v>
      </c>
      <c r="EC153" s="229">
        <v>4.7000000000000002E-3</v>
      </c>
      <c r="ED153" s="229">
        <v>1.6799999999999999E-2</v>
      </c>
      <c r="EE153" s="228">
        <v>1.04</v>
      </c>
      <c r="EF153" s="229">
        <v>4.1999999999999997E-3</v>
      </c>
      <c r="EG153" s="230">
        <v>4633984</v>
      </c>
      <c r="EH153" s="230">
        <v>7641298</v>
      </c>
      <c r="EI153" s="229">
        <v>-0.39360000000000001</v>
      </c>
      <c r="EJ153" s="229">
        <v>0.47410000000000002</v>
      </c>
      <c r="EK153" s="231">
        <v>1559.73</v>
      </c>
      <c r="EL153" s="228">
        <v>634.77</v>
      </c>
      <c r="EM153" s="228">
        <v>394.07</v>
      </c>
      <c r="EN153" s="228">
        <v>150.41</v>
      </c>
      <c r="EO153" s="231">
        <v>2588.56</v>
      </c>
      <c r="EP153" s="231">
        <v>1821.61</v>
      </c>
      <c r="EQ153" s="228">
        <v>766.95</v>
      </c>
      <c r="ER153" s="229">
        <v>0.42099999999999999</v>
      </c>
      <c r="ES153" s="228">
        <v>882.96</v>
      </c>
      <c r="ET153" s="228">
        <v>449.62</v>
      </c>
      <c r="EU153" s="231">
        <v>2447.92</v>
      </c>
      <c r="EV153" s="231">
        <v>517141211</v>
      </c>
      <c r="EW153" s="231">
        <v>3780.5</v>
      </c>
      <c r="EX153" s="231">
        <v>3661.58</v>
      </c>
      <c r="EY153" s="228">
        <v>118.92</v>
      </c>
      <c r="EZ153" s="229">
        <v>3.2500000000000001E-2</v>
      </c>
      <c r="FA153" s="229">
        <v>0.29549999999999998</v>
      </c>
      <c r="FB153" s="227" t="s">
        <v>556</v>
      </c>
      <c r="FC153">
        <f t="shared" si="3"/>
        <v>0</v>
      </c>
    </row>
    <row r="154" spans="1:159" ht="17.25" thickBot="1" x14ac:dyDescent="0.3">
      <c r="A154" s="226">
        <v>45936</v>
      </c>
      <c r="B154" s="227" t="s">
        <v>197</v>
      </c>
      <c r="C154" s="227" t="s">
        <v>270</v>
      </c>
      <c r="D154" s="228">
        <v>15</v>
      </c>
      <c r="E154" s="228">
        <v>22</v>
      </c>
      <c r="F154" s="231">
        <v>41810</v>
      </c>
      <c r="G154" s="231">
        <v>41900</v>
      </c>
      <c r="H154" s="228">
        <v>-90</v>
      </c>
      <c r="I154" s="229">
        <v>-2.0999999999999999E-3</v>
      </c>
      <c r="J154" s="231">
        <v>42195</v>
      </c>
      <c r="K154" s="231">
        <v>42875</v>
      </c>
      <c r="L154" s="228">
        <v>-680</v>
      </c>
      <c r="M154" s="229">
        <v>-1.5900000000000001E-2</v>
      </c>
      <c r="N154" s="231">
        <v>41810</v>
      </c>
      <c r="O154" s="231">
        <v>41900</v>
      </c>
      <c r="P154" s="228">
        <v>-90</v>
      </c>
      <c r="Q154" s="229">
        <v>-2.0999999999999999E-3</v>
      </c>
      <c r="R154" s="231">
        <v>41245</v>
      </c>
      <c r="S154" s="231">
        <v>41260</v>
      </c>
      <c r="T154" s="228">
        <v>-15</v>
      </c>
      <c r="U154" s="229">
        <v>-4.0000000000000002E-4</v>
      </c>
      <c r="V154" s="231">
        <v>41100</v>
      </c>
      <c r="W154" s="231">
        <v>41100</v>
      </c>
      <c r="X154" s="228">
        <v>0</v>
      </c>
      <c r="Y154" s="229">
        <v>0</v>
      </c>
      <c r="Z154" s="228">
        <v>-385</v>
      </c>
      <c r="AA154" s="228">
        <v>-975</v>
      </c>
      <c r="AB154" s="228">
        <v>590</v>
      </c>
      <c r="AC154" s="229">
        <v>-9.1000000000000004E-3</v>
      </c>
      <c r="AD154" s="228">
        <v>-385</v>
      </c>
      <c r="AE154" s="228">
        <v>-975</v>
      </c>
      <c r="AF154" s="228">
        <v>590</v>
      </c>
      <c r="AG154" s="229">
        <v>-9.1000000000000004E-3</v>
      </c>
      <c r="AH154" s="228">
        <v>-950</v>
      </c>
      <c r="AI154" s="231">
        <v>-1615</v>
      </c>
      <c r="AJ154" s="228">
        <v>665</v>
      </c>
      <c r="AK154" s="229">
        <v>-2.2499999999999999E-2</v>
      </c>
      <c r="AL154" s="231">
        <v>-1095</v>
      </c>
      <c r="AM154" s="231">
        <v>-1775</v>
      </c>
      <c r="AN154" s="228">
        <v>680</v>
      </c>
      <c r="AO154" s="229">
        <v>-2.5999999999999999E-2</v>
      </c>
      <c r="AP154" s="231">
        <v>41957.67</v>
      </c>
      <c r="AQ154" s="231">
        <v>41338.400000000001</v>
      </c>
      <c r="AR154" s="228">
        <v>0</v>
      </c>
      <c r="AS154" s="228">
        <v>111</v>
      </c>
      <c r="AT154" s="228">
        <v>184</v>
      </c>
      <c r="AU154" s="228">
        <v>-73</v>
      </c>
      <c r="AV154" s="229">
        <v>-0.39850000000000002</v>
      </c>
      <c r="AW154" s="228">
        <v>101</v>
      </c>
      <c r="AX154" s="228">
        <v>162</v>
      </c>
      <c r="AY154" s="228">
        <v>-61</v>
      </c>
      <c r="AZ154" s="229">
        <v>-0.37669999999999998</v>
      </c>
      <c r="BA154" s="228">
        <v>10</v>
      </c>
      <c r="BB154" s="228">
        <v>22</v>
      </c>
      <c r="BC154" s="228">
        <v>-12</v>
      </c>
      <c r="BD154" s="229">
        <v>-0.54730000000000001</v>
      </c>
      <c r="BE154" s="228">
        <v>0</v>
      </c>
      <c r="BF154" s="228">
        <v>0</v>
      </c>
      <c r="BG154" s="228">
        <v>0</v>
      </c>
      <c r="BH154" s="229">
        <v>-1</v>
      </c>
      <c r="BI154" s="228">
        <v>384</v>
      </c>
      <c r="BJ154" s="228">
        <v>755</v>
      </c>
      <c r="BK154" s="228">
        <v>-371</v>
      </c>
      <c r="BL154" s="229">
        <v>-0.49159999999999998</v>
      </c>
      <c r="BM154" s="228">
        <v>59</v>
      </c>
      <c r="BN154" s="228">
        <v>194</v>
      </c>
      <c r="BO154" s="228">
        <v>-135</v>
      </c>
      <c r="BP154" s="229">
        <v>-0.69420000000000004</v>
      </c>
      <c r="BQ154" s="228">
        <v>554</v>
      </c>
      <c r="BR154" s="230">
        <v>1134</v>
      </c>
      <c r="BS154" s="228">
        <v>-579</v>
      </c>
      <c r="BT154" s="229">
        <v>-0.51119999999999999</v>
      </c>
      <c r="BU154" s="230">
        <v>15895</v>
      </c>
      <c r="BV154" s="230">
        <v>41235</v>
      </c>
      <c r="BW154" s="230">
        <v>-25340</v>
      </c>
      <c r="BX154" s="229">
        <v>-0.61450000000000005</v>
      </c>
      <c r="BY154" s="228">
        <v>927</v>
      </c>
      <c r="BZ154" s="228">
        <v>894</v>
      </c>
      <c r="CA154" s="228">
        <v>33</v>
      </c>
      <c r="CB154" s="229">
        <v>3.6799999999999999E-2</v>
      </c>
      <c r="CC154" s="228">
        <v>903</v>
      </c>
      <c r="CD154" s="228">
        <v>873</v>
      </c>
      <c r="CE154" s="228">
        <v>30</v>
      </c>
      <c r="CF154" s="229">
        <v>3.4599999999999999E-2</v>
      </c>
      <c r="CG154" s="228">
        <v>24</v>
      </c>
      <c r="CH154" s="228">
        <v>21</v>
      </c>
      <c r="CI154" s="228">
        <v>3</v>
      </c>
      <c r="CJ154" s="229">
        <v>0.1268</v>
      </c>
      <c r="CK154" s="228">
        <v>0</v>
      </c>
      <c r="CL154" s="228">
        <v>0</v>
      </c>
      <c r="CM154" s="228">
        <v>0</v>
      </c>
      <c r="CN154" s="229">
        <v>0</v>
      </c>
      <c r="CO154" s="228">
        <v>275</v>
      </c>
      <c r="CP154" s="228">
        <v>246</v>
      </c>
      <c r="CQ154" s="228">
        <v>29</v>
      </c>
      <c r="CR154" s="229">
        <v>0.1191</v>
      </c>
      <c r="CS154" s="228">
        <v>123</v>
      </c>
      <c r="CT154" s="228">
        <v>114</v>
      </c>
      <c r="CU154" s="228">
        <v>9</v>
      </c>
      <c r="CV154" s="229">
        <v>7.46E-2</v>
      </c>
      <c r="CW154" s="230">
        <v>1325</v>
      </c>
      <c r="CX154" s="230">
        <v>1255</v>
      </c>
      <c r="CY154" s="228">
        <v>71</v>
      </c>
      <c r="CZ154" s="229">
        <v>5.6399999999999999E-2</v>
      </c>
      <c r="DA154" s="228">
        <v>25.61</v>
      </c>
      <c r="DB154" s="228">
        <v>24.5</v>
      </c>
      <c r="DC154" s="228">
        <v>1.1100000000000001</v>
      </c>
      <c r="DD154" s="228">
        <v>1.1100000000000001</v>
      </c>
      <c r="DE154" s="228">
        <v>29.88</v>
      </c>
      <c r="DF154" s="228">
        <v>29.87</v>
      </c>
      <c r="DG154" s="228">
        <v>-4.2699999999999996</v>
      </c>
      <c r="DH154" s="228">
        <v>0.01</v>
      </c>
      <c r="DI154" s="228">
        <v>25.78</v>
      </c>
      <c r="DJ154" s="228">
        <v>24.79</v>
      </c>
      <c r="DK154" s="228">
        <v>0.99</v>
      </c>
      <c r="DL154" s="228">
        <v>0.99</v>
      </c>
      <c r="DM154" s="228">
        <v>24.47</v>
      </c>
      <c r="DN154" s="228">
        <v>23.36</v>
      </c>
      <c r="DO154" s="228">
        <v>1.1100000000000001</v>
      </c>
      <c r="DP154" s="228">
        <v>1.1100000000000001</v>
      </c>
      <c r="DQ154" s="228">
        <v>0.45</v>
      </c>
      <c r="DR154" s="228">
        <v>0.46</v>
      </c>
      <c r="DS154" s="228">
        <v>-0.01</v>
      </c>
      <c r="DT154" s="229">
        <v>-2.1700000000000001E-2</v>
      </c>
      <c r="DU154" s="231">
        <v>45000</v>
      </c>
      <c r="DV154" s="231">
        <v>42000</v>
      </c>
      <c r="DW154" s="228">
        <v>0.15</v>
      </c>
      <c r="DX154" s="228">
        <v>0.26</v>
      </c>
      <c r="DY154" s="228">
        <v>-0.11</v>
      </c>
      <c r="DZ154" s="229">
        <v>-0.42309999999999998</v>
      </c>
      <c r="EA154" s="229">
        <v>2.6200000000000001E-2</v>
      </c>
      <c r="EB154" s="230">
        <v>5175</v>
      </c>
      <c r="EC154" s="229">
        <v>-1.35E-2</v>
      </c>
      <c r="ED154" s="229">
        <v>2.6200000000000001E-2</v>
      </c>
      <c r="EE154" s="228">
        <v>-619.27</v>
      </c>
      <c r="EF154" s="229">
        <v>-1.4800000000000001E-2</v>
      </c>
      <c r="EG154" s="230">
        <v>9410</v>
      </c>
      <c r="EH154" s="230">
        <v>25487</v>
      </c>
      <c r="EI154" s="229">
        <v>-0.63080000000000003</v>
      </c>
      <c r="EJ154" s="229">
        <v>0.59199999999999997</v>
      </c>
      <c r="EK154" s="228">
        <v>414.82</v>
      </c>
      <c r="EL154" s="228">
        <v>58.14</v>
      </c>
      <c r="EM154" s="228">
        <v>111</v>
      </c>
      <c r="EN154" s="228">
        <v>68.069999999999993</v>
      </c>
      <c r="EO154" s="228">
        <v>583.96</v>
      </c>
      <c r="EP154" s="231">
        <v>1184.44</v>
      </c>
      <c r="EQ154" s="228">
        <v>-600.49</v>
      </c>
      <c r="ER154" s="229">
        <v>-0.50700000000000001</v>
      </c>
      <c r="ES154" s="228">
        <v>291.57</v>
      </c>
      <c r="ET154" s="228">
        <v>120.28</v>
      </c>
      <c r="EU154" s="228">
        <v>926.97</v>
      </c>
      <c r="EV154" s="231">
        <v>955549</v>
      </c>
      <c r="EW154" s="231">
        <v>1338.82</v>
      </c>
      <c r="EX154" s="231">
        <v>1268.77</v>
      </c>
      <c r="EY154" s="228">
        <v>70.05</v>
      </c>
      <c r="EZ154" s="229">
        <v>5.5199999999999999E-2</v>
      </c>
      <c r="FA154" s="229">
        <v>0.33169999999999999</v>
      </c>
      <c r="FB154" s="227" t="s">
        <v>567</v>
      </c>
      <c r="FC154">
        <f t="shared" si="3"/>
        <v>0</v>
      </c>
    </row>
    <row r="155" spans="1:159" ht="17.25" thickBot="1" x14ac:dyDescent="0.3">
      <c r="A155" s="226">
        <v>45936</v>
      </c>
      <c r="B155" s="227" t="s">
        <v>168</v>
      </c>
      <c r="C155" s="227" t="s">
        <v>667</v>
      </c>
      <c r="D155" s="228">
        <v>900</v>
      </c>
      <c r="E155" s="228">
        <v>22</v>
      </c>
      <c r="F155" s="228">
        <v>601.29999999999995</v>
      </c>
      <c r="G155" s="228">
        <v>590.1</v>
      </c>
      <c r="H155" s="228">
        <v>11.2</v>
      </c>
      <c r="I155" s="229">
        <v>1.9E-2</v>
      </c>
      <c r="J155" s="228">
        <v>597.54999999999995</v>
      </c>
      <c r="K155" s="228">
        <v>588.45000000000005</v>
      </c>
      <c r="L155" s="228">
        <v>9.1</v>
      </c>
      <c r="M155" s="229">
        <v>1.55E-2</v>
      </c>
      <c r="N155" s="228">
        <v>601.29999999999995</v>
      </c>
      <c r="O155" s="228">
        <v>590.1</v>
      </c>
      <c r="P155" s="228">
        <v>11.2</v>
      </c>
      <c r="Q155" s="229">
        <v>1.9E-2</v>
      </c>
      <c r="R155" s="228">
        <v>603.70000000000005</v>
      </c>
      <c r="S155" s="228">
        <v>592.70000000000005</v>
      </c>
      <c r="T155" s="228">
        <v>11</v>
      </c>
      <c r="U155" s="229">
        <v>1.8599999999999998E-2</v>
      </c>
      <c r="V155" s="228">
        <v>604</v>
      </c>
      <c r="W155" s="228">
        <v>585.70000000000005</v>
      </c>
      <c r="X155" s="228">
        <v>18.3</v>
      </c>
      <c r="Y155" s="229">
        <v>3.1199999999999999E-2</v>
      </c>
      <c r="Z155" s="228">
        <v>3.75</v>
      </c>
      <c r="AA155" s="228">
        <v>1.65</v>
      </c>
      <c r="AB155" s="228">
        <v>2.1</v>
      </c>
      <c r="AC155" s="229">
        <v>6.3E-3</v>
      </c>
      <c r="AD155" s="228">
        <v>3.75</v>
      </c>
      <c r="AE155" s="228">
        <v>1.65</v>
      </c>
      <c r="AF155" s="228">
        <v>2.1</v>
      </c>
      <c r="AG155" s="229">
        <v>6.3E-3</v>
      </c>
      <c r="AH155" s="228">
        <v>6.15</v>
      </c>
      <c r="AI155" s="228">
        <v>4.25</v>
      </c>
      <c r="AJ155" s="228">
        <v>1.9</v>
      </c>
      <c r="AK155" s="229">
        <v>1.03E-2</v>
      </c>
      <c r="AL155" s="228">
        <v>6.45</v>
      </c>
      <c r="AM155" s="228">
        <v>-2.75</v>
      </c>
      <c r="AN155" s="228">
        <v>9.1999999999999993</v>
      </c>
      <c r="AO155" s="229">
        <v>1.0800000000000001E-2</v>
      </c>
      <c r="AP155" s="228">
        <v>598.08000000000004</v>
      </c>
      <c r="AQ155" s="228">
        <v>601.36</v>
      </c>
      <c r="AR155" s="228">
        <v>0</v>
      </c>
      <c r="AS155" s="228">
        <v>222</v>
      </c>
      <c r="AT155" s="228">
        <v>194</v>
      </c>
      <c r="AU155" s="228">
        <v>27</v>
      </c>
      <c r="AV155" s="229">
        <v>0.14080000000000001</v>
      </c>
      <c r="AW155" s="228">
        <v>213</v>
      </c>
      <c r="AX155" s="228">
        <v>189</v>
      </c>
      <c r="AY155" s="228">
        <v>24</v>
      </c>
      <c r="AZ155" s="229">
        <v>0.12959999999999999</v>
      </c>
      <c r="BA155" s="228">
        <v>8</v>
      </c>
      <c r="BB155" s="228">
        <v>6</v>
      </c>
      <c r="BC155" s="228">
        <v>3</v>
      </c>
      <c r="BD155" s="229">
        <v>0.52939999999999998</v>
      </c>
      <c r="BE155" s="228">
        <v>0</v>
      </c>
      <c r="BF155" s="228">
        <v>0</v>
      </c>
      <c r="BG155" s="228">
        <v>0</v>
      </c>
      <c r="BH155" s="229">
        <v>0</v>
      </c>
      <c r="BI155" s="228">
        <v>395</v>
      </c>
      <c r="BJ155" s="228">
        <v>239</v>
      </c>
      <c r="BK155" s="228">
        <v>156</v>
      </c>
      <c r="BL155" s="229">
        <v>0.65039999999999998</v>
      </c>
      <c r="BM155" s="228">
        <v>143</v>
      </c>
      <c r="BN155" s="228">
        <v>149</v>
      </c>
      <c r="BO155" s="228">
        <v>-6</v>
      </c>
      <c r="BP155" s="229">
        <v>-4.1300000000000003E-2</v>
      </c>
      <c r="BQ155" s="228">
        <v>760</v>
      </c>
      <c r="BR155" s="228">
        <v>583</v>
      </c>
      <c r="BS155" s="228">
        <v>177</v>
      </c>
      <c r="BT155" s="229">
        <v>0.30320000000000003</v>
      </c>
      <c r="BU155" s="230">
        <v>976009</v>
      </c>
      <c r="BV155" s="230">
        <v>798330</v>
      </c>
      <c r="BW155" s="230">
        <v>177679</v>
      </c>
      <c r="BX155" s="229">
        <v>0.22259999999999999</v>
      </c>
      <c r="BY155" s="230">
        <v>1936</v>
      </c>
      <c r="BZ155" s="230">
        <v>1917</v>
      </c>
      <c r="CA155" s="228">
        <v>19</v>
      </c>
      <c r="CB155" s="229">
        <v>9.7999999999999997E-3</v>
      </c>
      <c r="CC155" s="230">
        <v>1922</v>
      </c>
      <c r="CD155" s="230">
        <v>1907</v>
      </c>
      <c r="CE155" s="228">
        <v>16</v>
      </c>
      <c r="CF155" s="229">
        <v>8.2000000000000007E-3</v>
      </c>
      <c r="CG155" s="228">
        <v>13</v>
      </c>
      <c r="CH155" s="228">
        <v>10</v>
      </c>
      <c r="CI155" s="228">
        <v>3</v>
      </c>
      <c r="CJ155" s="229">
        <v>0.2989</v>
      </c>
      <c r="CK155" s="228">
        <v>0</v>
      </c>
      <c r="CL155" s="228">
        <v>0</v>
      </c>
      <c r="CM155" s="228">
        <v>0</v>
      </c>
      <c r="CN155" s="229">
        <v>1.3332999999999999</v>
      </c>
      <c r="CO155" s="228">
        <v>251</v>
      </c>
      <c r="CP155" s="228">
        <v>199</v>
      </c>
      <c r="CQ155" s="228">
        <v>52</v>
      </c>
      <c r="CR155" s="229">
        <v>0.2621</v>
      </c>
      <c r="CS155" s="228">
        <v>134</v>
      </c>
      <c r="CT155" s="228">
        <v>131</v>
      </c>
      <c r="CU155" s="228">
        <v>3</v>
      </c>
      <c r="CV155" s="229">
        <v>2.1000000000000001E-2</v>
      </c>
      <c r="CW155" s="230">
        <v>2321</v>
      </c>
      <c r="CX155" s="230">
        <v>2247</v>
      </c>
      <c r="CY155" s="228">
        <v>74</v>
      </c>
      <c r="CZ155" s="229">
        <v>3.2800000000000003E-2</v>
      </c>
      <c r="DA155" s="228">
        <v>28.78</v>
      </c>
      <c r="DB155" s="228">
        <v>27.45</v>
      </c>
      <c r="DC155" s="228">
        <v>1.33</v>
      </c>
      <c r="DD155" s="228">
        <v>1.33</v>
      </c>
      <c r="DE155" s="228">
        <v>34.82</v>
      </c>
      <c r="DF155" s="228">
        <v>34.82</v>
      </c>
      <c r="DG155" s="228">
        <v>-6.04</v>
      </c>
      <c r="DH155" s="228">
        <v>0</v>
      </c>
      <c r="DI155" s="228">
        <v>28.65</v>
      </c>
      <c r="DJ155" s="228">
        <v>27.59</v>
      </c>
      <c r="DK155" s="228">
        <v>1.06</v>
      </c>
      <c r="DL155" s="228">
        <v>1.06</v>
      </c>
      <c r="DM155" s="228">
        <v>29.15</v>
      </c>
      <c r="DN155" s="228">
        <v>27.22</v>
      </c>
      <c r="DO155" s="228">
        <v>1.93</v>
      </c>
      <c r="DP155" s="228">
        <v>1.93</v>
      </c>
      <c r="DQ155" s="228">
        <v>0.53</v>
      </c>
      <c r="DR155" s="228">
        <v>0.66</v>
      </c>
      <c r="DS155" s="228">
        <v>-0.13</v>
      </c>
      <c r="DT155" s="229">
        <v>-0.19700000000000001</v>
      </c>
      <c r="DU155" s="228">
        <v>600</v>
      </c>
      <c r="DV155" s="228">
        <v>600</v>
      </c>
      <c r="DW155" s="228">
        <v>0.36</v>
      </c>
      <c r="DX155" s="228">
        <v>0.62</v>
      </c>
      <c r="DY155" s="228">
        <v>-0.26</v>
      </c>
      <c r="DZ155" s="229">
        <v>-0.4194</v>
      </c>
      <c r="EA155" s="229">
        <v>6.8999999999999999E-3</v>
      </c>
      <c r="EB155" s="230">
        <v>168300</v>
      </c>
      <c r="EC155" s="229">
        <v>4.0000000000000001E-3</v>
      </c>
      <c r="ED155" s="229">
        <v>6.8999999999999999E-3</v>
      </c>
      <c r="EE155" s="228">
        <v>3.28</v>
      </c>
      <c r="EF155" s="229">
        <v>5.4999999999999997E-3</v>
      </c>
      <c r="EG155" s="230">
        <v>321386</v>
      </c>
      <c r="EH155" s="230">
        <v>324794</v>
      </c>
      <c r="EI155" s="229">
        <v>-1.0500000000000001E-2</v>
      </c>
      <c r="EJ155" s="229">
        <v>0.32929999999999998</v>
      </c>
      <c r="EK155" s="228">
        <v>407.49</v>
      </c>
      <c r="EL155" s="228">
        <v>142.88</v>
      </c>
      <c r="EM155" s="228">
        <v>220.74</v>
      </c>
      <c r="EN155" s="228">
        <v>107.96</v>
      </c>
      <c r="EO155" s="228">
        <v>771.11</v>
      </c>
      <c r="EP155" s="228">
        <v>580.32000000000005</v>
      </c>
      <c r="EQ155" s="228">
        <v>190.79</v>
      </c>
      <c r="ER155" s="229">
        <v>0.32879999999999998</v>
      </c>
      <c r="ES155" s="228">
        <v>255.16</v>
      </c>
      <c r="ET155" s="228">
        <v>129.49</v>
      </c>
      <c r="EU155" s="231">
        <v>1935.82</v>
      </c>
      <c r="EV155" s="231">
        <v>50840137</v>
      </c>
      <c r="EW155" s="231">
        <v>2320.4699999999998</v>
      </c>
      <c r="EX155" s="231">
        <v>2208.75</v>
      </c>
      <c r="EY155" s="228">
        <v>111.72</v>
      </c>
      <c r="EZ155" s="229">
        <v>5.0599999999999999E-2</v>
      </c>
      <c r="FA155" s="229">
        <v>0.75929999999999997</v>
      </c>
      <c r="FB155" s="227" t="s">
        <v>555</v>
      </c>
      <c r="FC155">
        <f t="shared" si="3"/>
        <v>0</v>
      </c>
    </row>
    <row r="156" spans="1:159" ht="17.25" thickBot="1" x14ac:dyDescent="0.3">
      <c r="A156" s="226">
        <v>45936</v>
      </c>
      <c r="B156" s="227" t="s">
        <v>616</v>
      </c>
      <c r="C156" s="227" t="s">
        <v>576</v>
      </c>
      <c r="D156" s="228">
        <v>725</v>
      </c>
      <c r="E156" s="228">
        <v>22</v>
      </c>
      <c r="F156" s="231">
        <v>1229.0999999999999</v>
      </c>
      <c r="G156" s="231">
        <v>1172.3</v>
      </c>
      <c r="H156" s="228">
        <v>56.8</v>
      </c>
      <c r="I156" s="229">
        <v>4.8500000000000001E-2</v>
      </c>
      <c r="J156" s="231">
        <v>1224.2</v>
      </c>
      <c r="K156" s="231">
        <v>1168</v>
      </c>
      <c r="L156" s="228">
        <v>56.2</v>
      </c>
      <c r="M156" s="229">
        <v>4.8099999999999997E-2</v>
      </c>
      <c r="N156" s="231">
        <v>1229.0999999999999</v>
      </c>
      <c r="O156" s="231">
        <v>1172.3</v>
      </c>
      <c r="P156" s="228">
        <v>56.8</v>
      </c>
      <c r="Q156" s="229">
        <v>4.8500000000000001E-2</v>
      </c>
      <c r="R156" s="231">
        <v>1234</v>
      </c>
      <c r="S156" s="231">
        <v>1177.3</v>
      </c>
      <c r="T156" s="228">
        <v>56.7</v>
      </c>
      <c r="U156" s="229">
        <v>4.82E-2</v>
      </c>
      <c r="V156" s="231">
        <v>1239.5999999999999</v>
      </c>
      <c r="W156" s="231">
        <v>1184</v>
      </c>
      <c r="X156" s="228">
        <v>55.6</v>
      </c>
      <c r="Y156" s="229">
        <v>4.7E-2</v>
      </c>
      <c r="Z156" s="228">
        <v>4.9000000000000004</v>
      </c>
      <c r="AA156" s="228">
        <v>4.3</v>
      </c>
      <c r="AB156" s="228">
        <v>0.6</v>
      </c>
      <c r="AC156" s="229">
        <v>4.0000000000000001E-3</v>
      </c>
      <c r="AD156" s="228">
        <v>4.9000000000000004</v>
      </c>
      <c r="AE156" s="228">
        <v>4.3</v>
      </c>
      <c r="AF156" s="228">
        <v>0.6</v>
      </c>
      <c r="AG156" s="229">
        <v>4.0000000000000001E-3</v>
      </c>
      <c r="AH156" s="228">
        <v>9.8000000000000007</v>
      </c>
      <c r="AI156" s="228">
        <v>9.3000000000000007</v>
      </c>
      <c r="AJ156" s="228">
        <v>0.5</v>
      </c>
      <c r="AK156" s="229">
        <v>8.0000000000000002E-3</v>
      </c>
      <c r="AL156" s="228">
        <v>15.4</v>
      </c>
      <c r="AM156" s="228">
        <v>16</v>
      </c>
      <c r="AN156" s="228">
        <v>-0.6</v>
      </c>
      <c r="AO156" s="229">
        <v>1.26E-2</v>
      </c>
      <c r="AP156" s="231">
        <v>1211.47</v>
      </c>
      <c r="AQ156" s="231">
        <v>1214.58</v>
      </c>
      <c r="AR156" s="228">
        <v>0</v>
      </c>
      <c r="AS156" s="228">
        <v>973</v>
      </c>
      <c r="AT156" s="228">
        <v>501</v>
      </c>
      <c r="AU156" s="228">
        <v>473</v>
      </c>
      <c r="AV156" s="229">
        <v>0.94379999999999997</v>
      </c>
      <c r="AW156" s="228">
        <v>925</v>
      </c>
      <c r="AX156" s="228">
        <v>483</v>
      </c>
      <c r="AY156" s="228">
        <v>443</v>
      </c>
      <c r="AZ156" s="229">
        <v>0.91759999999999997</v>
      </c>
      <c r="BA156" s="228">
        <v>40</v>
      </c>
      <c r="BB156" s="228">
        <v>18</v>
      </c>
      <c r="BC156" s="228">
        <v>23</v>
      </c>
      <c r="BD156" s="229">
        <v>1.2827999999999999</v>
      </c>
      <c r="BE156" s="228">
        <v>8</v>
      </c>
      <c r="BF156" s="228">
        <v>1</v>
      </c>
      <c r="BG156" s="228">
        <v>7</v>
      </c>
      <c r="BH156" s="229">
        <v>13.333299999999999</v>
      </c>
      <c r="BI156" s="230">
        <v>3172</v>
      </c>
      <c r="BJ156" s="230">
        <v>1313</v>
      </c>
      <c r="BK156" s="230">
        <v>1859</v>
      </c>
      <c r="BL156" s="229">
        <v>1.4154</v>
      </c>
      <c r="BM156" s="230">
        <v>1609</v>
      </c>
      <c r="BN156" s="228">
        <v>549</v>
      </c>
      <c r="BO156" s="230">
        <v>1060</v>
      </c>
      <c r="BP156" s="229">
        <v>1.9309000000000001</v>
      </c>
      <c r="BQ156" s="230">
        <v>5755</v>
      </c>
      <c r="BR156" s="230">
        <v>2363</v>
      </c>
      <c r="BS156" s="230">
        <v>3392</v>
      </c>
      <c r="BT156" s="229">
        <v>1.4353</v>
      </c>
      <c r="BU156" s="230">
        <v>5004500</v>
      </c>
      <c r="BV156" s="230">
        <v>2558609</v>
      </c>
      <c r="BW156" s="230">
        <v>2445891</v>
      </c>
      <c r="BX156" s="229">
        <v>0.95589999999999997</v>
      </c>
      <c r="BY156" s="230">
        <v>3347</v>
      </c>
      <c r="BZ156" s="230">
        <v>3456</v>
      </c>
      <c r="CA156" s="228">
        <v>-110</v>
      </c>
      <c r="CB156" s="229">
        <v>-3.1699999999999999E-2</v>
      </c>
      <c r="CC156" s="230">
        <v>3304</v>
      </c>
      <c r="CD156" s="230">
        <v>3418</v>
      </c>
      <c r="CE156" s="228">
        <v>-114</v>
      </c>
      <c r="CF156" s="229">
        <v>-3.3300000000000003E-2</v>
      </c>
      <c r="CG156" s="228">
        <v>38</v>
      </c>
      <c r="CH156" s="228">
        <v>38</v>
      </c>
      <c r="CI156" s="228">
        <v>0</v>
      </c>
      <c r="CJ156" s="229">
        <v>4.7000000000000002E-3</v>
      </c>
      <c r="CK156" s="228">
        <v>5</v>
      </c>
      <c r="CL156" s="228">
        <v>1</v>
      </c>
      <c r="CM156" s="228">
        <v>4</v>
      </c>
      <c r="CN156" s="229">
        <v>5</v>
      </c>
      <c r="CO156" s="228">
        <v>667</v>
      </c>
      <c r="CP156" s="228">
        <v>617</v>
      </c>
      <c r="CQ156" s="228">
        <v>50</v>
      </c>
      <c r="CR156" s="229">
        <v>8.1600000000000006E-2</v>
      </c>
      <c r="CS156" s="228">
        <v>614</v>
      </c>
      <c r="CT156" s="228">
        <v>546</v>
      </c>
      <c r="CU156" s="228">
        <v>68</v>
      </c>
      <c r="CV156" s="229">
        <v>0.12520000000000001</v>
      </c>
      <c r="CW156" s="230">
        <v>4628</v>
      </c>
      <c r="CX156" s="230">
        <v>4619</v>
      </c>
      <c r="CY156" s="228">
        <v>9</v>
      </c>
      <c r="CZ156" s="229">
        <v>2E-3</v>
      </c>
      <c r="DA156" s="228">
        <v>36.229999999999997</v>
      </c>
      <c r="DB156" s="228">
        <v>34.94</v>
      </c>
      <c r="DC156" s="228">
        <v>1.29</v>
      </c>
      <c r="DD156" s="228">
        <v>1.29</v>
      </c>
      <c r="DE156" s="228">
        <v>56.87</v>
      </c>
      <c r="DF156" s="228">
        <v>56.65</v>
      </c>
      <c r="DG156" s="228">
        <v>-20.64</v>
      </c>
      <c r="DH156" s="228">
        <v>0.22</v>
      </c>
      <c r="DI156" s="228">
        <v>35.6</v>
      </c>
      <c r="DJ156" s="228">
        <v>34.43</v>
      </c>
      <c r="DK156" s="228">
        <v>1.17</v>
      </c>
      <c r="DL156" s="228">
        <v>1.17</v>
      </c>
      <c r="DM156" s="228">
        <v>37.479999999999997</v>
      </c>
      <c r="DN156" s="228">
        <v>36.15</v>
      </c>
      <c r="DO156" s="228">
        <v>1.33</v>
      </c>
      <c r="DP156" s="228">
        <v>1.33</v>
      </c>
      <c r="DQ156" s="228">
        <v>0.92</v>
      </c>
      <c r="DR156" s="228">
        <v>0.89</v>
      </c>
      <c r="DS156" s="228">
        <v>0.03</v>
      </c>
      <c r="DT156" s="229">
        <v>3.3700000000000001E-2</v>
      </c>
      <c r="DU156" s="231">
        <v>1240</v>
      </c>
      <c r="DV156" s="231">
        <v>1100</v>
      </c>
      <c r="DW156" s="228">
        <v>0.51</v>
      </c>
      <c r="DX156" s="228">
        <v>0.42</v>
      </c>
      <c r="DY156" s="228">
        <v>0.09</v>
      </c>
      <c r="DZ156" s="229">
        <v>0.21429999999999999</v>
      </c>
      <c r="EA156" s="229">
        <v>1.2800000000000001E-2</v>
      </c>
      <c r="EB156" s="230">
        <v>313200</v>
      </c>
      <c r="EC156" s="229">
        <v>4.0000000000000001E-3</v>
      </c>
      <c r="ED156" s="229">
        <v>1.2800000000000001E-2</v>
      </c>
      <c r="EE156" s="228">
        <v>3.11</v>
      </c>
      <c r="EF156" s="229">
        <v>2.5999999999999999E-3</v>
      </c>
      <c r="EG156" s="230">
        <v>1985483</v>
      </c>
      <c r="EH156" s="230">
        <v>1228450</v>
      </c>
      <c r="EI156" s="229">
        <v>0.61629999999999996</v>
      </c>
      <c r="EJ156" s="229">
        <v>0.3967</v>
      </c>
      <c r="EK156" s="231">
        <v>3295.73</v>
      </c>
      <c r="EL156" s="231">
        <v>1536.11</v>
      </c>
      <c r="EM156" s="228">
        <v>959.47</v>
      </c>
      <c r="EN156" s="228">
        <v>141.61000000000001</v>
      </c>
      <c r="EO156" s="231">
        <v>5791.31</v>
      </c>
      <c r="EP156" s="231">
        <v>2301.33</v>
      </c>
      <c r="EQ156" s="231">
        <v>3489.98</v>
      </c>
      <c r="ER156" s="229">
        <v>1.5165</v>
      </c>
      <c r="ES156" s="228">
        <v>675.5</v>
      </c>
      <c r="ET156" s="228">
        <v>565.58000000000004</v>
      </c>
      <c r="EU156" s="231">
        <v>3346.8</v>
      </c>
      <c r="EV156" s="231">
        <v>95715382</v>
      </c>
      <c r="EW156" s="231">
        <v>4587.88</v>
      </c>
      <c r="EX156" s="231">
        <v>4398.43</v>
      </c>
      <c r="EY156" s="228">
        <v>189.45</v>
      </c>
      <c r="EZ156" s="229">
        <v>4.3099999999999999E-2</v>
      </c>
      <c r="FA156" s="229">
        <v>0.39340000000000003</v>
      </c>
      <c r="FB156" s="227" t="s">
        <v>556</v>
      </c>
      <c r="FC156">
        <f t="shared" si="3"/>
        <v>0</v>
      </c>
    </row>
    <row r="157" spans="1:159" ht="17.25" thickBot="1" x14ac:dyDescent="0.3">
      <c r="A157" s="226">
        <v>45936</v>
      </c>
      <c r="B157" s="227" t="s">
        <v>221</v>
      </c>
      <c r="C157" s="227" t="s">
        <v>529</v>
      </c>
      <c r="D157" s="228">
        <v>100</v>
      </c>
      <c r="E157" s="228">
        <v>22</v>
      </c>
      <c r="F157" s="231">
        <v>5208.2</v>
      </c>
      <c r="G157" s="231">
        <v>5087</v>
      </c>
      <c r="H157" s="228">
        <v>121.2</v>
      </c>
      <c r="I157" s="229">
        <v>2.3800000000000002E-2</v>
      </c>
      <c r="J157" s="231">
        <v>5189.3</v>
      </c>
      <c r="K157" s="231">
        <v>5068.8</v>
      </c>
      <c r="L157" s="228">
        <v>120.5</v>
      </c>
      <c r="M157" s="229">
        <v>2.3800000000000002E-2</v>
      </c>
      <c r="N157" s="231">
        <v>5208.2</v>
      </c>
      <c r="O157" s="231">
        <v>5087</v>
      </c>
      <c r="P157" s="228">
        <v>121.2</v>
      </c>
      <c r="Q157" s="229">
        <v>2.3800000000000002E-2</v>
      </c>
      <c r="R157" s="231">
        <v>5236.3</v>
      </c>
      <c r="S157" s="231">
        <v>5112.3999999999996</v>
      </c>
      <c r="T157" s="228">
        <v>123.9</v>
      </c>
      <c r="U157" s="229">
        <v>2.4199999999999999E-2</v>
      </c>
      <c r="V157" s="231">
        <v>5260.3</v>
      </c>
      <c r="W157" s="231">
        <v>5135.8</v>
      </c>
      <c r="X157" s="228">
        <v>124.5</v>
      </c>
      <c r="Y157" s="229">
        <v>2.4199999999999999E-2</v>
      </c>
      <c r="Z157" s="228">
        <v>18.899999999999999</v>
      </c>
      <c r="AA157" s="228">
        <v>18.2</v>
      </c>
      <c r="AB157" s="228">
        <v>0.7</v>
      </c>
      <c r="AC157" s="229">
        <v>3.5999999999999999E-3</v>
      </c>
      <c r="AD157" s="228">
        <v>18.899999999999999</v>
      </c>
      <c r="AE157" s="228">
        <v>18.2</v>
      </c>
      <c r="AF157" s="228">
        <v>0.7</v>
      </c>
      <c r="AG157" s="229">
        <v>3.5999999999999999E-3</v>
      </c>
      <c r="AH157" s="228">
        <v>47</v>
      </c>
      <c r="AI157" s="228">
        <v>43.6</v>
      </c>
      <c r="AJ157" s="228">
        <v>3.4</v>
      </c>
      <c r="AK157" s="229">
        <v>9.1000000000000004E-3</v>
      </c>
      <c r="AL157" s="228">
        <v>71</v>
      </c>
      <c r="AM157" s="228">
        <v>67</v>
      </c>
      <c r="AN157" s="228">
        <v>4</v>
      </c>
      <c r="AO157" s="229">
        <v>1.37E-2</v>
      </c>
      <c r="AP157" s="231">
        <v>5194.76</v>
      </c>
      <c r="AQ157" s="231">
        <v>5222.3900000000003</v>
      </c>
      <c r="AR157" s="228">
        <v>0</v>
      </c>
      <c r="AS157" s="228">
        <v>353</v>
      </c>
      <c r="AT157" s="228">
        <v>260</v>
      </c>
      <c r="AU157" s="228">
        <v>93</v>
      </c>
      <c r="AV157" s="229">
        <v>0.3579</v>
      </c>
      <c r="AW157" s="228">
        <v>339</v>
      </c>
      <c r="AX157" s="228">
        <v>249</v>
      </c>
      <c r="AY157" s="228">
        <v>90</v>
      </c>
      <c r="AZ157" s="229">
        <v>0.36170000000000002</v>
      </c>
      <c r="BA157" s="228">
        <v>10</v>
      </c>
      <c r="BB157" s="228">
        <v>9</v>
      </c>
      <c r="BC157" s="228">
        <v>1</v>
      </c>
      <c r="BD157" s="229">
        <v>0.14530000000000001</v>
      </c>
      <c r="BE157" s="228">
        <v>3</v>
      </c>
      <c r="BF157" s="228">
        <v>2</v>
      </c>
      <c r="BG157" s="228">
        <v>2</v>
      </c>
      <c r="BH157" s="229">
        <v>1</v>
      </c>
      <c r="BI157" s="230">
        <v>1233</v>
      </c>
      <c r="BJ157" s="228">
        <v>828</v>
      </c>
      <c r="BK157" s="228">
        <v>405</v>
      </c>
      <c r="BL157" s="229">
        <v>0.48899999999999999</v>
      </c>
      <c r="BM157" s="228">
        <v>546</v>
      </c>
      <c r="BN157" s="228">
        <v>321</v>
      </c>
      <c r="BO157" s="228">
        <v>225</v>
      </c>
      <c r="BP157" s="229">
        <v>0.70240000000000002</v>
      </c>
      <c r="BQ157" s="230">
        <v>2131</v>
      </c>
      <c r="BR157" s="230">
        <v>1408</v>
      </c>
      <c r="BS157" s="228">
        <v>723</v>
      </c>
      <c r="BT157" s="229">
        <v>0.51339999999999997</v>
      </c>
      <c r="BU157" s="230">
        <v>519431</v>
      </c>
      <c r="BV157" s="230">
        <v>372388</v>
      </c>
      <c r="BW157" s="230">
        <v>147043</v>
      </c>
      <c r="BX157" s="229">
        <v>0.39489999999999997</v>
      </c>
      <c r="BY157" s="230">
        <v>1541</v>
      </c>
      <c r="BZ157" s="230">
        <v>1558</v>
      </c>
      <c r="CA157" s="228">
        <v>-18</v>
      </c>
      <c r="CB157" s="229">
        <v>-1.1299999999999999E-2</v>
      </c>
      <c r="CC157" s="230">
        <v>1511</v>
      </c>
      <c r="CD157" s="230">
        <v>1529</v>
      </c>
      <c r="CE157" s="228">
        <v>-19</v>
      </c>
      <c r="CF157" s="229">
        <v>-1.21E-2</v>
      </c>
      <c r="CG157" s="228">
        <v>27</v>
      </c>
      <c r="CH157" s="228">
        <v>28</v>
      </c>
      <c r="CI157" s="228">
        <v>-1</v>
      </c>
      <c r="CJ157" s="229">
        <v>-2.4199999999999999E-2</v>
      </c>
      <c r="CK157" s="228">
        <v>3</v>
      </c>
      <c r="CL157" s="228">
        <v>1</v>
      </c>
      <c r="CM157" s="228">
        <v>2</v>
      </c>
      <c r="CN157" s="229">
        <v>1.4762</v>
      </c>
      <c r="CO157" s="228">
        <v>390</v>
      </c>
      <c r="CP157" s="228">
        <v>376</v>
      </c>
      <c r="CQ157" s="228">
        <v>14</v>
      </c>
      <c r="CR157" s="229">
        <v>3.6799999999999999E-2</v>
      </c>
      <c r="CS157" s="228">
        <v>265</v>
      </c>
      <c r="CT157" s="228">
        <v>254</v>
      </c>
      <c r="CU157" s="228">
        <v>11</v>
      </c>
      <c r="CV157" s="229">
        <v>4.2799999999999998E-2</v>
      </c>
      <c r="CW157" s="230">
        <v>2196</v>
      </c>
      <c r="CX157" s="230">
        <v>2189</v>
      </c>
      <c r="CY157" s="228">
        <v>7</v>
      </c>
      <c r="CZ157" s="229">
        <v>3.3E-3</v>
      </c>
      <c r="DA157" s="228">
        <v>36.229999999999997</v>
      </c>
      <c r="DB157" s="228">
        <v>35</v>
      </c>
      <c r="DC157" s="228">
        <v>1.23</v>
      </c>
      <c r="DD157" s="228">
        <v>1.23</v>
      </c>
      <c r="DE157" s="228">
        <v>42.02</v>
      </c>
      <c r="DF157" s="228">
        <v>42.01</v>
      </c>
      <c r="DG157" s="228">
        <v>-5.79</v>
      </c>
      <c r="DH157" s="228">
        <v>0.01</v>
      </c>
      <c r="DI157" s="228">
        <v>35.979999999999997</v>
      </c>
      <c r="DJ157" s="228">
        <v>34.75</v>
      </c>
      <c r="DK157" s="228">
        <v>1.23</v>
      </c>
      <c r="DL157" s="228">
        <v>1.23</v>
      </c>
      <c r="DM157" s="228">
        <v>36.79</v>
      </c>
      <c r="DN157" s="228">
        <v>35.65</v>
      </c>
      <c r="DO157" s="228">
        <v>1.1399999999999999</v>
      </c>
      <c r="DP157" s="228">
        <v>1.1399999999999999</v>
      </c>
      <c r="DQ157" s="228">
        <v>0.68</v>
      </c>
      <c r="DR157" s="228">
        <v>0.68</v>
      </c>
      <c r="DS157" s="228">
        <v>0</v>
      </c>
      <c r="DT157" s="229">
        <v>0</v>
      </c>
      <c r="DU157" s="231">
        <v>5200</v>
      </c>
      <c r="DV157" s="231">
        <v>5000</v>
      </c>
      <c r="DW157" s="228">
        <v>0.44</v>
      </c>
      <c r="DX157" s="228">
        <v>0.39</v>
      </c>
      <c r="DY157" s="228">
        <v>0.05</v>
      </c>
      <c r="DZ157" s="229">
        <v>0.12820000000000001</v>
      </c>
      <c r="EA157" s="229">
        <v>1.95E-2</v>
      </c>
      <c r="EB157" s="230">
        <v>55900</v>
      </c>
      <c r="EC157" s="229">
        <v>5.4000000000000003E-3</v>
      </c>
      <c r="ED157" s="229">
        <v>1.95E-2</v>
      </c>
      <c r="EE157" s="228">
        <v>27.63</v>
      </c>
      <c r="EF157" s="229">
        <v>5.3E-3</v>
      </c>
      <c r="EG157" s="230">
        <v>244062</v>
      </c>
      <c r="EH157" s="230">
        <v>179649</v>
      </c>
      <c r="EI157" s="229">
        <v>0.35849999999999999</v>
      </c>
      <c r="EJ157" s="229">
        <v>0.46989999999999998</v>
      </c>
      <c r="EK157" s="231">
        <v>1298.03</v>
      </c>
      <c r="EL157" s="228">
        <v>531.88</v>
      </c>
      <c r="EM157" s="228">
        <v>351.87</v>
      </c>
      <c r="EN157" s="228">
        <v>124.83</v>
      </c>
      <c r="EO157" s="231">
        <v>2181.7800000000002</v>
      </c>
      <c r="EP157" s="231">
        <v>1408.87</v>
      </c>
      <c r="EQ157" s="228">
        <v>772.91</v>
      </c>
      <c r="ER157" s="229">
        <v>0.54859999999999998</v>
      </c>
      <c r="ES157" s="228">
        <v>408.5</v>
      </c>
      <c r="ET157" s="228">
        <v>249.56</v>
      </c>
      <c r="EU157" s="231">
        <v>1540.92</v>
      </c>
      <c r="EV157" s="231">
        <v>16151851</v>
      </c>
      <c r="EW157" s="231">
        <v>2198.98</v>
      </c>
      <c r="EX157" s="231">
        <v>2151.25</v>
      </c>
      <c r="EY157" s="228">
        <v>47.73</v>
      </c>
      <c r="EZ157" s="229">
        <v>2.2200000000000001E-2</v>
      </c>
      <c r="FA157" s="229">
        <v>0.26100000000000001</v>
      </c>
      <c r="FB157" s="227" t="s">
        <v>556</v>
      </c>
      <c r="FC157">
        <f t="shared" si="3"/>
        <v>0</v>
      </c>
    </row>
    <row r="158" spans="1:159" ht="17.25" thickBot="1" x14ac:dyDescent="0.3">
      <c r="A158" s="226">
        <v>45936</v>
      </c>
      <c r="B158" s="227" t="s">
        <v>193</v>
      </c>
      <c r="C158" s="227" t="s">
        <v>272</v>
      </c>
      <c r="D158" s="228">
        <v>1800</v>
      </c>
      <c r="E158" s="228">
        <v>22</v>
      </c>
      <c r="F158" s="228">
        <v>281.95</v>
      </c>
      <c r="G158" s="228">
        <v>280.60000000000002</v>
      </c>
      <c r="H158" s="228">
        <v>1.35</v>
      </c>
      <c r="I158" s="229">
        <v>4.7999999999999996E-3</v>
      </c>
      <c r="J158" s="228">
        <v>280.3</v>
      </c>
      <c r="K158" s="228">
        <v>278.95</v>
      </c>
      <c r="L158" s="228">
        <v>1.35</v>
      </c>
      <c r="M158" s="229">
        <v>4.7999999999999996E-3</v>
      </c>
      <c r="N158" s="228">
        <v>281.95</v>
      </c>
      <c r="O158" s="228">
        <v>280.60000000000002</v>
      </c>
      <c r="P158" s="228">
        <v>1.35</v>
      </c>
      <c r="Q158" s="229">
        <v>4.7999999999999996E-3</v>
      </c>
      <c r="R158" s="228">
        <v>283.25</v>
      </c>
      <c r="S158" s="228">
        <v>282.25</v>
      </c>
      <c r="T158" s="228">
        <v>1</v>
      </c>
      <c r="U158" s="229">
        <v>3.5000000000000001E-3</v>
      </c>
      <c r="V158" s="228">
        <v>283.75</v>
      </c>
      <c r="W158" s="228">
        <v>282.45</v>
      </c>
      <c r="X158" s="228">
        <v>1.3</v>
      </c>
      <c r="Y158" s="229">
        <v>4.5999999999999999E-3</v>
      </c>
      <c r="Z158" s="228">
        <v>1.65</v>
      </c>
      <c r="AA158" s="228">
        <v>1.65</v>
      </c>
      <c r="AB158" s="228">
        <v>0</v>
      </c>
      <c r="AC158" s="229">
        <v>5.8999999999999999E-3</v>
      </c>
      <c r="AD158" s="228">
        <v>1.65</v>
      </c>
      <c r="AE158" s="228">
        <v>1.65</v>
      </c>
      <c r="AF158" s="228">
        <v>0</v>
      </c>
      <c r="AG158" s="229">
        <v>5.8999999999999999E-3</v>
      </c>
      <c r="AH158" s="228">
        <v>2.95</v>
      </c>
      <c r="AI158" s="228">
        <v>3.3</v>
      </c>
      <c r="AJ158" s="228">
        <v>-0.35</v>
      </c>
      <c r="AK158" s="229">
        <v>1.0500000000000001E-2</v>
      </c>
      <c r="AL158" s="228">
        <v>3.45</v>
      </c>
      <c r="AM158" s="228">
        <v>3.5</v>
      </c>
      <c r="AN158" s="228">
        <v>-0.05</v>
      </c>
      <c r="AO158" s="229">
        <v>1.23E-2</v>
      </c>
      <c r="AP158" s="228">
        <v>281.31</v>
      </c>
      <c r="AQ158" s="228">
        <v>282.45999999999998</v>
      </c>
      <c r="AR158" s="228">
        <v>0</v>
      </c>
      <c r="AS158" s="228">
        <v>62</v>
      </c>
      <c r="AT158" s="228">
        <v>119</v>
      </c>
      <c r="AU158" s="228">
        <v>-57</v>
      </c>
      <c r="AV158" s="229">
        <v>-0.47620000000000001</v>
      </c>
      <c r="AW158" s="228">
        <v>60</v>
      </c>
      <c r="AX158" s="228">
        <v>114</v>
      </c>
      <c r="AY158" s="228">
        <v>-55</v>
      </c>
      <c r="AZ158" s="229">
        <v>-0.47849999999999998</v>
      </c>
      <c r="BA158" s="228">
        <v>3</v>
      </c>
      <c r="BB158" s="228">
        <v>5</v>
      </c>
      <c r="BC158" s="228">
        <v>-2</v>
      </c>
      <c r="BD158" s="229">
        <v>-0.43330000000000002</v>
      </c>
      <c r="BE158" s="228">
        <v>0</v>
      </c>
      <c r="BF158" s="228">
        <v>0</v>
      </c>
      <c r="BG158" s="228">
        <v>0</v>
      </c>
      <c r="BH158" s="229">
        <v>-0.2</v>
      </c>
      <c r="BI158" s="228">
        <v>297</v>
      </c>
      <c r="BJ158" s="228">
        <v>134</v>
      </c>
      <c r="BK158" s="228">
        <v>163</v>
      </c>
      <c r="BL158" s="229">
        <v>1.2225999999999999</v>
      </c>
      <c r="BM158" s="228">
        <v>70</v>
      </c>
      <c r="BN158" s="228">
        <v>80</v>
      </c>
      <c r="BO158" s="228">
        <v>-10</v>
      </c>
      <c r="BP158" s="229">
        <v>-0.1263</v>
      </c>
      <c r="BQ158" s="228">
        <v>429</v>
      </c>
      <c r="BR158" s="228">
        <v>333</v>
      </c>
      <c r="BS158" s="228">
        <v>96</v>
      </c>
      <c r="BT158" s="229">
        <v>0.28970000000000001</v>
      </c>
      <c r="BU158" s="230">
        <v>1390824</v>
      </c>
      <c r="BV158" s="230">
        <v>4663264</v>
      </c>
      <c r="BW158" s="230">
        <v>-3272440</v>
      </c>
      <c r="BX158" s="229">
        <v>-0.70169999999999999</v>
      </c>
      <c r="BY158" s="230">
        <v>1133</v>
      </c>
      <c r="BZ158" s="230">
        <v>1122</v>
      </c>
      <c r="CA158" s="228">
        <v>11</v>
      </c>
      <c r="CB158" s="229">
        <v>9.4999999999999998E-3</v>
      </c>
      <c r="CC158" s="230">
        <v>1116</v>
      </c>
      <c r="CD158" s="230">
        <v>1105</v>
      </c>
      <c r="CE158" s="228">
        <v>10</v>
      </c>
      <c r="CF158" s="229">
        <v>9.4000000000000004E-3</v>
      </c>
      <c r="CG158" s="228">
        <v>16</v>
      </c>
      <c r="CH158" s="228">
        <v>16</v>
      </c>
      <c r="CI158" s="228">
        <v>0</v>
      </c>
      <c r="CJ158" s="229">
        <v>0</v>
      </c>
      <c r="CK158" s="228">
        <v>1</v>
      </c>
      <c r="CL158" s="228">
        <v>0</v>
      </c>
      <c r="CM158" s="228">
        <v>0</v>
      </c>
      <c r="CN158" s="229">
        <v>0.66669999999999996</v>
      </c>
      <c r="CO158" s="228">
        <v>387</v>
      </c>
      <c r="CP158" s="228">
        <v>326</v>
      </c>
      <c r="CQ158" s="228">
        <v>61</v>
      </c>
      <c r="CR158" s="229">
        <v>0.18579999999999999</v>
      </c>
      <c r="CS158" s="228">
        <v>401</v>
      </c>
      <c r="CT158" s="228">
        <v>380</v>
      </c>
      <c r="CU158" s="228">
        <v>20</v>
      </c>
      <c r="CV158" s="229">
        <v>5.3499999999999999E-2</v>
      </c>
      <c r="CW158" s="230">
        <v>1920</v>
      </c>
      <c r="CX158" s="230">
        <v>1829</v>
      </c>
      <c r="CY158" s="228">
        <v>92</v>
      </c>
      <c r="CZ158" s="229">
        <v>5.0099999999999999E-2</v>
      </c>
      <c r="DA158" s="228">
        <v>25.45</v>
      </c>
      <c r="DB158" s="228">
        <v>24.38</v>
      </c>
      <c r="DC158" s="228">
        <v>1.07</v>
      </c>
      <c r="DD158" s="228">
        <v>1.07</v>
      </c>
      <c r="DE158" s="228">
        <v>33.22</v>
      </c>
      <c r="DF158" s="228">
        <v>33.29</v>
      </c>
      <c r="DG158" s="228">
        <v>-7.77</v>
      </c>
      <c r="DH158" s="228">
        <v>-7.0000000000000007E-2</v>
      </c>
      <c r="DI158" s="228">
        <v>25.16</v>
      </c>
      <c r="DJ158" s="228">
        <v>24.05</v>
      </c>
      <c r="DK158" s="228">
        <v>1.1100000000000001</v>
      </c>
      <c r="DL158" s="228">
        <v>1.1100000000000001</v>
      </c>
      <c r="DM158" s="228">
        <v>26.71</v>
      </c>
      <c r="DN158" s="228">
        <v>24.94</v>
      </c>
      <c r="DO158" s="228">
        <v>1.77</v>
      </c>
      <c r="DP158" s="228">
        <v>1.77</v>
      </c>
      <c r="DQ158" s="228">
        <v>1.04</v>
      </c>
      <c r="DR158" s="228">
        <v>1.17</v>
      </c>
      <c r="DS158" s="228">
        <v>-0.13</v>
      </c>
      <c r="DT158" s="229">
        <v>-0.1111</v>
      </c>
      <c r="DU158" s="228">
        <v>300</v>
      </c>
      <c r="DV158" s="228">
        <v>270</v>
      </c>
      <c r="DW158" s="228">
        <v>0.24</v>
      </c>
      <c r="DX158" s="228">
        <v>0.6</v>
      </c>
      <c r="DY158" s="228">
        <v>-0.36</v>
      </c>
      <c r="DZ158" s="229">
        <v>-0.6</v>
      </c>
      <c r="EA158" s="229">
        <v>1.47E-2</v>
      </c>
      <c r="EB158" s="230">
        <v>585000</v>
      </c>
      <c r="EC158" s="229">
        <v>4.5999999999999999E-3</v>
      </c>
      <c r="ED158" s="229">
        <v>1.47E-2</v>
      </c>
      <c r="EE158" s="228">
        <v>1.1499999999999999</v>
      </c>
      <c r="EF158" s="229">
        <v>4.1000000000000003E-3</v>
      </c>
      <c r="EG158" s="230">
        <v>821669</v>
      </c>
      <c r="EH158" s="230">
        <v>3306483</v>
      </c>
      <c r="EI158" s="229">
        <v>-0.75149999999999995</v>
      </c>
      <c r="EJ158" s="229">
        <v>0.59079999999999999</v>
      </c>
      <c r="EK158" s="228">
        <v>308.18</v>
      </c>
      <c r="EL158" s="228">
        <v>67.86</v>
      </c>
      <c r="EM158" s="228">
        <v>62.34</v>
      </c>
      <c r="EN158" s="228">
        <v>58.58</v>
      </c>
      <c r="EO158" s="228">
        <v>438.39</v>
      </c>
      <c r="EP158" s="228">
        <v>334.66</v>
      </c>
      <c r="EQ158" s="228">
        <v>103.72</v>
      </c>
      <c r="ER158" s="229">
        <v>0.30990000000000001</v>
      </c>
      <c r="ES158" s="228">
        <v>401.14</v>
      </c>
      <c r="ET158" s="228">
        <v>399.06</v>
      </c>
      <c r="EU158" s="231">
        <v>1132.6400000000001</v>
      </c>
      <c r="EV158" s="231">
        <v>93668136</v>
      </c>
      <c r="EW158" s="231">
        <v>1932.84</v>
      </c>
      <c r="EX158" s="231">
        <v>1834.49</v>
      </c>
      <c r="EY158" s="228">
        <v>98.35</v>
      </c>
      <c r="EZ158" s="229">
        <v>5.3600000000000002E-2</v>
      </c>
      <c r="FA158" s="229">
        <v>0.72709999999999997</v>
      </c>
      <c r="FB158" s="227" t="s">
        <v>555</v>
      </c>
      <c r="FC158">
        <f t="shared" si="3"/>
        <v>0</v>
      </c>
    </row>
    <row r="159" spans="1:159" ht="17.25" thickBot="1" x14ac:dyDescent="0.3">
      <c r="A159" s="226">
        <v>45936</v>
      </c>
      <c r="B159" s="227" t="s">
        <v>175</v>
      </c>
      <c r="C159" s="227" t="s">
        <v>273</v>
      </c>
      <c r="D159" s="228">
        <v>1300</v>
      </c>
      <c r="E159" s="228">
        <v>22</v>
      </c>
      <c r="F159" s="228">
        <v>407.55</v>
      </c>
      <c r="G159" s="228">
        <v>414.7</v>
      </c>
      <c r="H159" s="228">
        <v>-7.15</v>
      </c>
      <c r="I159" s="229">
        <v>-1.72E-2</v>
      </c>
      <c r="J159" s="228">
        <v>405.9</v>
      </c>
      <c r="K159" s="228">
        <v>412.2</v>
      </c>
      <c r="L159" s="228">
        <v>-6.3</v>
      </c>
      <c r="M159" s="229">
        <v>-1.5299999999999999E-2</v>
      </c>
      <c r="N159" s="228">
        <v>407.55</v>
      </c>
      <c r="O159" s="228">
        <v>414.7</v>
      </c>
      <c r="P159" s="228">
        <v>-7.15</v>
      </c>
      <c r="Q159" s="229">
        <v>-1.72E-2</v>
      </c>
      <c r="R159" s="228">
        <v>406.9</v>
      </c>
      <c r="S159" s="228">
        <v>413.85</v>
      </c>
      <c r="T159" s="228">
        <v>-6.95</v>
      </c>
      <c r="U159" s="229">
        <v>-1.6799999999999999E-2</v>
      </c>
      <c r="V159" s="228">
        <v>409.4</v>
      </c>
      <c r="W159" s="228">
        <v>416.1</v>
      </c>
      <c r="X159" s="228">
        <v>-6.7</v>
      </c>
      <c r="Y159" s="229">
        <v>-1.61E-2</v>
      </c>
      <c r="Z159" s="228">
        <v>1.65</v>
      </c>
      <c r="AA159" s="228">
        <v>2.5</v>
      </c>
      <c r="AB159" s="228">
        <v>-0.85</v>
      </c>
      <c r="AC159" s="229">
        <v>4.1000000000000003E-3</v>
      </c>
      <c r="AD159" s="228">
        <v>1.65</v>
      </c>
      <c r="AE159" s="228">
        <v>2.5</v>
      </c>
      <c r="AF159" s="228">
        <v>-0.85</v>
      </c>
      <c r="AG159" s="229">
        <v>4.1000000000000003E-3</v>
      </c>
      <c r="AH159" s="228">
        <v>1</v>
      </c>
      <c r="AI159" s="228">
        <v>1.65</v>
      </c>
      <c r="AJ159" s="228">
        <v>-0.65</v>
      </c>
      <c r="AK159" s="229">
        <v>2.5000000000000001E-3</v>
      </c>
      <c r="AL159" s="228">
        <v>3.5</v>
      </c>
      <c r="AM159" s="228">
        <v>3.9</v>
      </c>
      <c r="AN159" s="228">
        <v>-0.4</v>
      </c>
      <c r="AO159" s="229">
        <v>8.6E-3</v>
      </c>
      <c r="AP159" s="228">
        <v>408.39</v>
      </c>
      <c r="AQ159" s="228">
        <v>407.87</v>
      </c>
      <c r="AR159" s="228">
        <v>0</v>
      </c>
      <c r="AS159" s="228">
        <v>334</v>
      </c>
      <c r="AT159" s="228">
        <v>301</v>
      </c>
      <c r="AU159" s="228">
        <v>33</v>
      </c>
      <c r="AV159" s="229">
        <v>0.1105</v>
      </c>
      <c r="AW159" s="228">
        <v>299</v>
      </c>
      <c r="AX159" s="228">
        <v>262</v>
      </c>
      <c r="AY159" s="228">
        <v>38</v>
      </c>
      <c r="AZ159" s="229">
        <v>0.14480000000000001</v>
      </c>
      <c r="BA159" s="228">
        <v>33</v>
      </c>
      <c r="BB159" s="228">
        <v>38</v>
      </c>
      <c r="BC159" s="228">
        <v>-5</v>
      </c>
      <c r="BD159" s="229">
        <v>-0.13950000000000001</v>
      </c>
      <c r="BE159" s="228">
        <v>2</v>
      </c>
      <c r="BF159" s="228">
        <v>1</v>
      </c>
      <c r="BG159" s="228">
        <v>1</v>
      </c>
      <c r="BH159" s="229">
        <v>0.48149999999999998</v>
      </c>
      <c r="BI159" s="228">
        <v>858</v>
      </c>
      <c r="BJ159" s="228">
        <v>846</v>
      </c>
      <c r="BK159" s="228">
        <v>12</v>
      </c>
      <c r="BL159" s="229">
        <v>1.47E-2</v>
      </c>
      <c r="BM159" s="228">
        <v>413</v>
      </c>
      <c r="BN159" s="228">
        <v>430</v>
      </c>
      <c r="BO159" s="228">
        <v>-16</v>
      </c>
      <c r="BP159" s="229">
        <v>-3.7999999999999999E-2</v>
      </c>
      <c r="BQ159" s="230">
        <v>1606</v>
      </c>
      <c r="BR159" s="230">
        <v>1576</v>
      </c>
      <c r="BS159" s="228">
        <v>29</v>
      </c>
      <c r="BT159" s="229">
        <v>1.8700000000000001E-2</v>
      </c>
      <c r="BU159" s="230">
        <v>3329923</v>
      </c>
      <c r="BV159" s="230">
        <v>6580055</v>
      </c>
      <c r="BW159" s="230">
        <v>-3250132</v>
      </c>
      <c r="BX159" s="229">
        <v>-0.49390000000000001</v>
      </c>
      <c r="BY159" s="230">
        <v>2173</v>
      </c>
      <c r="BZ159" s="230">
        <v>2081</v>
      </c>
      <c r="CA159" s="228">
        <v>92</v>
      </c>
      <c r="CB159" s="229">
        <v>4.4200000000000003E-2</v>
      </c>
      <c r="CC159" s="230">
        <v>2043</v>
      </c>
      <c r="CD159" s="230">
        <v>1969</v>
      </c>
      <c r="CE159" s="228">
        <v>75</v>
      </c>
      <c r="CF159" s="229">
        <v>3.7900000000000003E-2</v>
      </c>
      <c r="CG159" s="228">
        <v>126</v>
      </c>
      <c r="CH159" s="228">
        <v>110</v>
      </c>
      <c r="CI159" s="228">
        <v>16</v>
      </c>
      <c r="CJ159" s="229">
        <v>0.14130000000000001</v>
      </c>
      <c r="CK159" s="228">
        <v>4</v>
      </c>
      <c r="CL159" s="228">
        <v>3</v>
      </c>
      <c r="CM159" s="228">
        <v>2</v>
      </c>
      <c r="CN159" s="229">
        <v>0.66</v>
      </c>
      <c r="CO159" s="228">
        <v>777</v>
      </c>
      <c r="CP159" s="228">
        <v>651</v>
      </c>
      <c r="CQ159" s="228">
        <v>126</v>
      </c>
      <c r="CR159" s="229">
        <v>0.19359999999999999</v>
      </c>
      <c r="CS159" s="228">
        <v>617</v>
      </c>
      <c r="CT159" s="228">
        <v>549</v>
      </c>
      <c r="CU159" s="228">
        <v>68</v>
      </c>
      <c r="CV159" s="229">
        <v>0.124</v>
      </c>
      <c r="CW159" s="230">
        <v>3567</v>
      </c>
      <c r="CX159" s="230">
        <v>3281</v>
      </c>
      <c r="CY159" s="228">
        <v>286</v>
      </c>
      <c r="CZ159" s="229">
        <v>8.72E-2</v>
      </c>
      <c r="DA159" s="228">
        <v>26.31</v>
      </c>
      <c r="DB159" s="228">
        <v>24.67</v>
      </c>
      <c r="DC159" s="228">
        <v>1.64</v>
      </c>
      <c r="DD159" s="228">
        <v>1.64</v>
      </c>
      <c r="DE159" s="228">
        <v>45.2</v>
      </c>
      <c r="DF159" s="228">
        <v>45.25</v>
      </c>
      <c r="DG159" s="228">
        <v>-18.89</v>
      </c>
      <c r="DH159" s="228">
        <v>-0.05</v>
      </c>
      <c r="DI159" s="228">
        <v>26.5</v>
      </c>
      <c r="DJ159" s="228">
        <v>24.61</v>
      </c>
      <c r="DK159" s="228">
        <v>1.89</v>
      </c>
      <c r="DL159" s="228">
        <v>1.89</v>
      </c>
      <c r="DM159" s="228">
        <v>25.91</v>
      </c>
      <c r="DN159" s="228">
        <v>24.78</v>
      </c>
      <c r="DO159" s="228">
        <v>1.1299999999999999</v>
      </c>
      <c r="DP159" s="228">
        <v>1.1299999999999999</v>
      </c>
      <c r="DQ159" s="228">
        <v>0.79</v>
      </c>
      <c r="DR159" s="228">
        <v>0.84</v>
      </c>
      <c r="DS159" s="228">
        <v>-0.05</v>
      </c>
      <c r="DT159" s="229">
        <v>-5.9499999999999997E-2</v>
      </c>
      <c r="DU159" s="228">
        <v>420</v>
      </c>
      <c r="DV159" s="228">
        <v>410</v>
      </c>
      <c r="DW159" s="228">
        <v>0.48</v>
      </c>
      <c r="DX159" s="228">
        <v>0.51</v>
      </c>
      <c r="DY159" s="228">
        <v>-0.03</v>
      </c>
      <c r="DZ159" s="229">
        <v>-5.8799999999999998E-2</v>
      </c>
      <c r="EA159" s="229">
        <v>5.9900000000000002E-2</v>
      </c>
      <c r="EB159" s="230">
        <v>2769000</v>
      </c>
      <c r="EC159" s="229">
        <v>-1.6000000000000001E-3</v>
      </c>
      <c r="ED159" s="229">
        <v>5.9900000000000002E-2</v>
      </c>
      <c r="EE159" s="228">
        <v>-0.52</v>
      </c>
      <c r="EF159" s="229">
        <v>-1.2999999999999999E-3</v>
      </c>
      <c r="EG159" s="230">
        <v>1626471</v>
      </c>
      <c r="EH159" s="230">
        <v>3900957</v>
      </c>
      <c r="EI159" s="229">
        <v>-0.58309999999999995</v>
      </c>
      <c r="EJ159" s="229">
        <v>0.4884</v>
      </c>
      <c r="EK159" s="228">
        <v>899.37</v>
      </c>
      <c r="EL159" s="228">
        <v>417.06</v>
      </c>
      <c r="EM159" s="228">
        <v>334.92</v>
      </c>
      <c r="EN159" s="228">
        <v>135.99</v>
      </c>
      <c r="EO159" s="231">
        <v>1651.35</v>
      </c>
      <c r="EP159" s="231">
        <v>1631.79</v>
      </c>
      <c r="EQ159" s="228">
        <v>19.559999999999999</v>
      </c>
      <c r="ER159" s="229">
        <v>1.2E-2</v>
      </c>
      <c r="ES159" s="228">
        <v>807.19</v>
      </c>
      <c r="ET159" s="228">
        <v>615.02</v>
      </c>
      <c r="EU159" s="231">
        <v>2173.2800000000002</v>
      </c>
      <c r="EV159" s="231">
        <v>203602113</v>
      </c>
      <c r="EW159" s="231">
        <v>3595.49</v>
      </c>
      <c r="EX159" s="231">
        <v>3345.6</v>
      </c>
      <c r="EY159" s="228">
        <v>249.89</v>
      </c>
      <c r="EZ159" s="229">
        <v>7.4700000000000003E-2</v>
      </c>
      <c r="FA159" s="229">
        <v>0.4299</v>
      </c>
      <c r="FB159" s="227" t="s">
        <v>567</v>
      </c>
      <c r="FC159">
        <f t="shared" si="3"/>
        <v>0</v>
      </c>
    </row>
    <row r="160" spans="1:159" ht="17.25" thickBot="1" x14ac:dyDescent="0.3">
      <c r="A160" s="226">
        <v>45936</v>
      </c>
      <c r="B160" s="227" t="s">
        <v>184</v>
      </c>
      <c r="C160" s="227" t="s">
        <v>682</v>
      </c>
      <c r="D160" s="228">
        <v>700</v>
      </c>
      <c r="E160" s="228">
        <v>22</v>
      </c>
      <c r="F160" s="228">
        <v>520.95000000000005</v>
      </c>
      <c r="G160" s="228">
        <v>516.35</v>
      </c>
      <c r="H160" s="228">
        <v>4.5999999999999996</v>
      </c>
      <c r="I160" s="229">
        <v>8.8999999999999999E-3</v>
      </c>
      <c r="J160" s="228">
        <v>517.20000000000005</v>
      </c>
      <c r="K160" s="228">
        <v>514.15</v>
      </c>
      <c r="L160" s="228">
        <v>3.05</v>
      </c>
      <c r="M160" s="229">
        <v>5.8999999999999999E-3</v>
      </c>
      <c r="N160" s="228">
        <v>520.95000000000005</v>
      </c>
      <c r="O160" s="228">
        <v>516.35</v>
      </c>
      <c r="P160" s="228">
        <v>4.5999999999999996</v>
      </c>
      <c r="Q160" s="229">
        <v>8.8999999999999999E-3</v>
      </c>
      <c r="R160" s="228">
        <v>522.4</v>
      </c>
      <c r="S160" s="228">
        <v>519.25</v>
      </c>
      <c r="T160" s="228">
        <v>3.15</v>
      </c>
      <c r="U160" s="229">
        <v>6.1000000000000004E-3</v>
      </c>
      <c r="V160" s="228">
        <v>521</v>
      </c>
      <c r="W160" s="228">
        <v>521.29999999999995</v>
      </c>
      <c r="X160" s="228">
        <v>-0.3</v>
      </c>
      <c r="Y160" s="229">
        <v>-5.9999999999999995E-4</v>
      </c>
      <c r="Z160" s="228">
        <v>3.75</v>
      </c>
      <c r="AA160" s="228">
        <v>2.2000000000000002</v>
      </c>
      <c r="AB160" s="228">
        <v>1.55</v>
      </c>
      <c r="AC160" s="229">
        <v>7.3000000000000001E-3</v>
      </c>
      <c r="AD160" s="228">
        <v>3.75</v>
      </c>
      <c r="AE160" s="228">
        <v>2.2000000000000002</v>
      </c>
      <c r="AF160" s="228">
        <v>1.55</v>
      </c>
      <c r="AG160" s="229">
        <v>7.3000000000000001E-3</v>
      </c>
      <c r="AH160" s="228">
        <v>5.2</v>
      </c>
      <c r="AI160" s="228">
        <v>5.0999999999999996</v>
      </c>
      <c r="AJ160" s="228">
        <v>0.1</v>
      </c>
      <c r="AK160" s="229">
        <v>1.01E-2</v>
      </c>
      <c r="AL160" s="228">
        <v>3.8</v>
      </c>
      <c r="AM160" s="228">
        <v>7.15</v>
      </c>
      <c r="AN160" s="228">
        <v>-3.35</v>
      </c>
      <c r="AO160" s="229">
        <v>7.3000000000000001E-3</v>
      </c>
      <c r="AP160" s="228">
        <v>513.35</v>
      </c>
      <c r="AQ160" s="228">
        <v>515.4</v>
      </c>
      <c r="AR160" s="228">
        <v>0</v>
      </c>
      <c r="AS160" s="228">
        <v>103</v>
      </c>
      <c r="AT160" s="228">
        <v>84</v>
      </c>
      <c r="AU160" s="228">
        <v>20</v>
      </c>
      <c r="AV160" s="229">
        <v>0.2336</v>
      </c>
      <c r="AW160" s="228">
        <v>98</v>
      </c>
      <c r="AX160" s="228">
        <v>81</v>
      </c>
      <c r="AY160" s="228">
        <v>18</v>
      </c>
      <c r="AZ160" s="229">
        <v>0.21879999999999999</v>
      </c>
      <c r="BA160" s="228">
        <v>4</v>
      </c>
      <c r="BB160" s="228">
        <v>3</v>
      </c>
      <c r="BC160" s="228">
        <v>2</v>
      </c>
      <c r="BD160" s="229">
        <v>0.65749999999999997</v>
      </c>
      <c r="BE160" s="228">
        <v>0</v>
      </c>
      <c r="BF160" s="228">
        <v>0</v>
      </c>
      <c r="BG160" s="228">
        <v>0</v>
      </c>
      <c r="BH160" s="229">
        <v>0.6</v>
      </c>
      <c r="BI160" s="228">
        <v>243</v>
      </c>
      <c r="BJ160" s="228">
        <v>211</v>
      </c>
      <c r="BK160" s="228">
        <v>33</v>
      </c>
      <c r="BL160" s="229">
        <v>0.15440000000000001</v>
      </c>
      <c r="BM160" s="228">
        <v>98</v>
      </c>
      <c r="BN160" s="228">
        <v>61</v>
      </c>
      <c r="BO160" s="228">
        <v>37</v>
      </c>
      <c r="BP160" s="229">
        <v>0.60709999999999997</v>
      </c>
      <c r="BQ160" s="228">
        <v>444</v>
      </c>
      <c r="BR160" s="228">
        <v>355</v>
      </c>
      <c r="BS160" s="228">
        <v>89</v>
      </c>
      <c r="BT160" s="229">
        <v>0.25069999999999998</v>
      </c>
      <c r="BU160" s="230">
        <v>2141959</v>
      </c>
      <c r="BV160" s="230">
        <v>1860374</v>
      </c>
      <c r="BW160" s="230">
        <v>281585</v>
      </c>
      <c r="BX160" s="229">
        <v>0.15140000000000001</v>
      </c>
      <c r="BY160" s="228">
        <v>455</v>
      </c>
      <c r="BZ160" s="228">
        <v>464</v>
      </c>
      <c r="CA160" s="228">
        <v>-9</v>
      </c>
      <c r="CB160" s="229">
        <v>-1.9099999999999999E-2</v>
      </c>
      <c r="CC160" s="228">
        <v>442</v>
      </c>
      <c r="CD160" s="228">
        <v>451</v>
      </c>
      <c r="CE160" s="228">
        <v>-9</v>
      </c>
      <c r="CF160" s="229">
        <v>-2.0199999999999999E-2</v>
      </c>
      <c r="CG160" s="228">
        <v>13</v>
      </c>
      <c r="CH160" s="228">
        <v>13</v>
      </c>
      <c r="CI160" s="228">
        <v>0</v>
      </c>
      <c r="CJ160" s="229">
        <v>1.7399999999999999E-2</v>
      </c>
      <c r="CK160" s="228">
        <v>0</v>
      </c>
      <c r="CL160" s="228">
        <v>0</v>
      </c>
      <c r="CM160" s="228">
        <v>0</v>
      </c>
      <c r="CN160" s="229">
        <v>0.2</v>
      </c>
      <c r="CO160" s="228">
        <v>207</v>
      </c>
      <c r="CP160" s="228">
        <v>183</v>
      </c>
      <c r="CQ160" s="228">
        <v>24</v>
      </c>
      <c r="CR160" s="229">
        <v>0.13009999999999999</v>
      </c>
      <c r="CS160" s="228">
        <v>104</v>
      </c>
      <c r="CT160" s="228">
        <v>91</v>
      </c>
      <c r="CU160" s="228">
        <v>13</v>
      </c>
      <c r="CV160" s="229">
        <v>0.14099999999999999</v>
      </c>
      <c r="CW160" s="228">
        <v>765</v>
      </c>
      <c r="CX160" s="228">
        <v>738</v>
      </c>
      <c r="CY160" s="228">
        <v>28</v>
      </c>
      <c r="CZ160" s="229">
        <v>3.7699999999999997E-2</v>
      </c>
      <c r="DA160" s="228">
        <v>39.36</v>
      </c>
      <c r="DB160" s="228">
        <v>40.35</v>
      </c>
      <c r="DC160" s="228">
        <v>-0.99</v>
      </c>
      <c r="DD160" s="228">
        <v>-0.99</v>
      </c>
      <c r="DE160" s="228">
        <v>70.010000000000005</v>
      </c>
      <c r="DF160" s="228">
        <v>70.17</v>
      </c>
      <c r="DG160" s="228">
        <v>-30.65</v>
      </c>
      <c r="DH160" s="228">
        <v>-0.16</v>
      </c>
      <c r="DI160" s="228">
        <v>39.29</v>
      </c>
      <c r="DJ160" s="228">
        <v>40.729999999999997</v>
      </c>
      <c r="DK160" s="228">
        <v>-1.44</v>
      </c>
      <c r="DL160" s="228">
        <v>-1.44</v>
      </c>
      <c r="DM160" s="228">
        <v>39.53</v>
      </c>
      <c r="DN160" s="228">
        <v>39.049999999999997</v>
      </c>
      <c r="DO160" s="228">
        <v>0.48</v>
      </c>
      <c r="DP160" s="228">
        <v>0.48</v>
      </c>
      <c r="DQ160" s="228">
        <v>0.5</v>
      </c>
      <c r="DR160" s="228">
        <v>0.5</v>
      </c>
      <c r="DS160" s="228">
        <v>0</v>
      </c>
      <c r="DT160" s="229">
        <v>0</v>
      </c>
      <c r="DU160" s="228">
        <v>600</v>
      </c>
      <c r="DV160" s="228">
        <v>500</v>
      </c>
      <c r="DW160" s="228">
        <v>0.4</v>
      </c>
      <c r="DX160" s="228">
        <v>0.28999999999999998</v>
      </c>
      <c r="DY160" s="228">
        <v>0.11</v>
      </c>
      <c r="DZ160" s="229">
        <v>0.37930000000000003</v>
      </c>
      <c r="EA160" s="229">
        <v>2.86E-2</v>
      </c>
      <c r="EB160" s="230">
        <v>245000</v>
      </c>
      <c r="EC160" s="229">
        <v>2.8E-3</v>
      </c>
      <c r="ED160" s="229">
        <v>2.86E-2</v>
      </c>
      <c r="EE160" s="228">
        <v>2.0499999999999998</v>
      </c>
      <c r="EF160" s="229">
        <v>4.0000000000000001E-3</v>
      </c>
      <c r="EG160" s="230">
        <v>771154</v>
      </c>
      <c r="EH160" s="230">
        <v>587381</v>
      </c>
      <c r="EI160" s="229">
        <v>0.31290000000000001</v>
      </c>
      <c r="EJ160" s="229">
        <v>0.36</v>
      </c>
      <c r="EK160" s="228">
        <v>259.52999999999997</v>
      </c>
      <c r="EL160" s="228">
        <v>95.84</v>
      </c>
      <c r="EM160" s="228">
        <v>101.53</v>
      </c>
      <c r="EN160" s="228">
        <v>70.05</v>
      </c>
      <c r="EO160" s="228">
        <v>456.91</v>
      </c>
      <c r="EP160" s="228">
        <v>369.53</v>
      </c>
      <c r="EQ160" s="228">
        <v>87.38</v>
      </c>
      <c r="ER160" s="229">
        <v>0.23649999999999999</v>
      </c>
      <c r="ES160" s="228">
        <v>220.64</v>
      </c>
      <c r="ET160" s="228">
        <v>98.4</v>
      </c>
      <c r="EU160" s="228">
        <v>454.7</v>
      </c>
      <c r="EV160" s="231">
        <v>23897684</v>
      </c>
      <c r="EW160" s="228">
        <v>773.74</v>
      </c>
      <c r="EX160" s="228">
        <v>740.26</v>
      </c>
      <c r="EY160" s="228">
        <v>33.479999999999997</v>
      </c>
      <c r="EZ160" s="229">
        <v>4.5199999999999997E-2</v>
      </c>
      <c r="FA160" s="229">
        <v>0.61480000000000001</v>
      </c>
      <c r="FB160" s="227" t="s">
        <v>556</v>
      </c>
      <c r="FC160">
        <f t="shared" si="3"/>
        <v>0</v>
      </c>
    </row>
    <row r="161" spans="1:159" ht="17.25" thickBot="1" x14ac:dyDescent="0.3">
      <c r="A161" s="226">
        <v>45936</v>
      </c>
      <c r="B161" s="227" t="s">
        <v>206</v>
      </c>
      <c r="C161" s="227" t="s">
        <v>646</v>
      </c>
      <c r="D161" s="228">
        <v>350</v>
      </c>
      <c r="E161" s="228">
        <v>22</v>
      </c>
      <c r="F161" s="231">
        <v>1600.3</v>
      </c>
      <c r="G161" s="231">
        <v>1568.1</v>
      </c>
      <c r="H161" s="228">
        <v>32.200000000000003</v>
      </c>
      <c r="I161" s="229">
        <v>2.0500000000000001E-2</v>
      </c>
      <c r="J161" s="231">
        <v>1594.4</v>
      </c>
      <c r="K161" s="231">
        <v>1562.5</v>
      </c>
      <c r="L161" s="228">
        <v>31.9</v>
      </c>
      <c r="M161" s="229">
        <v>2.0400000000000001E-2</v>
      </c>
      <c r="N161" s="231">
        <v>1600.3</v>
      </c>
      <c r="O161" s="231">
        <v>1568.1</v>
      </c>
      <c r="P161" s="228">
        <v>32.200000000000003</v>
      </c>
      <c r="Q161" s="229">
        <v>2.0500000000000001E-2</v>
      </c>
      <c r="R161" s="231">
        <v>1612.2</v>
      </c>
      <c r="S161" s="231">
        <v>1577</v>
      </c>
      <c r="T161" s="228">
        <v>35.200000000000003</v>
      </c>
      <c r="U161" s="229">
        <v>2.23E-2</v>
      </c>
      <c r="V161" s="231">
        <v>1586</v>
      </c>
      <c r="W161" s="228">
        <v>0</v>
      </c>
      <c r="X161" s="231">
        <v>1586</v>
      </c>
      <c r="Y161" s="229">
        <v>0</v>
      </c>
      <c r="Z161" s="228">
        <v>5.9</v>
      </c>
      <c r="AA161" s="228">
        <v>5.6</v>
      </c>
      <c r="AB161" s="228">
        <v>0.3</v>
      </c>
      <c r="AC161" s="229">
        <v>3.7000000000000002E-3</v>
      </c>
      <c r="AD161" s="228">
        <v>5.9</v>
      </c>
      <c r="AE161" s="228">
        <v>5.6</v>
      </c>
      <c r="AF161" s="228">
        <v>0.3</v>
      </c>
      <c r="AG161" s="229">
        <v>3.7000000000000002E-3</v>
      </c>
      <c r="AH161" s="228">
        <v>17.8</v>
      </c>
      <c r="AI161" s="228">
        <v>14.5</v>
      </c>
      <c r="AJ161" s="228">
        <v>3.3</v>
      </c>
      <c r="AK161" s="229">
        <v>1.12E-2</v>
      </c>
      <c r="AL161" s="228">
        <v>-8.4</v>
      </c>
      <c r="AM161" s="228">
        <v>0</v>
      </c>
      <c r="AN161" s="228">
        <v>-8.4</v>
      </c>
      <c r="AO161" s="229">
        <v>-5.3E-3</v>
      </c>
      <c r="AP161" s="231">
        <v>1586.72</v>
      </c>
      <c r="AQ161" s="231">
        <v>1589.77</v>
      </c>
      <c r="AR161" s="228">
        <v>0</v>
      </c>
      <c r="AS161" s="228">
        <v>72</v>
      </c>
      <c r="AT161" s="228">
        <v>62</v>
      </c>
      <c r="AU161" s="228">
        <v>11</v>
      </c>
      <c r="AV161" s="229">
        <v>0.1774</v>
      </c>
      <c r="AW161" s="228">
        <v>71</v>
      </c>
      <c r="AX161" s="228">
        <v>60</v>
      </c>
      <c r="AY161" s="228">
        <v>11</v>
      </c>
      <c r="AZ161" s="229">
        <v>0.18729999999999999</v>
      </c>
      <c r="BA161" s="228">
        <v>1</v>
      </c>
      <c r="BB161" s="228">
        <v>1</v>
      </c>
      <c r="BC161" s="228">
        <v>0</v>
      </c>
      <c r="BD161" s="229">
        <v>-0.26919999999999999</v>
      </c>
      <c r="BE161" s="228">
        <v>0</v>
      </c>
      <c r="BF161" s="228">
        <v>0</v>
      </c>
      <c r="BG161" s="228">
        <v>0</v>
      </c>
      <c r="BH161" s="229">
        <v>0</v>
      </c>
      <c r="BI161" s="228">
        <v>146</v>
      </c>
      <c r="BJ161" s="228">
        <v>41</v>
      </c>
      <c r="BK161" s="228">
        <v>105</v>
      </c>
      <c r="BL161" s="229">
        <v>2.5674999999999999</v>
      </c>
      <c r="BM161" s="228">
        <v>36</v>
      </c>
      <c r="BN161" s="228">
        <v>22</v>
      </c>
      <c r="BO161" s="228">
        <v>14</v>
      </c>
      <c r="BP161" s="229">
        <v>0.65029999999999999</v>
      </c>
      <c r="BQ161" s="228">
        <v>255</v>
      </c>
      <c r="BR161" s="228">
        <v>124</v>
      </c>
      <c r="BS161" s="228">
        <v>130</v>
      </c>
      <c r="BT161" s="229">
        <v>1.0496000000000001</v>
      </c>
      <c r="BU161" s="230">
        <v>391146</v>
      </c>
      <c r="BV161" s="230">
        <v>587903</v>
      </c>
      <c r="BW161" s="230">
        <v>-196757</v>
      </c>
      <c r="BX161" s="229">
        <v>-0.3347</v>
      </c>
      <c r="BY161" s="228">
        <v>685</v>
      </c>
      <c r="BZ161" s="228">
        <v>674</v>
      </c>
      <c r="CA161" s="228">
        <v>11</v>
      </c>
      <c r="CB161" s="229">
        <v>1.66E-2</v>
      </c>
      <c r="CC161" s="228">
        <v>681</v>
      </c>
      <c r="CD161" s="228">
        <v>671</v>
      </c>
      <c r="CE161" s="228">
        <v>11</v>
      </c>
      <c r="CF161" s="229">
        <v>1.61E-2</v>
      </c>
      <c r="CG161" s="228">
        <v>4</v>
      </c>
      <c r="CH161" s="228">
        <v>3</v>
      </c>
      <c r="CI161" s="228">
        <v>0</v>
      </c>
      <c r="CJ161" s="229">
        <v>0.1053</v>
      </c>
      <c r="CK161" s="228">
        <v>0</v>
      </c>
      <c r="CL161" s="228">
        <v>0</v>
      </c>
      <c r="CM161" s="228">
        <v>0</v>
      </c>
      <c r="CN161" s="229">
        <v>0</v>
      </c>
      <c r="CO161" s="228">
        <v>92</v>
      </c>
      <c r="CP161" s="228">
        <v>78</v>
      </c>
      <c r="CQ161" s="228">
        <v>14</v>
      </c>
      <c r="CR161" s="229">
        <v>0.17419999999999999</v>
      </c>
      <c r="CS161" s="228">
        <v>51</v>
      </c>
      <c r="CT161" s="228">
        <v>43</v>
      </c>
      <c r="CU161" s="228">
        <v>8</v>
      </c>
      <c r="CV161" s="229">
        <v>0.1976</v>
      </c>
      <c r="CW161" s="228">
        <v>828</v>
      </c>
      <c r="CX161" s="228">
        <v>795</v>
      </c>
      <c r="CY161" s="228">
        <v>33</v>
      </c>
      <c r="CZ161" s="229">
        <v>4.19E-2</v>
      </c>
      <c r="DA161" s="228">
        <v>29.9</v>
      </c>
      <c r="DB161" s="228">
        <v>28.45</v>
      </c>
      <c r="DC161" s="228">
        <v>1.45</v>
      </c>
      <c r="DD161" s="228">
        <v>1.45</v>
      </c>
      <c r="DE161" s="228">
        <v>45.08</v>
      </c>
      <c r="DF161" s="228">
        <v>45.1</v>
      </c>
      <c r="DG161" s="228">
        <v>-15.18</v>
      </c>
      <c r="DH161" s="228">
        <v>-0.02</v>
      </c>
      <c r="DI161" s="228">
        <v>29.79</v>
      </c>
      <c r="DJ161" s="228">
        <v>28.51</v>
      </c>
      <c r="DK161" s="228">
        <v>1.28</v>
      </c>
      <c r="DL161" s="228">
        <v>1.28</v>
      </c>
      <c r="DM161" s="228">
        <v>30.37</v>
      </c>
      <c r="DN161" s="228">
        <v>28.34</v>
      </c>
      <c r="DO161" s="228">
        <v>2.0299999999999998</v>
      </c>
      <c r="DP161" s="228">
        <v>2.0299999999999998</v>
      </c>
      <c r="DQ161" s="228">
        <v>0.55000000000000004</v>
      </c>
      <c r="DR161" s="228">
        <v>0.54</v>
      </c>
      <c r="DS161" s="228">
        <v>0.01</v>
      </c>
      <c r="DT161" s="229">
        <v>1.8499999999999999E-2</v>
      </c>
      <c r="DU161" s="231">
        <v>1600</v>
      </c>
      <c r="DV161" s="231">
        <v>1500</v>
      </c>
      <c r="DW161" s="228">
        <v>0.24</v>
      </c>
      <c r="DX161" s="228">
        <v>0.53</v>
      </c>
      <c r="DY161" s="228">
        <v>-0.28999999999999998</v>
      </c>
      <c r="DZ161" s="229">
        <v>-0.54720000000000002</v>
      </c>
      <c r="EA161" s="229">
        <v>5.1999999999999998E-3</v>
      </c>
      <c r="EB161" s="230">
        <v>19950</v>
      </c>
      <c r="EC161" s="229">
        <v>7.4000000000000003E-3</v>
      </c>
      <c r="ED161" s="229">
        <v>5.1999999999999998E-3</v>
      </c>
      <c r="EE161" s="228">
        <v>3.05</v>
      </c>
      <c r="EF161" s="229">
        <v>1.9E-3</v>
      </c>
      <c r="EG161" s="230">
        <v>229647</v>
      </c>
      <c r="EH161" s="230">
        <v>383328</v>
      </c>
      <c r="EI161" s="229">
        <v>-0.40089999999999998</v>
      </c>
      <c r="EJ161" s="229">
        <v>0.58709999999999996</v>
      </c>
      <c r="EK161" s="228">
        <v>151.72</v>
      </c>
      <c r="EL161" s="228">
        <v>34.909999999999997</v>
      </c>
      <c r="EM161" s="228">
        <v>71.86</v>
      </c>
      <c r="EN161" s="228">
        <v>40.549999999999997</v>
      </c>
      <c r="EO161" s="228">
        <v>258.49</v>
      </c>
      <c r="EP161" s="228">
        <v>123.2</v>
      </c>
      <c r="EQ161" s="228">
        <v>135.29</v>
      </c>
      <c r="ER161" s="229">
        <v>1.0981000000000001</v>
      </c>
      <c r="ES161" s="228">
        <v>94.35</v>
      </c>
      <c r="ET161" s="228">
        <v>49.38</v>
      </c>
      <c r="EU161" s="228">
        <v>685.03</v>
      </c>
      <c r="EV161" s="231">
        <v>28283155</v>
      </c>
      <c r="EW161" s="228">
        <v>828.76</v>
      </c>
      <c r="EX161" s="228">
        <v>781.4</v>
      </c>
      <c r="EY161" s="228">
        <v>47.36</v>
      </c>
      <c r="EZ161" s="229">
        <v>6.0600000000000001E-2</v>
      </c>
      <c r="FA161" s="229">
        <v>0.18290000000000001</v>
      </c>
      <c r="FB161" s="227" t="s">
        <v>555</v>
      </c>
      <c r="FC161">
        <f t="shared" si="3"/>
        <v>0</v>
      </c>
    </row>
    <row r="162" spans="1:159" ht="17.25" thickBot="1" x14ac:dyDescent="0.3">
      <c r="A162" s="226">
        <v>45936</v>
      </c>
      <c r="B162" s="227" t="s">
        <v>168</v>
      </c>
      <c r="C162" s="227" t="s">
        <v>274</v>
      </c>
      <c r="D162" s="228">
        <v>500</v>
      </c>
      <c r="E162" s="228">
        <v>22</v>
      </c>
      <c r="F162" s="231">
        <v>1496.2</v>
      </c>
      <c r="G162" s="231">
        <v>1495</v>
      </c>
      <c r="H162" s="228">
        <v>1.2</v>
      </c>
      <c r="I162" s="229">
        <v>8.0000000000000004E-4</v>
      </c>
      <c r="J162" s="231">
        <v>1489</v>
      </c>
      <c r="K162" s="231">
        <v>1489.6</v>
      </c>
      <c r="L162" s="228">
        <v>-0.6</v>
      </c>
      <c r="M162" s="229">
        <v>-4.0000000000000002E-4</v>
      </c>
      <c r="N162" s="231">
        <v>1496.2</v>
      </c>
      <c r="O162" s="231">
        <v>1495</v>
      </c>
      <c r="P162" s="228">
        <v>1.2</v>
      </c>
      <c r="Q162" s="229">
        <v>8.0000000000000004E-4</v>
      </c>
      <c r="R162" s="231">
        <v>1500.7</v>
      </c>
      <c r="S162" s="231">
        <v>1502</v>
      </c>
      <c r="T162" s="228">
        <v>-1.3</v>
      </c>
      <c r="U162" s="229">
        <v>-8.9999999999999998E-4</v>
      </c>
      <c r="V162" s="231">
        <v>1514.9</v>
      </c>
      <c r="W162" s="231">
        <v>1497.6</v>
      </c>
      <c r="X162" s="228">
        <v>17.3</v>
      </c>
      <c r="Y162" s="229">
        <v>1.1599999999999999E-2</v>
      </c>
      <c r="Z162" s="228">
        <v>7.2</v>
      </c>
      <c r="AA162" s="228">
        <v>5.4</v>
      </c>
      <c r="AB162" s="228">
        <v>1.8</v>
      </c>
      <c r="AC162" s="229">
        <v>4.7999999999999996E-3</v>
      </c>
      <c r="AD162" s="228">
        <v>7.2</v>
      </c>
      <c r="AE162" s="228">
        <v>5.4</v>
      </c>
      <c r="AF162" s="228">
        <v>1.8</v>
      </c>
      <c r="AG162" s="229">
        <v>4.7999999999999996E-3</v>
      </c>
      <c r="AH162" s="228">
        <v>11.7</v>
      </c>
      <c r="AI162" s="228">
        <v>12.4</v>
      </c>
      <c r="AJ162" s="228">
        <v>-0.7</v>
      </c>
      <c r="AK162" s="229">
        <v>7.9000000000000008E-3</v>
      </c>
      <c r="AL162" s="228">
        <v>25.9</v>
      </c>
      <c r="AM162" s="228">
        <v>8</v>
      </c>
      <c r="AN162" s="228">
        <v>17.899999999999999</v>
      </c>
      <c r="AO162" s="229">
        <v>1.7399999999999999E-2</v>
      </c>
      <c r="AP162" s="231">
        <v>1493.75</v>
      </c>
      <c r="AQ162" s="231">
        <v>1501.52</v>
      </c>
      <c r="AR162" s="228">
        <v>0</v>
      </c>
      <c r="AS162" s="228">
        <v>66</v>
      </c>
      <c r="AT162" s="228">
        <v>132</v>
      </c>
      <c r="AU162" s="228">
        <v>-67</v>
      </c>
      <c r="AV162" s="229">
        <v>-0.504</v>
      </c>
      <c r="AW162" s="228">
        <v>64</v>
      </c>
      <c r="AX162" s="228">
        <v>129</v>
      </c>
      <c r="AY162" s="228">
        <v>-65</v>
      </c>
      <c r="AZ162" s="229">
        <v>-0.50409999999999999</v>
      </c>
      <c r="BA162" s="228">
        <v>2</v>
      </c>
      <c r="BB162" s="228">
        <v>3</v>
      </c>
      <c r="BC162" s="228">
        <v>-2</v>
      </c>
      <c r="BD162" s="229">
        <v>-0.51160000000000005</v>
      </c>
      <c r="BE162" s="228">
        <v>0</v>
      </c>
      <c r="BF162" s="228">
        <v>0</v>
      </c>
      <c r="BG162" s="228">
        <v>0</v>
      </c>
      <c r="BH162" s="229">
        <v>0</v>
      </c>
      <c r="BI162" s="228">
        <v>69</v>
      </c>
      <c r="BJ162" s="228">
        <v>167</v>
      </c>
      <c r="BK162" s="228">
        <v>-98</v>
      </c>
      <c r="BL162" s="229">
        <v>-0.58420000000000005</v>
      </c>
      <c r="BM162" s="228">
        <v>37</v>
      </c>
      <c r="BN162" s="228">
        <v>59</v>
      </c>
      <c r="BO162" s="228">
        <v>-22</v>
      </c>
      <c r="BP162" s="229">
        <v>-0.37930000000000003</v>
      </c>
      <c r="BQ162" s="228">
        <v>172</v>
      </c>
      <c r="BR162" s="228">
        <v>359</v>
      </c>
      <c r="BS162" s="228">
        <v>-187</v>
      </c>
      <c r="BT162" s="229">
        <v>-0.52080000000000004</v>
      </c>
      <c r="BU162" s="230">
        <v>433211</v>
      </c>
      <c r="BV162" s="230">
        <v>788448</v>
      </c>
      <c r="BW162" s="230">
        <v>-355237</v>
      </c>
      <c r="BX162" s="229">
        <v>-0.4506</v>
      </c>
      <c r="BY162" s="230">
        <v>1315</v>
      </c>
      <c r="BZ162" s="230">
        <v>1319</v>
      </c>
      <c r="CA162" s="228">
        <v>-5</v>
      </c>
      <c r="CB162" s="229">
        <v>-3.5000000000000001E-3</v>
      </c>
      <c r="CC162" s="230">
        <v>1306</v>
      </c>
      <c r="CD162" s="230">
        <v>1311</v>
      </c>
      <c r="CE162" s="228">
        <v>-5</v>
      </c>
      <c r="CF162" s="229">
        <v>-3.8E-3</v>
      </c>
      <c r="CG162" s="228">
        <v>8</v>
      </c>
      <c r="CH162" s="228">
        <v>8</v>
      </c>
      <c r="CI162" s="228">
        <v>0</v>
      </c>
      <c r="CJ162" s="229">
        <v>3.7699999999999997E-2</v>
      </c>
      <c r="CK162" s="228">
        <v>0</v>
      </c>
      <c r="CL162" s="228">
        <v>0</v>
      </c>
      <c r="CM162" s="228">
        <v>0</v>
      </c>
      <c r="CN162" s="229">
        <v>1</v>
      </c>
      <c r="CO162" s="228">
        <v>150</v>
      </c>
      <c r="CP162" s="228">
        <v>147</v>
      </c>
      <c r="CQ162" s="228">
        <v>3</v>
      </c>
      <c r="CR162" s="229">
        <v>2.35E-2</v>
      </c>
      <c r="CS162" s="228">
        <v>110</v>
      </c>
      <c r="CT162" s="228">
        <v>108</v>
      </c>
      <c r="CU162" s="228">
        <v>3</v>
      </c>
      <c r="CV162" s="229">
        <v>2.3599999999999999E-2</v>
      </c>
      <c r="CW162" s="230">
        <v>1575</v>
      </c>
      <c r="CX162" s="230">
        <v>1574</v>
      </c>
      <c r="CY162" s="228">
        <v>1</v>
      </c>
      <c r="CZ162" s="229">
        <v>8.9999999999999998E-4</v>
      </c>
      <c r="DA162" s="228">
        <v>18.73</v>
      </c>
      <c r="DB162" s="228">
        <v>18.2</v>
      </c>
      <c r="DC162" s="228">
        <v>0.53</v>
      </c>
      <c r="DD162" s="228">
        <v>0.53</v>
      </c>
      <c r="DE162" s="228">
        <v>22.17</v>
      </c>
      <c r="DF162" s="228">
        <v>22.23</v>
      </c>
      <c r="DG162" s="228">
        <v>-3.44</v>
      </c>
      <c r="DH162" s="228">
        <v>-0.06</v>
      </c>
      <c r="DI162" s="228">
        <v>18.600000000000001</v>
      </c>
      <c r="DJ162" s="228">
        <v>18.010000000000002</v>
      </c>
      <c r="DK162" s="228">
        <v>0.59</v>
      </c>
      <c r="DL162" s="228">
        <v>0.59</v>
      </c>
      <c r="DM162" s="228">
        <v>18.97</v>
      </c>
      <c r="DN162" s="228">
        <v>18.72</v>
      </c>
      <c r="DO162" s="228">
        <v>0.25</v>
      </c>
      <c r="DP162" s="228">
        <v>0.25</v>
      </c>
      <c r="DQ162" s="228">
        <v>0.74</v>
      </c>
      <c r="DR162" s="228">
        <v>0.74</v>
      </c>
      <c r="DS162" s="228">
        <v>0</v>
      </c>
      <c r="DT162" s="229">
        <v>0</v>
      </c>
      <c r="DU162" s="231">
        <v>1500</v>
      </c>
      <c r="DV162" s="231">
        <v>1500</v>
      </c>
      <c r="DW162" s="228">
        <v>0.53</v>
      </c>
      <c r="DX162" s="228">
        <v>0.35</v>
      </c>
      <c r="DY162" s="228">
        <v>0.18</v>
      </c>
      <c r="DZ162" s="229">
        <v>0.51429999999999998</v>
      </c>
      <c r="EA162" s="229">
        <v>6.4000000000000003E-3</v>
      </c>
      <c r="EB162" s="230">
        <v>53500</v>
      </c>
      <c r="EC162" s="229">
        <v>3.0000000000000001E-3</v>
      </c>
      <c r="ED162" s="229">
        <v>6.4000000000000003E-3</v>
      </c>
      <c r="EE162" s="228">
        <v>7.77</v>
      </c>
      <c r="EF162" s="229">
        <v>5.1999999999999998E-3</v>
      </c>
      <c r="EG162" s="230">
        <v>330719</v>
      </c>
      <c r="EH162" s="230">
        <v>490815</v>
      </c>
      <c r="EI162" s="229">
        <v>-0.32619999999999999</v>
      </c>
      <c r="EJ162" s="229">
        <v>0.76339999999999997</v>
      </c>
      <c r="EK162" s="228">
        <v>71.31</v>
      </c>
      <c r="EL162" s="228">
        <v>36.46</v>
      </c>
      <c r="EM162" s="228">
        <v>65.58</v>
      </c>
      <c r="EN162" s="228">
        <v>54.09</v>
      </c>
      <c r="EO162" s="228">
        <v>173.35</v>
      </c>
      <c r="EP162" s="228">
        <v>360.59</v>
      </c>
      <c r="EQ162" s="228">
        <v>-187.24</v>
      </c>
      <c r="ER162" s="229">
        <v>-0.51929999999999998</v>
      </c>
      <c r="ES162" s="228">
        <v>153.46</v>
      </c>
      <c r="ET162" s="228">
        <v>108.49</v>
      </c>
      <c r="EU162" s="231">
        <v>1314.81</v>
      </c>
      <c r="EV162" s="231">
        <v>31170515</v>
      </c>
      <c r="EW162" s="231">
        <v>1576.76</v>
      </c>
      <c r="EX162" s="231">
        <v>1574.24</v>
      </c>
      <c r="EY162" s="228">
        <v>2.52</v>
      </c>
      <c r="EZ162" s="229">
        <v>1.6000000000000001E-3</v>
      </c>
      <c r="FA162" s="229">
        <v>0.33779999999999999</v>
      </c>
      <c r="FB162" s="227" t="s">
        <v>556</v>
      </c>
      <c r="FC162">
        <f t="shared" si="3"/>
        <v>0</v>
      </c>
    </row>
    <row r="163" spans="1:159" ht="17.25" thickBot="1" x14ac:dyDescent="0.3">
      <c r="A163" s="226">
        <v>45936</v>
      </c>
      <c r="B163" s="227" t="s">
        <v>498</v>
      </c>
      <c r="C163" s="227" t="s">
        <v>483</v>
      </c>
      <c r="D163" s="228">
        <v>175</v>
      </c>
      <c r="E163" s="228">
        <v>22</v>
      </c>
      <c r="F163" s="231">
        <v>3614.2</v>
      </c>
      <c r="G163" s="231">
        <v>3603</v>
      </c>
      <c r="H163" s="228">
        <v>11.2</v>
      </c>
      <c r="I163" s="229">
        <v>3.0999999999999999E-3</v>
      </c>
      <c r="J163" s="231">
        <v>3630.4</v>
      </c>
      <c r="K163" s="231">
        <v>3617</v>
      </c>
      <c r="L163" s="228">
        <v>13.4</v>
      </c>
      <c r="M163" s="229">
        <v>3.7000000000000002E-3</v>
      </c>
      <c r="N163" s="231">
        <v>3614.2</v>
      </c>
      <c r="O163" s="231">
        <v>3603</v>
      </c>
      <c r="P163" s="228">
        <v>11.2</v>
      </c>
      <c r="Q163" s="229">
        <v>3.0999999999999999E-3</v>
      </c>
      <c r="R163" s="231">
        <v>3617.5</v>
      </c>
      <c r="S163" s="231">
        <v>3609</v>
      </c>
      <c r="T163" s="228">
        <v>8.5</v>
      </c>
      <c r="U163" s="229">
        <v>2.3999999999999998E-3</v>
      </c>
      <c r="V163" s="231">
        <v>3622.2</v>
      </c>
      <c r="W163" s="231">
        <v>3631</v>
      </c>
      <c r="X163" s="228">
        <v>-8.8000000000000007</v>
      </c>
      <c r="Y163" s="229">
        <v>-2.3999999999999998E-3</v>
      </c>
      <c r="Z163" s="228">
        <v>-16.2</v>
      </c>
      <c r="AA163" s="228">
        <v>-14</v>
      </c>
      <c r="AB163" s="228">
        <v>-2.2000000000000002</v>
      </c>
      <c r="AC163" s="229">
        <v>-4.4999999999999997E-3</v>
      </c>
      <c r="AD163" s="228">
        <v>-16.2</v>
      </c>
      <c r="AE163" s="228">
        <v>-14</v>
      </c>
      <c r="AF163" s="228">
        <v>-2.2000000000000002</v>
      </c>
      <c r="AG163" s="229">
        <v>-4.4999999999999997E-3</v>
      </c>
      <c r="AH163" s="228">
        <v>-12.9</v>
      </c>
      <c r="AI163" s="228">
        <v>-8</v>
      </c>
      <c r="AJ163" s="228">
        <v>-4.9000000000000004</v>
      </c>
      <c r="AK163" s="229">
        <v>-3.5999999999999999E-3</v>
      </c>
      <c r="AL163" s="228">
        <v>-8.1999999999999993</v>
      </c>
      <c r="AM163" s="228">
        <v>14</v>
      </c>
      <c r="AN163" s="228">
        <v>-22.2</v>
      </c>
      <c r="AO163" s="229">
        <v>-2.3E-3</v>
      </c>
      <c r="AP163" s="231">
        <v>3585.21</v>
      </c>
      <c r="AQ163" s="231">
        <v>3578.49</v>
      </c>
      <c r="AR163" s="228">
        <v>0</v>
      </c>
      <c r="AS163" s="228">
        <v>143</v>
      </c>
      <c r="AT163" s="228">
        <v>87</v>
      </c>
      <c r="AU163" s="228">
        <v>56</v>
      </c>
      <c r="AV163" s="229">
        <v>0.64680000000000004</v>
      </c>
      <c r="AW163" s="228">
        <v>132</v>
      </c>
      <c r="AX163" s="228">
        <v>79</v>
      </c>
      <c r="AY163" s="228">
        <v>53</v>
      </c>
      <c r="AZ163" s="229">
        <v>0.66800000000000004</v>
      </c>
      <c r="BA163" s="228">
        <v>9</v>
      </c>
      <c r="BB163" s="228">
        <v>7</v>
      </c>
      <c r="BC163" s="228">
        <v>3</v>
      </c>
      <c r="BD163" s="229">
        <v>0.37959999999999999</v>
      </c>
      <c r="BE163" s="228">
        <v>1</v>
      </c>
      <c r="BF163" s="228">
        <v>1</v>
      </c>
      <c r="BG163" s="228">
        <v>1</v>
      </c>
      <c r="BH163" s="229">
        <v>0.83330000000000004</v>
      </c>
      <c r="BI163" s="228">
        <v>176</v>
      </c>
      <c r="BJ163" s="228">
        <v>102</v>
      </c>
      <c r="BK163" s="228">
        <v>74</v>
      </c>
      <c r="BL163" s="229">
        <v>0.72609999999999997</v>
      </c>
      <c r="BM163" s="228">
        <v>88</v>
      </c>
      <c r="BN163" s="228">
        <v>59</v>
      </c>
      <c r="BO163" s="228">
        <v>30</v>
      </c>
      <c r="BP163" s="229">
        <v>0.50760000000000005</v>
      </c>
      <c r="BQ163" s="228">
        <v>408</v>
      </c>
      <c r="BR163" s="228">
        <v>247</v>
      </c>
      <c r="BS163" s="228">
        <v>160</v>
      </c>
      <c r="BT163" s="229">
        <v>0.64659999999999995</v>
      </c>
      <c r="BU163" s="230">
        <v>225004</v>
      </c>
      <c r="BV163" s="230">
        <v>152635</v>
      </c>
      <c r="BW163" s="230">
        <v>72369</v>
      </c>
      <c r="BX163" s="229">
        <v>0.47410000000000002</v>
      </c>
      <c r="BY163" s="228">
        <v>631</v>
      </c>
      <c r="BZ163" s="228">
        <v>596</v>
      </c>
      <c r="CA163" s="228">
        <v>35</v>
      </c>
      <c r="CB163" s="229">
        <v>5.8900000000000001E-2</v>
      </c>
      <c r="CC163" s="228">
        <v>619</v>
      </c>
      <c r="CD163" s="228">
        <v>587</v>
      </c>
      <c r="CE163" s="228">
        <v>32</v>
      </c>
      <c r="CF163" s="229">
        <v>5.5E-2</v>
      </c>
      <c r="CG163" s="228">
        <v>11</v>
      </c>
      <c r="CH163" s="228">
        <v>9</v>
      </c>
      <c r="CI163" s="228">
        <v>2</v>
      </c>
      <c r="CJ163" s="229">
        <v>0.25900000000000001</v>
      </c>
      <c r="CK163" s="228">
        <v>1</v>
      </c>
      <c r="CL163" s="228">
        <v>1</v>
      </c>
      <c r="CM163" s="228">
        <v>1</v>
      </c>
      <c r="CN163" s="229">
        <v>0.81820000000000004</v>
      </c>
      <c r="CO163" s="228">
        <v>99</v>
      </c>
      <c r="CP163" s="228">
        <v>97</v>
      </c>
      <c r="CQ163" s="228">
        <v>2</v>
      </c>
      <c r="CR163" s="229">
        <v>2.2200000000000001E-2</v>
      </c>
      <c r="CS163" s="228">
        <v>90</v>
      </c>
      <c r="CT163" s="228">
        <v>84</v>
      </c>
      <c r="CU163" s="228">
        <v>6</v>
      </c>
      <c r="CV163" s="229">
        <v>6.9400000000000003E-2</v>
      </c>
      <c r="CW163" s="228">
        <v>820</v>
      </c>
      <c r="CX163" s="228">
        <v>777</v>
      </c>
      <c r="CY163" s="228">
        <v>43</v>
      </c>
      <c r="CZ163" s="229">
        <v>5.5399999999999998E-2</v>
      </c>
      <c r="DA163" s="228">
        <v>23.56</v>
      </c>
      <c r="DB163" s="228">
        <v>23.01</v>
      </c>
      <c r="DC163" s="228">
        <v>0.55000000000000004</v>
      </c>
      <c r="DD163" s="228">
        <v>0.55000000000000004</v>
      </c>
      <c r="DE163" s="228">
        <v>30.43</v>
      </c>
      <c r="DF163" s="228">
        <v>30.51</v>
      </c>
      <c r="DG163" s="228">
        <v>-6.87</v>
      </c>
      <c r="DH163" s="228">
        <v>-0.08</v>
      </c>
      <c r="DI163" s="228">
        <v>23.43</v>
      </c>
      <c r="DJ163" s="228">
        <v>23.1</v>
      </c>
      <c r="DK163" s="228">
        <v>0.33</v>
      </c>
      <c r="DL163" s="228">
        <v>0.33</v>
      </c>
      <c r="DM163" s="228">
        <v>23.83</v>
      </c>
      <c r="DN163" s="228">
        <v>22.86</v>
      </c>
      <c r="DO163" s="228">
        <v>0.97</v>
      </c>
      <c r="DP163" s="228">
        <v>0.97</v>
      </c>
      <c r="DQ163" s="228">
        <v>0.91</v>
      </c>
      <c r="DR163" s="228">
        <v>0.87</v>
      </c>
      <c r="DS163" s="228">
        <v>0.04</v>
      </c>
      <c r="DT163" s="229">
        <v>4.5999999999999999E-2</v>
      </c>
      <c r="DU163" s="231">
        <v>3800</v>
      </c>
      <c r="DV163" s="231">
        <v>3600</v>
      </c>
      <c r="DW163" s="228">
        <v>0.5</v>
      </c>
      <c r="DX163" s="228">
        <v>0.56999999999999995</v>
      </c>
      <c r="DY163" s="228">
        <v>-7.0000000000000007E-2</v>
      </c>
      <c r="DZ163" s="229">
        <v>-0.12280000000000001</v>
      </c>
      <c r="EA163" s="229">
        <v>1.95E-2</v>
      </c>
      <c r="EB163" s="230">
        <v>26250</v>
      </c>
      <c r="EC163" s="229">
        <v>8.9999999999999998E-4</v>
      </c>
      <c r="ED163" s="229">
        <v>1.95E-2</v>
      </c>
      <c r="EE163" s="228">
        <v>-6.72</v>
      </c>
      <c r="EF163" s="229">
        <v>-1.9E-3</v>
      </c>
      <c r="EG163" s="230">
        <v>97659</v>
      </c>
      <c r="EH163" s="230">
        <v>91319</v>
      </c>
      <c r="EI163" s="229">
        <v>6.9400000000000003E-2</v>
      </c>
      <c r="EJ163" s="229">
        <v>0.434</v>
      </c>
      <c r="EK163" s="228">
        <v>182.1</v>
      </c>
      <c r="EL163" s="228">
        <v>87.23</v>
      </c>
      <c r="EM163" s="228">
        <v>141.84</v>
      </c>
      <c r="EN163" s="228">
        <v>30.69</v>
      </c>
      <c r="EO163" s="228">
        <v>411.17</v>
      </c>
      <c r="EP163" s="228">
        <v>249.78</v>
      </c>
      <c r="EQ163" s="228">
        <v>161.38999999999999</v>
      </c>
      <c r="ER163" s="229">
        <v>0.64610000000000001</v>
      </c>
      <c r="ES163" s="228">
        <v>102.26</v>
      </c>
      <c r="ET163" s="228">
        <v>87.7</v>
      </c>
      <c r="EU163" s="228">
        <v>631.36</v>
      </c>
      <c r="EV163" s="231">
        <v>8178275</v>
      </c>
      <c r="EW163" s="228">
        <v>821.32</v>
      </c>
      <c r="EX163" s="228">
        <v>776.62</v>
      </c>
      <c r="EY163" s="228">
        <v>44.7</v>
      </c>
      <c r="EZ163" s="229">
        <v>5.7599999999999998E-2</v>
      </c>
      <c r="FA163" s="229">
        <v>0.27739999999999998</v>
      </c>
      <c r="FB163" s="227" t="s">
        <v>555</v>
      </c>
      <c r="FC163">
        <f t="shared" si="3"/>
        <v>0</v>
      </c>
    </row>
    <row r="164" spans="1:159" ht="17.25" thickBot="1" x14ac:dyDescent="0.3">
      <c r="A164" s="226">
        <v>45936</v>
      </c>
      <c r="B164" s="227" t="s">
        <v>172</v>
      </c>
      <c r="C164" s="227" t="s">
        <v>275</v>
      </c>
      <c r="D164" s="228">
        <v>8000</v>
      </c>
      <c r="E164" s="228">
        <v>22</v>
      </c>
      <c r="F164" s="228">
        <v>115.23</v>
      </c>
      <c r="G164" s="228">
        <v>115.15</v>
      </c>
      <c r="H164" s="228">
        <v>0.08</v>
      </c>
      <c r="I164" s="229">
        <v>6.9999999999999999E-4</v>
      </c>
      <c r="J164" s="228">
        <v>114.54</v>
      </c>
      <c r="K164" s="228">
        <v>114.37</v>
      </c>
      <c r="L164" s="228">
        <v>0.17</v>
      </c>
      <c r="M164" s="229">
        <v>1.5E-3</v>
      </c>
      <c r="N164" s="228">
        <v>115.23</v>
      </c>
      <c r="O164" s="228">
        <v>115.15</v>
      </c>
      <c r="P164" s="228">
        <v>0.08</v>
      </c>
      <c r="Q164" s="229">
        <v>6.9999999999999999E-4</v>
      </c>
      <c r="R164" s="228">
        <v>115.86</v>
      </c>
      <c r="S164" s="228">
        <v>115.73</v>
      </c>
      <c r="T164" s="228">
        <v>0.13</v>
      </c>
      <c r="U164" s="229">
        <v>1.1000000000000001E-3</v>
      </c>
      <c r="V164" s="228">
        <v>116.51</v>
      </c>
      <c r="W164" s="228">
        <v>116.48</v>
      </c>
      <c r="X164" s="228">
        <v>0.03</v>
      </c>
      <c r="Y164" s="229">
        <v>2.9999999999999997E-4</v>
      </c>
      <c r="Z164" s="228">
        <v>0.69</v>
      </c>
      <c r="AA164" s="228">
        <v>0.78</v>
      </c>
      <c r="AB164" s="228">
        <v>-0.09</v>
      </c>
      <c r="AC164" s="229">
        <v>6.0000000000000001E-3</v>
      </c>
      <c r="AD164" s="228">
        <v>0.69</v>
      </c>
      <c r="AE164" s="228">
        <v>0.78</v>
      </c>
      <c r="AF164" s="228">
        <v>-0.09</v>
      </c>
      <c r="AG164" s="229">
        <v>6.0000000000000001E-3</v>
      </c>
      <c r="AH164" s="228">
        <v>1.32</v>
      </c>
      <c r="AI164" s="228">
        <v>1.36</v>
      </c>
      <c r="AJ164" s="228">
        <v>-0.04</v>
      </c>
      <c r="AK164" s="229">
        <v>1.15E-2</v>
      </c>
      <c r="AL164" s="228">
        <v>1.97</v>
      </c>
      <c r="AM164" s="228">
        <v>2.11</v>
      </c>
      <c r="AN164" s="228">
        <v>-0.14000000000000001</v>
      </c>
      <c r="AO164" s="229">
        <v>1.72E-2</v>
      </c>
      <c r="AP164" s="228">
        <v>115.18</v>
      </c>
      <c r="AQ164" s="228">
        <v>115.79</v>
      </c>
      <c r="AR164" s="228">
        <v>0</v>
      </c>
      <c r="AS164" s="228">
        <v>547</v>
      </c>
      <c r="AT164" s="228">
        <v>677</v>
      </c>
      <c r="AU164" s="228">
        <v>-130</v>
      </c>
      <c r="AV164" s="229">
        <v>-0.19139999999999999</v>
      </c>
      <c r="AW164" s="228">
        <v>496</v>
      </c>
      <c r="AX164" s="228">
        <v>625</v>
      </c>
      <c r="AY164" s="228">
        <v>-129</v>
      </c>
      <c r="AZ164" s="229">
        <v>-0.2059</v>
      </c>
      <c r="BA164" s="228">
        <v>46</v>
      </c>
      <c r="BB164" s="228">
        <v>46</v>
      </c>
      <c r="BC164" s="228">
        <v>-1</v>
      </c>
      <c r="BD164" s="229">
        <v>-1.7899999999999999E-2</v>
      </c>
      <c r="BE164" s="228">
        <v>6</v>
      </c>
      <c r="BF164" s="228">
        <v>6</v>
      </c>
      <c r="BG164" s="228">
        <v>0</v>
      </c>
      <c r="BH164" s="229">
        <v>-2.9899999999999999E-2</v>
      </c>
      <c r="BI164" s="230">
        <v>1800</v>
      </c>
      <c r="BJ164" s="230">
        <v>2248</v>
      </c>
      <c r="BK164" s="228">
        <v>-447</v>
      </c>
      <c r="BL164" s="229">
        <v>-0.1991</v>
      </c>
      <c r="BM164" s="228">
        <v>752</v>
      </c>
      <c r="BN164" s="230">
        <v>1010</v>
      </c>
      <c r="BO164" s="228">
        <v>-258</v>
      </c>
      <c r="BP164" s="229">
        <v>-0.25569999999999998</v>
      </c>
      <c r="BQ164" s="230">
        <v>3100</v>
      </c>
      <c r="BR164" s="230">
        <v>3935</v>
      </c>
      <c r="BS164" s="228">
        <v>-835</v>
      </c>
      <c r="BT164" s="229">
        <v>-0.21229999999999999</v>
      </c>
      <c r="BU164" s="230">
        <v>19369617</v>
      </c>
      <c r="BV164" s="230">
        <v>25679752</v>
      </c>
      <c r="BW164" s="230">
        <v>-6310135</v>
      </c>
      <c r="BX164" s="229">
        <v>-0.2457</v>
      </c>
      <c r="BY164" s="230">
        <v>2972</v>
      </c>
      <c r="BZ164" s="230">
        <v>2924</v>
      </c>
      <c r="CA164" s="228">
        <v>48</v>
      </c>
      <c r="CB164" s="229">
        <v>1.6400000000000001E-2</v>
      </c>
      <c r="CC164" s="230">
        <v>2859</v>
      </c>
      <c r="CD164" s="230">
        <v>2824</v>
      </c>
      <c r="CE164" s="228">
        <v>35</v>
      </c>
      <c r="CF164" s="229">
        <v>1.24E-2</v>
      </c>
      <c r="CG164" s="228">
        <v>103</v>
      </c>
      <c r="CH164" s="228">
        <v>93</v>
      </c>
      <c r="CI164" s="228">
        <v>10</v>
      </c>
      <c r="CJ164" s="229">
        <v>0.105</v>
      </c>
      <c r="CK164" s="228">
        <v>9</v>
      </c>
      <c r="CL164" s="228">
        <v>6</v>
      </c>
      <c r="CM164" s="228">
        <v>3</v>
      </c>
      <c r="CN164" s="229">
        <v>0.51470000000000005</v>
      </c>
      <c r="CO164" s="230">
        <v>1243</v>
      </c>
      <c r="CP164" s="230">
        <v>1138</v>
      </c>
      <c r="CQ164" s="228">
        <v>104</v>
      </c>
      <c r="CR164" s="229">
        <v>9.1499999999999998E-2</v>
      </c>
      <c r="CS164" s="228">
        <v>877</v>
      </c>
      <c r="CT164" s="228">
        <v>847</v>
      </c>
      <c r="CU164" s="228">
        <v>30</v>
      </c>
      <c r="CV164" s="229">
        <v>3.5799999999999998E-2</v>
      </c>
      <c r="CW164" s="230">
        <v>5092</v>
      </c>
      <c r="CX164" s="230">
        <v>4909</v>
      </c>
      <c r="CY164" s="228">
        <v>183</v>
      </c>
      <c r="CZ164" s="229">
        <v>3.7199999999999997E-2</v>
      </c>
      <c r="DA164" s="228">
        <v>26.57</v>
      </c>
      <c r="DB164" s="228">
        <v>26.01</v>
      </c>
      <c r="DC164" s="228">
        <v>0.56000000000000005</v>
      </c>
      <c r="DD164" s="228">
        <v>0.56000000000000005</v>
      </c>
      <c r="DE164" s="228">
        <v>37.49</v>
      </c>
      <c r="DF164" s="228">
        <v>37.58</v>
      </c>
      <c r="DG164" s="228">
        <v>-10.92</v>
      </c>
      <c r="DH164" s="228">
        <v>-0.09</v>
      </c>
      <c r="DI164" s="228">
        <v>26.39</v>
      </c>
      <c r="DJ164" s="228">
        <v>25.71</v>
      </c>
      <c r="DK164" s="228">
        <v>0.68</v>
      </c>
      <c r="DL164" s="228">
        <v>0.68</v>
      </c>
      <c r="DM164" s="228">
        <v>26.99</v>
      </c>
      <c r="DN164" s="228">
        <v>26.69</v>
      </c>
      <c r="DO164" s="228">
        <v>0.3</v>
      </c>
      <c r="DP164" s="228">
        <v>0.3</v>
      </c>
      <c r="DQ164" s="228">
        <v>0.71</v>
      </c>
      <c r="DR164" s="228">
        <v>0.74</v>
      </c>
      <c r="DS164" s="228">
        <v>-0.03</v>
      </c>
      <c r="DT164" s="229">
        <v>-4.0500000000000001E-2</v>
      </c>
      <c r="DU164" s="228">
        <v>115</v>
      </c>
      <c r="DV164" s="228">
        <v>115</v>
      </c>
      <c r="DW164" s="228">
        <v>0.42</v>
      </c>
      <c r="DX164" s="228">
        <v>0.45</v>
      </c>
      <c r="DY164" s="228">
        <v>-0.03</v>
      </c>
      <c r="DZ164" s="229">
        <v>-6.6699999999999995E-2</v>
      </c>
      <c r="EA164" s="229">
        <v>3.78E-2</v>
      </c>
      <c r="EB164" s="230">
        <v>8624000</v>
      </c>
      <c r="EC164" s="229">
        <v>5.4999999999999997E-3</v>
      </c>
      <c r="ED164" s="229">
        <v>3.78E-2</v>
      </c>
      <c r="EE164" s="228">
        <v>0.61</v>
      </c>
      <c r="EF164" s="229">
        <v>5.3E-3</v>
      </c>
      <c r="EG164" s="230">
        <v>7298425</v>
      </c>
      <c r="EH164" s="230">
        <v>13429840</v>
      </c>
      <c r="EI164" s="229">
        <v>-0.45660000000000001</v>
      </c>
      <c r="EJ164" s="229">
        <v>0.37680000000000002</v>
      </c>
      <c r="EK164" s="231">
        <v>1872.82</v>
      </c>
      <c r="EL164" s="228">
        <v>747.1</v>
      </c>
      <c r="EM164" s="228">
        <v>547.54</v>
      </c>
      <c r="EN164" s="228">
        <v>138.44999999999999</v>
      </c>
      <c r="EO164" s="231">
        <v>3167.45</v>
      </c>
      <c r="EP164" s="231">
        <v>3984.78</v>
      </c>
      <c r="EQ164" s="228">
        <v>-817.33</v>
      </c>
      <c r="ER164" s="229">
        <v>-0.2051</v>
      </c>
      <c r="ES164" s="231">
        <v>1261.95</v>
      </c>
      <c r="ET164" s="228">
        <v>837.28</v>
      </c>
      <c r="EU164" s="231">
        <v>2972.4</v>
      </c>
      <c r="EV164" s="231">
        <v>447910372</v>
      </c>
      <c r="EW164" s="231">
        <v>5071.63</v>
      </c>
      <c r="EX164" s="231">
        <v>4880.2700000000004</v>
      </c>
      <c r="EY164" s="228">
        <v>191.36</v>
      </c>
      <c r="EZ164" s="229">
        <v>3.9199999999999999E-2</v>
      </c>
      <c r="FA164" s="229">
        <v>0.98650000000000004</v>
      </c>
      <c r="FB164" s="227" t="s">
        <v>555</v>
      </c>
      <c r="FC164">
        <f t="shared" si="3"/>
        <v>0</v>
      </c>
    </row>
    <row r="165" spans="1:159" ht="17.25" thickBot="1" x14ac:dyDescent="0.3">
      <c r="A165" s="226">
        <v>45936</v>
      </c>
      <c r="B165" s="227" t="s">
        <v>175</v>
      </c>
      <c r="C165" s="227" t="s">
        <v>672</v>
      </c>
      <c r="D165" s="228">
        <v>650</v>
      </c>
      <c r="E165" s="228">
        <v>22</v>
      </c>
      <c r="F165" s="228">
        <v>900.7</v>
      </c>
      <c r="G165" s="228">
        <v>893.9</v>
      </c>
      <c r="H165" s="228">
        <v>6.8</v>
      </c>
      <c r="I165" s="229">
        <v>7.6E-3</v>
      </c>
      <c r="J165" s="228">
        <v>895.05</v>
      </c>
      <c r="K165" s="228">
        <v>888.05</v>
      </c>
      <c r="L165" s="228">
        <v>7</v>
      </c>
      <c r="M165" s="229">
        <v>7.9000000000000008E-3</v>
      </c>
      <c r="N165" s="228">
        <v>900.7</v>
      </c>
      <c r="O165" s="228">
        <v>893.9</v>
      </c>
      <c r="P165" s="228">
        <v>6.8</v>
      </c>
      <c r="Q165" s="229">
        <v>7.6E-3</v>
      </c>
      <c r="R165" s="228">
        <v>905.25</v>
      </c>
      <c r="S165" s="228">
        <v>898.8</v>
      </c>
      <c r="T165" s="228">
        <v>6.45</v>
      </c>
      <c r="U165" s="229">
        <v>7.1999999999999998E-3</v>
      </c>
      <c r="V165" s="228">
        <v>911.15</v>
      </c>
      <c r="W165" s="228">
        <v>903.6</v>
      </c>
      <c r="X165" s="228">
        <v>7.55</v>
      </c>
      <c r="Y165" s="229">
        <v>8.3999999999999995E-3</v>
      </c>
      <c r="Z165" s="228">
        <v>5.65</v>
      </c>
      <c r="AA165" s="228">
        <v>5.85</v>
      </c>
      <c r="AB165" s="228">
        <v>-0.2</v>
      </c>
      <c r="AC165" s="229">
        <v>6.3E-3</v>
      </c>
      <c r="AD165" s="228">
        <v>5.65</v>
      </c>
      <c r="AE165" s="228">
        <v>5.85</v>
      </c>
      <c r="AF165" s="228">
        <v>-0.2</v>
      </c>
      <c r="AG165" s="229">
        <v>6.3E-3</v>
      </c>
      <c r="AH165" s="228">
        <v>10.199999999999999</v>
      </c>
      <c r="AI165" s="228">
        <v>10.75</v>
      </c>
      <c r="AJ165" s="228">
        <v>-0.55000000000000004</v>
      </c>
      <c r="AK165" s="229">
        <v>1.14E-2</v>
      </c>
      <c r="AL165" s="228">
        <v>16.100000000000001</v>
      </c>
      <c r="AM165" s="228">
        <v>15.55</v>
      </c>
      <c r="AN165" s="228">
        <v>0.55000000000000004</v>
      </c>
      <c r="AO165" s="229">
        <v>1.7999999999999999E-2</v>
      </c>
      <c r="AP165" s="228">
        <v>901.72</v>
      </c>
      <c r="AQ165" s="228">
        <v>906.62</v>
      </c>
      <c r="AR165" s="228">
        <v>0</v>
      </c>
      <c r="AS165" s="228">
        <v>184</v>
      </c>
      <c r="AT165" s="228">
        <v>95</v>
      </c>
      <c r="AU165" s="228">
        <v>89</v>
      </c>
      <c r="AV165" s="229">
        <v>0.93430000000000002</v>
      </c>
      <c r="AW165" s="228">
        <v>171</v>
      </c>
      <c r="AX165" s="228">
        <v>88</v>
      </c>
      <c r="AY165" s="228">
        <v>83</v>
      </c>
      <c r="AZ165" s="229">
        <v>0.93830000000000002</v>
      </c>
      <c r="BA165" s="228">
        <v>9</v>
      </c>
      <c r="BB165" s="228">
        <v>4</v>
      </c>
      <c r="BC165" s="228">
        <v>5</v>
      </c>
      <c r="BD165" s="229">
        <v>1.2394000000000001</v>
      </c>
      <c r="BE165" s="228">
        <v>4</v>
      </c>
      <c r="BF165" s="228">
        <v>3</v>
      </c>
      <c r="BG165" s="228">
        <v>1</v>
      </c>
      <c r="BH165" s="229">
        <v>0.36730000000000002</v>
      </c>
      <c r="BI165" s="228">
        <v>280</v>
      </c>
      <c r="BJ165" s="228">
        <v>120</v>
      </c>
      <c r="BK165" s="228">
        <v>160</v>
      </c>
      <c r="BL165" s="229">
        <v>1.3381000000000001</v>
      </c>
      <c r="BM165" s="228">
        <v>118</v>
      </c>
      <c r="BN165" s="228">
        <v>81</v>
      </c>
      <c r="BO165" s="228">
        <v>37</v>
      </c>
      <c r="BP165" s="229">
        <v>0.46510000000000001</v>
      </c>
      <c r="BQ165" s="228">
        <v>582</v>
      </c>
      <c r="BR165" s="228">
        <v>296</v>
      </c>
      <c r="BS165" s="228">
        <v>287</v>
      </c>
      <c r="BT165" s="229">
        <v>0.96989999999999998</v>
      </c>
      <c r="BU165" s="230">
        <v>1149714</v>
      </c>
      <c r="BV165" s="230">
        <v>761675</v>
      </c>
      <c r="BW165" s="230">
        <v>388039</v>
      </c>
      <c r="BX165" s="229">
        <v>0.50949999999999995</v>
      </c>
      <c r="BY165" s="230">
        <v>1363</v>
      </c>
      <c r="BZ165" s="230">
        <v>1370</v>
      </c>
      <c r="CA165" s="228">
        <v>-7</v>
      </c>
      <c r="CB165" s="229">
        <v>-5.3E-3</v>
      </c>
      <c r="CC165" s="230">
        <v>1341</v>
      </c>
      <c r="CD165" s="230">
        <v>1353</v>
      </c>
      <c r="CE165" s="228">
        <v>-12</v>
      </c>
      <c r="CF165" s="229">
        <v>-8.6999999999999994E-3</v>
      </c>
      <c r="CG165" s="228">
        <v>19</v>
      </c>
      <c r="CH165" s="228">
        <v>15</v>
      </c>
      <c r="CI165" s="228">
        <v>3</v>
      </c>
      <c r="CJ165" s="229">
        <v>0.22689999999999999</v>
      </c>
      <c r="CK165" s="228">
        <v>3</v>
      </c>
      <c r="CL165" s="228">
        <v>2</v>
      </c>
      <c r="CM165" s="228">
        <v>1</v>
      </c>
      <c r="CN165" s="229">
        <v>0.47060000000000002</v>
      </c>
      <c r="CO165" s="228">
        <v>296</v>
      </c>
      <c r="CP165" s="228">
        <v>274</v>
      </c>
      <c r="CQ165" s="228">
        <v>21</v>
      </c>
      <c r="CR165" s="229">
        <v>7.8100000000000003E-2</v>
      </c>
      <c r="CS165" s="228">
        <v>191</v>
      </c>
      <c r="CT165" s="228">
        <v>179</v>
      </c>
      <c r="CU165" s="228">
        <v>12</v>
      </c>
      <c r="CV165" s="229">
        <v>6.6400000000000001E-2</v>
      </c>
      <c r="CW165" s="230">
        <v>1849</v>
      </c>
      <c r="CX165" s="230">
        <v>1823</v>
      </c>
      <c r="CY165" s="228">
        <v>26</v>
      </c>
      <c r="CZ165" s="229">
        <v>1.43E-2</v>
      </c>
      <c r="DA165" s="228">
        <v>36.520000000000003</v>
      </c>
      <c r="DB165" s="228">
        <v>35.89</v>
      </c>
      <c r="DC165" s="228">
        <v>0.63</v>
      </c>
      <c r="DD165" s="228">
        <v>0.63</v>
      </c>
      <c r="DE165" s="228">
        <v>49.82</v>
      </c>
      <c r="DF165" s="228">
        <v>49.93</v>
      </c>
      <c r="DG165" s="228">
        <v>-13.3</v>
      </c>
      <c r="DH165" s="228">
        <v>-0.11</v>
      </c>
      <c r="DI165" s="228">
        <v>36.46</v>
      </c>
      <c r="DJ165" s="228">
        <v>35.340000000000003</v>
      </c>
      <c r="DK165" s="228">
        <v>1.1200000000000001</v>
      </c>
      <c r="DL165" s="228">
        <v>1.1200000000000001</v>
      </c>
      <c r="DM165" s="228">
        <v>36.64</v>
      </c>
      <c r="DN165" s="228">
        <v>36.69</v>
      </c>
      <c r="DO165" s="228">
        <v>-0.05</v>
      </c>
      <c r="DP165" s="228">
        <v>-0.05</v>
      </c>
      <c r="DQ165" s="228">
        <v>0.64</v>
      </c>
      <c r="DR165" s="228">
        <v>0.65</v>
      </c>
      <c r="DS165" s="228">
        <v>-0.01</v>
      </c>
      <c r="DT165" s="229">
        <v>-1.54E-2</v>
      </c>
      <c r="DU165" s="228">
        <v>900</v>
      </c>
      <c r="DV165" s="228">
        <v>800</v>
      </c>
      <c r="DW165" s="228">
        <v>0.42</v>
      </c>
      <c r="DX165" s="228">
        <v>0.67</v>
      </c>
      <c r="DY165" s="228">
        <v>-0.25</v>
      </c>
      <c r="DZ165" s="229">
        <v>-0.37309999999999999</v>
      </c>
      <c r="EA165" s="229">
        <v>1.5900000000000001E-2</v>
      </c>
      <c r="EB165" s="230">
        <v>191100</v>
      </c>
      <c r="EC165" s="229">
        <v>5.1000000000000004E-3</v>
      </c>
      <c r="ED165" s="229">
        <v>1.5900000000000001E-2</v>
      </c>
      <c r="EE165" s="228">
        <v>4.9000000000000004</v>
      </c>
      <c r="EF165" s="229">
        <v>5.4000000000000003E-3</v>
      </c>
      <c r="EG165" s="230">
        <v>526668</v>
      </c>
      <c r="EH165" s="230">
        <v>292069</v>
      </c>
      <c r="EI165" s="229">
        <v>0.80320000000000003</v>
      </c>
      <c r="EJ165" s="229">
        <v>0.45810000000000001</v>
      </c>
      <c r="EK165" s="228">
        <v>294.33999999999997</v>
      </c>
      <c r="EL165" s="228">
        <v>115.44</v>
      </c>
      <c r="EM165" s="228">
        <v>184.66</v>
      </c>
      <c r="EN165" s="228">
        <v>67.27</v>
      </c>
      <c r="EO165" s="228">
        <v>594.44000000000005</v>
      </c>
      <c r="EP165" s="228">
        <v>296.39</v>
      </c>
      <c r="EQ165" s="228">
        <v>298.05</v>
      </c>
      <c r="ER165" s="229">
        <v>1.0056</v>
      </c>
      <c r="ES165" s="228">
        <v>302.54000000000002</v>
      </c>
      <c r="ET165" s="228">
        <v>176.28</v>
      </c>
      <c r="EU165" s="231">
        <v>1362.66</v>
      </c>
      <c r="EV165" s="231">
        <v>28062406</v>
      </c>
      <c r="EW165" s="231">
        <v>1841.48</v>
      </c>
      <c r="EX165" s="231">
        <v>1804.25</v>
      </c>
      <c r="EY165" s="228">
        <v>37.229999999999997</v>
      </c>
      <c r="EZ165" s="229">
        <v>2.06E-2</v>
      </c>
      <c r="FA165" s="229">
        <v>0.73160000000000003</v>
      </c>
      <c r="FB165" s="227" t="s">
        <v>556</v>
      </c>
      <c r="FC165">
        <f t="shared" si="3"/>
        <v>0</v>
      </c>
    </row>
    <row r="166" spans="1:159" ht="17.25" thickBot="1" x14ac:dyDescent="0.3">
      <c r="A166" s="226">
        <v>45936</v>
      </c>
      <c r="B166" s="227" t="s">
        <v>616</v>
      </c>
      <c r="C166" s="227" t="s">
        <v>574</v>
      </c>
      <c r="D166" s="228">
        <v>350</v>
      </c>
      <c r="E166" s="228">
        <v>22</v>
      </c>
      <c r="F166" s="231">
        <v>1733.1</v>
      </c>
      <c r="G166" s="231">
        <v>1707.8</v>
      </c>
      <c r="H166" s="228">
        <v>25.3</v>
      </c>
      <c r="I166" s="229">
        <v>1.4800000000000001E-2</v>
      </c>
      <c r="J166" s="231">
        <v>1725.4</v>
      </c>
      <c r="K166" s="231">
        <v>1700.5</v>
      </c>
      <c r="L166" s="228">
        <v>24.9</v>
      </c>
      <c r="M166" s="229">
        <v>1.46E-2</v>
      </c>
      <c r="N166" s="231">
        <v>1733.1</v>
      </c>
      <c r="O166" s="231">
        <v>1707.8</v>
      </c>
      <c r="P166" s="228">
        <v>25.3</v>
      </c>
      <c r="Q166" s="229">
        <v>1.4800000000000001E-2</v>
      </c>
      <c r="R166" s="231">
        <v>1740.6</v>
      </c>
      <c r="S166" s="231">
        <v>1716.3</v>
      </c>
      <c r="T166" s="228">
        <v>24.3</v>
      </c>
      <c r="U166" s="229">
        <v>1.4200000000000001E-2</v>
      </c>
      <c r="V166" s="231">
        <v>1739.1</v>
      </c>
      <c r="W166" s="231">
        <v>1725.6</v>
      </c>
      <c r="X166" s="228">
        <v>13.5</v>
      </c>
      <c r="Y166" s="229">
        <v>7.7999999999999996E-3</v>
      </c>
      <c r="Z166" s="228">
        <v>7.7</v>
      </c>
      <c r="AA166" s="228">
        <v>7.3</v>
      </c>
      <c r="AB166" s="228">
        <v>0.4</v>
      </c>
      <c r="AC166" s="229">
        <v>4.4999999999999997E-3</v>
      </c>
      <c r="AD166" s="228">
        <v>7.7</v>
      </c>
      <c r="AE166" s="228">
        <v>7.3</v>
      </c>
      <c r="AF166" s="228">
        <v>0.4</v>
      </c>
      <c r="AG166" s="229">
        <v>4.4999999999999997E-3</v>
      </c>
      <c r="AH166" s="228">
        <v>15.2</v>
      </c>
      <c r="AI166" s="228">
        <v>15.8</v>
      </c>
      <c r="AJ166" s="228">
        <v>-0.6</v>
      </c>
      <c r="AK166" s="229">
        <v>8.8000000000000005E-3</v>
      </c>
      <c r="AL166" s="228">
        <v>13.7</v>
      </c>
      <c r="AM166" s="228">
        <v>25.1</v>
      </c>
      <c r="AN166" s="228">
        <v>-11.4</v>
      </c>
      <c r="AO166" s="229">
        <v>7.9000000000000008E-3</v>
      </c>
      <c r="AP166" s="231">
        <v>1716.58</v>
      </c>
      <c r="AQ166" s="231">
        <v>1727.38</v>
      </c>
      <c r="AR166" s="228">
        <v>0</v>
      </c>
      <c r="AS166" s="228">
        <v>232</v>
      </c>
      <c r="AT166" s="228">
        <v>312</v>
      </c>
      <c r="AU166" s="228">
        <v>-79</v>
      </c>
      <c r="AV166" s="229">
        <v>-0.25419999999999998</v>
      </c>
      <c r="AW166" s="228">
        <v>227</v>
      </c>
      <c r="AX166" s="228">
        <v>305</v>
      </c>
      <c r="AY166" s="228">
        <v>-78</v>
      </c>
      <c r="AZ166" s="229">
        <v>-0.25619999999999998</v>
      </c>
      <c r="BA166" s="228">
        <v>5</v>
      </c>
      <c r="BB166" s="228">
        <v>6</v>
      </c>
      <c r="BC166" s="228">
        <v>-1</v>
      </c>
      <c r="BD166" s="229">
        <v>-0.14849999999999999</v>
      </c>
      <c r="BE166" s="228">
        <v>0</v>
      </c>
      <c r="BF166" s="228">
        <v>0</v>
      </c>
      <c r="BG166" s="228">
        <v>0</v>
      </c>
      <c r="BH166" s="229">
        <v>-0.5</v>
      </c>
      <c r="BI166" s="228">
        <v>205</v>
      </c>
      <c r="BJ166" s="228">
        <v>302</v>
      </c>
      <c r="BK166" s="228">
        <v>-97</v>
      </c>
      <c r="BL166" s="229">
        <v>-0.32150000000000001</v>
      </c>
      <c r="BM166" s="228">
        <v>146</v>
      </c>
      <c r="BN166" s="228">
        <v>433</v>
      </c>
      <c r="BO166" s="228">
        <v>-288</v>
      </c>
      <c r="BP166" s="229">
        <v>-0.66410000000000002</v>
      </c>
      <c r="BQ166" s="228">
        <v>583</v>
      </c>
      <c r="BR166" s="230">
        <v>1047</v>
      </c>
      <c r="BS166" s="228">
        <v>-464</v>
      </c>
      <c r="BT166" s="229">
        <v>-0.44319999999999998</v>
      </c>
      <c r="BU166" s="230">
        <v>1607045</v>
      </c>
      <c r="BV166" s="230">
        <v>1756646</v>
      </c>
      <c r="BW166" s="230">
        <v>-149601</v>
      </c>
      <c r="BX166" s="229">
        <v>-8.5199999999999998E-2</v>
      </c>
      <c r="BY166" s="230">
        <v>1315</v>
      </c>
      <c r="BZ166" s="230">
        <v>1312</v>
      </c>
      <c r="CA166" s="228">
        <v>2</v>
      </c>
      <c r="CB166" s="229">
        <v>1.6000000000000001E-3</v>
      </c>
      <c r="CC166" s="230">
        <v>1307</v>
      </c>
      <c r="CD166" s="230">
        <v>1305</v>
      </c>
      <c r="CE166" s="228">
        <v>2</v>
      </c>
      <c r="CF166" s="229">
        <v>1.2999999999999999E-3</v>
      </c>
      <c r="CG166" s="228">
        <v>7</v>
      </c>
      <c r="CH166" s="228">
        <v>7</v>
      </c>
      <c r="CI166" s="228">
        <v>0</v>
      </c>
      <c r="CJ166" s="229">
        <v>5.2600000000000001E-2</v>
      </c>
      <c r="CK166" s="228">
        <v>0</v>
      </c>
      <c r="CL166" s="228">
        <v>0</v>
      </c>
      <c r="CM166" s="228">
        <v>0</v>
      </c>
      <c r="CN166" s="229">
        <v>0.5</v>
      </c>
      <c r="CO166" s="228">
        <v>150</v>
      </c>
      <c r="CP166" s="228">
        <v>137</v>
      </c>
      <c r="CQ166" s="228">
        <v>13</v>
      </c>
      <c r="CR166" s="229">
        <v>9.3799999999999994E-2</v>
      </c>
      <c r="CS166" s="228">
        <v>139</v>
      </c>
      <c r="CT166" s="228">
        <v>152</v>
      </c>
      <c r="CU166" s="228">
        <v>-13</v>
      </c>
      <c r="CV166" s="229">
        <v>-8.8099999999999998E-2</v>
      </c>
      <c r="CW166" s="230">
        <v>1603</v>
      </c>
      <c r="CX166" s="230">
        <v>1602</v>
      </c>
      <c r="CY166" s="228">
        <v>2</v>
      </c>
      <c r="CZ166" s="229">
        <v>1E-3</v>
      </c>
      <c r="DA166" s="228">
        <v>32.68</v>
      </c>
      <c r="DB166" s="228">
        <v>34.03</v>
      </c>
      <c r="DC166" s="228">
        <v>-1.35</v>
      </c>
      <c r="DD166" s="228">
        <v>-1.35</v>
      </c>
      <c r="DE166" s="228">
        <v>48.18</v>
      </c>
      <c r="DF166" s="228">
        <v>48.26</v>
      </c>
      <c r="DG166" s="228">
        <v>-15.5</v>
      </c>
      <c r="DH166" s="228">
        <v>-0.08</v>
      </c>
      <c r="DI166" s="228">
        <v>31.31</v>
      </c>
      <c r="DJ166" s="228">
        <v>31.81</v>
      </c>
      <c r="DK166" s="228">
        <v>-0.5</v>
      </c>
      <c r="DL166" s="228">
        <v>-0.5</v>
      </c>
      <c r="DM166" s="228">
        <v>34.6</v>
      </c>
      <c r="DN166" s="228">
        <v>35.590000000000003</v>
      </c>
      <c r="DO166" s="228">
        <v>-0.99</v>
      </c>
      <c r="DP166" s="228">
        <v>-0.99</v>
      </c>
      <c r="DQ166" s="228">
        <v>0.93</v>
      </c>
      <c r="DR166" s="228">
        <v>1.1100000000000001</v>
      </c>
      <c r="DS166" s="228">
        <v>-0.18</v>
      </c>
      <c r="DT166" s="229">
        <v>-0.16220000000000001</v>
      </c>
      <c r="DU166" s="231">
        <v>1800</v>
      </c>
      <c r="DV166" s="231">
        <v>1450</v>
      </c>
      <c r="DW166" s="228">
        <v>0.71</v>
      </c>
      <c r="DX166" s="228">
        <v>1.43</v>
      </c>
      <c r="DY166" s="228">
        <v>-0.72</v>
      </c>
      <c r="DZ166" s="229">
        <v>-0.50349999999999995</v>
      </c>
      <c r="EA166" s="229">
        <v>5.7999999999999996E-3</v>
      </c>
      <c r="EB166" s="230">
        <v>41300</v>
      </c>
      <c r="EC166" s="229">
        <v>4.3E-3</v>
      </c>
      <c r="ED166" s="229">
        <v>5.7999999999999996E-3</v>
      </c>
      <c r="EE166" s="228">
        <v>10.8</v>
      </c>
      <c r="EF166" s="229">
        <v>6.3E-3</v>
      </c>
      <c r="EG166" s="230">
        <v>1019938</v>
      </c>
      <c r="EH166" s="230">
        <v>1035352</v>
      </c>
      <c r="EI166" s="229">
        <v>-1.49E-2</v>
      </c>
      <c r="EJ166" s="229">
        <v>0.63470000000000004</v>
      </c>
      <c r="EK166" s="228">
        <v>215.11</v>
      </c>
      <c r="EL166" s="228">
        <v>137.41</v>
      </c>
      <c r="EM166" s="228">
        <v>230.2</v>
      </c>
      <c r="EN166" s="228">
        <v>90.69</v>
      </c>
      <c r="EO166" s="228">
        <v>582.72</v>
      </c>
      <c r="EP166" s="231">
        <v>1026.51</v>
      </c>
      <c r="EQ166" s="228">
        <v>-443.79</v>
      </c>
      <c r="ER166" s="229">
        <v>-0.43230000000000002</v>
      </c>
      <c r="ES166" s="228">
        <v>159.57</v>
      </c>
      <c r="ET166" s="228">
        <v>129.63999999999999</v>
      </c>
      <c r="EU166" s="231">
        <v>1314.56</v>
      </c>
      <c r="EV166" s="231">
        <v>51720057</v>
      </c>
      <c r="EW166" s="231">
        <v>1603.77</v>
      </c>
      <c r="EX166" s="231">
        <v>1580.38</v>
      </c>
      <c r="EY166" s="228">
        <v>23.39</v>
      </c>
      <c r="EZ166" s="229">
        <v>1.4800000000000001E-2</v>
      </c>
      <c r="FA166" s="229">
        <v>0.1789</v>
      </c>
      <c r="FB166" s="227" t="s">
        <v>555</v>
      </c>
      <c r="FC166">
        <f t="shared" si="3"/>
        <v>0</v>
      </c>
    </row>
    <row r="167" spans="1:159" ht="17.25" thickBot="1" x14ac:dyDescent="0.3">
      <c r="A167" s="226">
        <v>45936</v>
      </c>
      <c r="B167" s="227" t="s">
        <v>184</v>
      </c>
      <c r="C167" s="227" t="s">
        <v>519</v>
      </c>
      <c r="D167" s="228">
        <v>125</v>
      </c>
      <c r="E167" s="228">
        <v>22</v>
      </c>
      <c r="F167" s="231">
        <v>7642</v>
      </c>
      <c r="G167" s="231">
        <v>7423.5</v>
      </c>
      <c r="H167" s="228">
        <v>218.5</v>
      </c>
      <c r="I167" s="229">
        <v>2.9399999999999999E-2</v>
      </c>
      <c r="J167" s="231">
        <v>7615.5</v>
      </c>
      <c r="K167" s="231">
        <v>7393</v>
      </c>
      <c r="L167" s="228">
        <v>222.5</v>
      </c>
      <c r="M167" s="229">
        <v>3.0099999999999998E-2</v>
      </c>
      <c r="N167" s="231">
        <v>7642</v>
      </c>
      <c r="O167" s="231">
        <v>7423.5</v>
      </c>
      <c r="P167" s="228">
        <v>218.5</v>
      </c>
      <c r="Q167" s="229">
        <v>2.9399999999999999E-2</v>
      </c>
      <c r="R167" s="231">
        <v>7684.5</v>
      </c>
      <c r="S167" s="231">
        <v>7462</v>
      </c>
      <c r="T167" s="228">
        <v>222.5</v>
      </c>
      <c r="U167" s="229">
        <v>2.98E-2</v>
      </c>
      <c r="V167" s="231">
        <v>7727</v>
      </c>
      <c r="W167" s="231">
        <v>7501</v>
      </c>
      <c r="X167" s="228">
        <v>226</v>
      </c>
      <c r="Y167" s="229">
        <v>3.0099999999999998E-2</v>
      </c>
      <c r="Z167" s="228">
        <v>26.5</v>
      </c>
      <c r="AA167" s="228">
        <v>30.5</v>
      </c>
      <c r="AB167" s="228">
        <v>-4</v>
      </c>
      <c r="AC167" s="229">
        <v>3.5000000000000001E-3</v>
      </c>
      <c r="AD167" s="228">
        <v>26.5</v>
      </c>
      <c r="AE167" s="228">
        <v>30.5</v>
      </c>
      <c r="AF167" s="228">
        <v>-4</v>
      </c>
      <c r="AG167" s="229">
        <v>3.5000000000000001E-3</v>
      </c>
      <c r="AH167" s="228">
        <v>69</v>
      </c>
      <c r="AI167" s="228">
        <v>69</v>
      </c>
      <c r="AJ167" s="228">
        <v>0</v>
      </c>
      <c r="AK167" s="229">
        <v>9.1000000000000004E-3</v>
      </c>
      <c r="AL167" s="228">
        <v>111.5</v>
      </c>
      <c r="AM167" s="228">
        <v>108</v>
      </c>
      <c r="AN167" s="228">
        <v>3.5</v>
      </c>
      <c r="AO167" s="229">
        <v>1.46E-2</v>
      </c>
      <c r="AP167" s="231">
        <v>7576.46</v>
      </c>
      <c r="AQ167" s="231">
        <v>7605.33</v>
      </c>
      <c r="AR167" s="228">
        <v>0</v>
      </c>
      <c r="AS167" s="228">
        <v>386</v>
      </c>
      <c r="AT167" s="228">
        <v>152</v>
      </c>
      <c r="AU167" s="228">
        <v>233</v>
      </c>
      <c r="AV167" s="229">
        <v>1.5313000000000001</v>
      </c>
      <c r="AW167" s="228">
        <v>373</v>
      </c>
      <c r="AX167" s="228">
        <v>145</v>
      </c>
      <c r="AY167" s="228">
        <v>228</v>
      </c>
      <c r="AZ167" s="229">
        <v>1.5684</v>
      </c>
      <c r="BA167" s="228">
        <v>13</v>
      </c>
      <c r="BB167" s="228">
        <v>5</v>
      </c>
      <c r="BC167" s="228">
        <v>8</v>
      </c>
      <c r="BD167" s="229">
        <v>1.5882000000000001</v>
      </c>
      <c r="BE167" s="228">
        <v>0</v>
      </c>
      <c r="BF167" s="228">
        <v>2</v>
      </c>
      <c r="BG167" s="228">
        <v>-2</v>
      </c>
      <c r="BH167" s="229">
        <v>-0.84</v>
      </c>
      <c r="BI167" s="230">
        <v>1233</v>
      </c>
      <c r="BJ167" s="228">
        <v>348</v>
      </c>
      <c r="BK167" s="228">
        <v>885</v>
      </c>
      <c r="BL167" s="229">
        <v>2.5438999999999998</v>
      </c>
      <c r="BM167" s="228">
        <v>462</v>
      </c>
      <c r="BN167" s="228">
        <v>163</v>
      </c>
      <c r="BO167" s="228">
        <v>299</v>
      </c>
      <c r="BP167" s="229">
        <v>1.8281000000000001</v>
      </c>
      <c r="BQ167" s="230">
        <v>2081</v>
      </c>
      <c r="BR167" s="228">
        <v>664</v>
      </c>
      <c r="BS167" s="230">
        <v>1417</v>
      </c>
      <c r="BT167" s="229">
        <v>2.1351</v>
      </c>
      <c r="BU167" s="230">
        <v>226926</v>
      </c>
      <c r="BV167" s="230">
        <v>145171</v>
      </c>
      <c r="BW167" s="230">
        <v>81755</v>
      </c>
      <c r="BX167" s="229">
        <v>0.56320000000000003</v>
      </c>
      <c r="BY167" s="230">
        <v>1352</v>
      </c>
      <c r="BZ167" s="230">
        <v>1380</v>
      </c>
      <c r="CA167" s="228">
        <v>-29</v>
      </c>
      <c r="CB167" s="229">
        <v>-2.0899999999999998E-2</v>
      </c>
      <c r="CC167" s="230">
        <v>1328</v>
      </c>
      <c r="CD167" s="230">
        <v>1360</v>
      </c>
      <c r="CE167" s="228">
        <v>-32</v>
      </c>
      <c r="CF167" s="229">
        <v>-2.3300000000000001E-2</v>
      </c>
      <c r="CG167" s="228">
        <v>21</v>
      </c>
      <c r="CH167" s="228">
        <v>19</v>
      </c>
      <c r="CI167" s="228">
        <v>2</v>
      </c>
      <c r="CJ167" s="229">
        <v>0.13200000000000001</v>
      </c>
      <c r="CK167" s="228">
        <v>2</v>
      </c>
      <c r="CL167" s="228">
        <v>2</v>
      </c>
      <c r="CM167" s="228">
        <v>0</v>
      </c>
      <c r="CN167" s="229">
        <v>0.23530000000000001</v>
      </c>
      <c r="CO167" s="228">
        <v>405</v>
      </c>
      <c r="CP167" s="228">
        <v>292</v>
      </c>
      <c r="CQ167" s="228">
        <v>113</v>
      </c>
      <c r="CR167" s="229">
        <v>0.38550000000000001</v>
      </c>
      <c r="CS167" s="228">
        <v>254</v>
      </c>
      <c r="CT167" s="228">
        <v>176</v>
      </c>
      <c r="CU167" s="228">
        <v>78</v>
      </c>
      <c r="CV167" s="229">
        <v>0.44479999999999997</v>
      </c>
      <c r="CW167" s="230">
        <v>2011</v>
      </c>
      <c r="CX167" s="230">
        <v>1849</v>
      </c>
      <c r="CY167" s="228">
        <v>162</v>
      </c>
      <c r="CZ167" s="229">
        <v>8.7599999999999997E-2</v>
      </c>
      <c r="DA167" s="228">
        <v>29.91</v>
      </c>
      <c r="DB167" s="228">
        <v>27.69</v>
      </c>
      <c r="DC167" s="228">
        <v>2.2200000000000002</v>
      </c>
      <c r="DD167" s="228">
        <v>2.2200000000000002</v>
      </c>
      <c r="DE167" s="228">
        <v>41.52</v>
      </c>
      <c r="DF167" s="228">
        <v>41.43</v>
      </c>
      <c r="DG167" s="228">
        <v>-11.61</v>
      </c>
      <c r="DH167" s="228">
        <v>0.09</v>
      </c>
      <c r="DI167" s="228">
        <v>29.5</v>
      </c>
      <c r="DJ167" s="228">
        <v>27.3</v>
      </c>
      <c r="DK167" s="228">
        <v>2.2000000000000002</v>
      </c>
      <c r="DL167" s="228">
        <v>2.2000000000000002</v>
      </c>
      <c r="DM167" s="228">
        <v>31.01</v>
      </c>
      <c r="DN167" s="228">
        <v>28.5</v>
      </c>
      <c r="DO167" s="228">
        <v>2.5099999999999998</v>
      </c>
      <c r="DP167" s="228">
        <v>2.5099999999999998</v>
      </c>
      <c r="DQ167" s="228">
        <v>0.63</v>
      </c>
      <c r="DR167" s="228">
        <v>0.6</v>
      </c>
      <c r="DS167" s="228">
        <v>0.03</v>
      </c>
      <c r="DT167" s="229">
        <v>0.05</v>
      </c>
      <c r="DU167" s="231">
        <v>7200</v>
      </c>
      <c r="DV167" s="231">
        <v>7000</v>
      </c>
      <c r="DW167" s="228">
        <v>0.37</v>
      </c>
      <c r="DX167" s="228">
        <v>0.47</v>
      </c>
      <c r="DY167" s="228">
        <v>-0.1</v>
      </c>
      <c r="DZ167" s="229">
        <v>-0.21279999999999999</v>
      </c>
      <c r="EA167" s="229">
        <v>1.72E-2</v>
      </c>
      <c r="EB167" s="230">
        <v>26750</v>
      </c>
      <c r="EC167" s="229">
        <v>5.5999999999999999E-3</v>
      </c>
      <c r="ED167" s="229">
        <v>1.72E-2</v>
      </c>
      <c r="EE167" s="228">
        <v>28.87</v>
      </c>
      <c r="EF167" s="229">
        <v>3.8E-3</v>
      </c>
      <c r="EG167" s="230">
        <v>110528</v>
      </c>
      <c r="EH167" s="230">
        <v>90817</v>
      </c>
      <c r="EI167" s="229">
        <v>0.217</v>
      </c>
      <c r="EJ167" s="229">
        <v>0.48709999999999998</v>
      </c>
      <c r="EK167" s="231">
        <v>1275.02</v>
      </c>
      <c r="EL167" s="228">
        <v>444.83</v>
      </c>
      <c r="EM167" s="228">
        <v>382.66</v>
      </c>
      <c r="EN167" s="228">
        <v>54.85</v>
      </c>
      <c r="EO167" s="231">
        <v>2102.5100000000002</v>
      </c>
      <c r="EP167" s="228">
        <v>657.21</v>
      </c>
      <c r="EQ167" s="231">
        <v>1445.3</v>
      </c>
      <c r="ER167" s="229">
        <v>2.1991000000000001</v>
      </c>
      <c r="ES167" s="228">
        <v>407.28</v>
      </c>
      <c r="ET167" s="228">
        <v>239.49</v>
      </c>
      <c r="EU167" s="231">
        <v>1351.72</v>
      </c>
      <c r="EV167" s="231">
        <v>8350688</v>
      </c>
      <c r="EW167" s="231">
        <v>1998.49</v>
      </c>
      <c r="EX167" s="231">
        <v>1797.63</v>
      </c>
      <c r="EY167" s="228">
        <v>200.86</v>
      </c>
      <c r="EZ167" s="229">
        <v>0.11169999999999999</v>
      </c>
      <c r="FA167" s="229">
        <v>0.315</v>
      </c>
      <c r="FB167" s="227" t="s">
        <v>556</v>
      </c>
      <c r="FC167">
        <f t="shared" si="3"/>
        <v>0</v>
      </c>
    </row>
    <row r="168" spans="1:159" ht="17.25" thickBot="1" x14ac:dyDescent="0.3">
      <c r="A168" s="226">
        <v>45936</v>
      </c>
      <c r="B168" s="227" t="s">
        <v>161</v>
      </c>
      <c r="C168" s="227" t="s">
        <v>276</v>
      </c>
      <c r="D168" s="228">
        <v>1900</v>
      </c>
      <c r="E168" s="228">
        <v>22</v>
      </c>
      <c r="F168" s="228">
        <v>287.85000000000002</v>
      </c>
      <c r="G168" s="228">
        <v>290.3</v>
      </c>
      <c r="H168" s="228">
        <v>-2.4500000000000002</v>
      </c>
      <c r="I168" s="229">
        <v>-8.3999999999999995E-3</v>
      </c>
      <c r="J168" s="228">
        <v>286.89999999999998</v>
      </c>
      <c r="K168" s="228">
        <v>289.7</v>
      </c>
      <c r="L168" s="228">
        <v>-2.8</v>
      </c>
      <c r="M168" s="229">
        <v>-9.7000000000000003E-3</v>
      </c>
      <c r="N168" s="228">
        <v>287.85000000000002</v>
      </c>
      <c r="O168" s="228">
        <v>290.3</v>
      </c>
      <c r="P168" s="228">
        <v>-2.4500000000000002</v>
      </c>
      <c r="Q168" s="229">
        <v>-8.3999999999999995E-3</v>
      </c>
      <c r="R168" s="228">
        <v>286</v>
      </c>
      <c r="S168" s="228">
        <v>288.14999999999998</v>
      </c>
      <c r="T168" s="228">
        <v>-2.15</v>
      </c>
      <c r="U168" s="229">
        <v>-7.4999999999999997E-3</v>
      </c>
      <c r="V168" s="228">
        <v>287.7</v>
      </c>
      <c r="W168" s="228">
        <v>289.89999999999998</v>
      </c>
      <c r="X168" s="228">
        <v>-2.2000000000000002</v>
      </c>
      <c r="Y168" s="229">
        <v>-7.6E-3</v>
      </c>
      <c r="Z168" s="228">
        <v>0.95</v>
      </c>
      <c r="AA168" s="228">
        <v>0.6</v>
      </c>
      <c r="AB168" s="228">
        <v>0.35</v>
      </c>
      <c r="AC168" s="229">
        <v>3.3E-3</v>
      </c>
      <c r="AD168" s="228">
        <v>0.95</v>
      </c>
      <c r="AE168" s="228">
        <v>0.6</v>
      </c>
      <c r="AF168" s="228">
        <v>0.35</v>
      </c>
      <c r="AG168" s="229">
        <v>3.3E-3</v>
      </c>
      <c r="AH168" s="228">
        <v>-0.9</v>
      </c>
      <c r="AI168" s="228">
        <v>-1.55</v>
      </c>
      <c r="AJ168" s="228">
        <v>0.65</v>
      </c>
      <c r="AK168" s="229">
        <v>-3.0999999999999999E-3</v>
      </c>
      <c r="AL168" s="228">
        <v>0.8</v>
      </c>
      <c r="AM168" s="228">
        <v>0.2</v>
      </c>
      <c r="AN168" s="228">
        <v>0.6</v>
      </c>
      <c r="AO168" s="229">
        <v>2.8E-3</v>
      </c>
      <c r="AP168" s="228">
        <v>287.05</v>
      </c>
      <c r="AQ168" s="228">
        <v>285.16000000000003</v>
      </c>
      <c r="AR168" s="228">
        <v>0</v>
      </c>
      <c r="AS168" s="228">
        <v>254</v>
      </c>
      <c r="AT168" s="228">
        <v>412</v>
      </c>
      <c r="AU168" s="228">
        <v>-158</v>
      </c>
      <c r="AV168" s="229">
        <v>-0.3836</v>
      </c>
      <c r="AW168" s="228">
        <v>235</v>
      </c>
      <c r="AX168" s="228">
        <v>391</v>
      </c>
      <c r="AY168" s="228">
        <v>-156</v>
      </c>
      <c r="AZ168" s="229">
        <v>-0.39829999999999999</v>
      </c>
      <c r="BA168" s="228">
        <v>17</v>
      </c>
      <c r="BB168" s="228">
        <v>20</v>
      </c>
      <c r="BC168" s="228">
        <v>-3</v>
      </c>
      <c r="BD168" s="229">
        <v>-0.1459</v>
      </c>
      <c r="BE168" s="228">
        <v>2</v>
      </c>
      <c r="BF168" s="228">
        <v>1</v>
      </c>
      <c r="BG168" s="228">
        <v>0</v>
      </c>
      <c r="BH168" s="229">
        <v>0.26919999999999999</v>
      </c>
      <c r="BI168" s="228">
        <v>636</v>
      </c>
      <c r="BJ168" s="230">
        <v>1046</v>
      </c>
      <c r="BK168" s="228">
        <v>-409</v>
      </c>
      <c r="BL168" s="229">
        <v>-0.3916</v>
      </c>
      <c r="BM168" s="228">
        <v>302</v>
      </c>
      <c r="BN168" s="228">
        <v>404</v>
      </c>
      <c r="BO168" s="228">
        <v>-102</v>
      </c>
      <c r="BP168" s="229">
        <v>-0.2535</v>
      </c>
      <c r="BQ168" s="230">
        <v>1192</v>
      </c>
      <c r="BR168" s="230">
        <v>1862</v>
      </c>
      <c r="BS168" s="228">
        <v>-670</v>
      </c>
      <c r="BT168" s="229">
        <v>-0.35980000000000001</v>
      </c>
      <c r="BU168" s="230">
        <v>11850645</v>
      </c>
      <c r="BV168" s="230">
        <v>21193357</v>
      </c>
      <c r="BW168" s="230">
        <v>-9342712</v>
      </c>
      <c r="BX168" s="229">
        <v>-0.44080000000000003</v>
      </c>
      <c r="BY168" s="230">
        <v>2108</v>
      </c>
      <c r="BZ168" s="230">
        <v>2162</v>
      </c>
      <c r="CA168" s="228">
        <v>-54</v>
      </c>
      <c r="CB168" s="229">
        <v>-2.5000000000000001E-2</v>
      </c>
      <c r="CC168" s="230">
        <v>2042</v>
      </c>
      <c r="CD168" s="230">
        <v>2102</v>
      </c>
      <c r="CE168" s="228">
        <v>-60</v>
      </c>
      <c r="CF168" s="229">
        <v>-2.8500000000000001E-2</v>
      </c>
      <c r="CG168" s="228">
        <v>65</v>
      </c>
      <c r="CH168" s="228">
        <v>59</v>
      </c>
      <c r="CI168" s="228">
        <v>5</v>
      </c>
      <c r="CJ168" s="229">
        <v>9.2499999999999999E-2</v>
      </c>
      <c r="CK168" s="228">
        <v>1</v>
      </c>
      <c r="CL168" s="228">
        <v>1</v>
      </c>
      <c r="CM168" s="228">
        <v>0</v>
      </c>
      <c r="CN168" s="229">
        <v>0.5</v>
      </c>
      <c r="CO168" s="228">
        <v>671</v>
      </c>
      <c r="CP168" s="228">
        <v>599</v>
      </c>
      <c r="CQ168" s="228">
        <v>72</v>
      </c>
      <c r="CR168" s="229">
        <v>0.12</v>
      </c>
      <c r="CS168" s="228">
        <v>456</v>
      </c>
      <c r="CT168" s="228">
        <v>431</v>
      </c>
      <c r="CU168" s="228">
        <v>25</v>
      </c>
      <c r="CV168" s="229">
        <v>5.8900000000000001E-2</v>
      </c>
      <c r="CW168" s="230">
        <v>3236</v>
      </c>
      <c r="CX168" s="230">
        <v>3192</v>
      </c>
      <c r="CY168" s="228">
        <v>43</v>
      </c>
      <c r="CZ168" s="229">
        <v>1.3599999999999999E-2</v>
      </c>
      <c r="DA168" s="228">
        <v>19.25</v>
      </c>
      <c r="DB168" s="228">
        <v>19.420000000000002</v>
      </c>
      <c r="DC168" s="228">
        <v>-0.17</v>
      </c>
      <c r="DD168" s="228">
        <v>-0.17</v>
      </c>
      <c r="DE168" s="228">
        <v>29.79</v>
      </c>
      <c r="DF168" s="228">
        <v>29.84</v>
      </c>
      <c r="DG168" s="228">
        <v>-10.54</v>
      </c>
      <c r="DH168" s="228">
        <v>-0.05</v>
      </c>
      <c r="DI168" s="228">
        <v>19.43</v>
      </c>
      <c r="DJ168" s="228">
        <v>19.399999999999999</v>
      </c>
      <c r="DK168" s="228">
        <v>0.03</v>
      </c>
      <c r="DL168" s="228">
        <v>0.03</v>
      </c>
      <c r="DM168" s="228">
        <v>18.87</v>
      </c>
      <c r="DN168" s="228">
        <v>19.489999999999998</v>
      </c>
      <c r="DO168" s="228">
        <v>-0.62</v>
      </c>
      <c r="DP168" s="228">
        <v>-0.62</v>
      </c>
      <c r="DQ168" s="228">
        <v>0.68</v>
      </c>
      <c r="DR168" s="228">
        <v>0.72</v>
      </c>
      <c r="DS168" s="228">
        <v>-0.04</v>
      </c>
      <c r="DT168" s="229">
        <v>-5.5599999999999997E-2</v>
      </c>
      <c r="DU168" s="228">
        <v>300</v>
      </c>
      <c r="DV168" s="228">
        <v>285</v>
      </c>
      <c r="DW168" s="228">
        <v>0.47</v>
      </c>
      <c r="DX168" s="228">
        <v>0.39</v>
      </c>
      <c r="DY168" s="228">
        <v>0.08</v>
      </c>
      <c r="DZ168" s="229">
        <v>0.2051</v>
      </c>
      <c r="EA168" s="229">
        <v>3.1300000000000001E-2</v>
      </c>
      <c r="EB168" s="230">
        <v>2088100</v>
      </c>
      <c r="EC168" s="229">
        <v>-6.4000000000000003E-3</v>
      </c>
      <c r="ED168" s="229">
        <v>3.1300000000000001E-2</v>
      </c>
      <c r="EE168" s="228">
        <v>-1.89</v>
      </c>
      <c r="EF168" s="229">
        <v>-6.6E-3</v>
      </c>
      <c r="EG168" s="230">
        <v>7796679</v>
      </c>
      <c r="EH168" s="230">
        <v>16998951</v>
      </c>
      <c r="EI168" s="229">
        <v>-0.5413</v>
      </c>
      <c r="EJ168" s="229">
        <v>0.65790000000000004</v>
      </c>
      <c r="EK168" s="228">
        <v>657.48</v>
      </c>
      <c r="EL168" s="228">
        <v>301.45999999999998</v>
      </c>
      <c r="EM168" s="228">
        <v>253.28</v>
      </c>
      <c r="EN168" s="228">
        <v>140.24</v>
      </c>
      <c r="EO168" s="231">
        <v>1212.22</v>
      </c>
      <c r="EP168" s="231">
        <v>1893.6</v>
      </c>
      <c r="EQ168" s="228">
        <v>-681.39</v>
      </c>
      <c r="ER168" s="229">
        <v>-0.35980000000000001</v>
      </c>
      <c r="ES168" s="228">
        <v>696.22</v>
      </c>
      <c r="ET168" s="228">
        <v>451.08</v>
      </c>
      <c r="EU168" s="231">
        <v>2107.7199999999998</v>
      </c>
      <c r="EV168" s="231">
        <v>488832949</v>
      </c>
      <c r="EW168" s="231">
        <v>3255.02</v>
      </c>
      <c r="EX168" s="231">
        <v>3228.04</v>
      </c>
      <c r="EY168" s="228">
        <v>26.98</v>
      </c>
      <c r="EZ168" s="229">
        <v>8.3999999999999995E-3</v>
      </c>
      <c r="FA168" s="229">
        <v>0.22989999999999999</v>
      </c>
      <c r="FB168" s="227" t="s">
        <v>568</v>
      </c>
      <c r="FC168">
        <f t="shared" si="3"/>
        <v>0</v>
      </c>
    </row>
    <row r="169" spans="1:159" ht="17.25" thickBot="1" x14ac:dyDescent="0.3">
      <c r="A169" s="226">
        <v>45936</v>
      </c>
      <c r="B169" s="227" t="s">
        <v>690</v>
      </c>
      <c r="C169" s="227" t="s">
        <v>689</v>
      </c>
      <c r="D169" s="228">
        <v>50</v>
      </c>
      <c r="E169" s="228">
        <v>22</v>
      </c>
      <c r="F169" s="231">
        <v>18305</v>
      </c>
      <c r="G169" s="231">
        <v>18290</v>
      </c>
      <c r="H169" s="228">
        <v>15</v>
      </c>
      <c r="I169" s="229">
        <v>8.0000000000000004E-4</v>
      </c>
      <c r="J169" s="231">
        <v>18203</v>
      </c>
      <c r="K169" s="231">
        <v>18223</v>
      </c>
      <c r="L169" s="228">
        <v>-20</v>
      </c>
      <c r="M169" s="229">
        <v>-1.1000000000000001E-3</v>
      </c>
      <c r="N169" s="231">
        <v>18305</v>
      </c>
      <c r="O169" s="231">
        <v>18290</v>
      </c>
      <c r="P169" s="228">
        <v>15</v>
      </c>
      <c r="Q169" s="229">
        <v>8.0000000000000004E-4</v>
      </c>
      <c r="R169" s="231">
        <v>18338</v>
      </c>
      <c r="S169" s="231">
        <v>18403</v>
      </c>
      <c r="T169" s="228">
        <v>-65</v>
      </c>
      <c r="U169" s="229">
        <v>-3.5000000000000001E-3</v>
      </c>
      <c r="V169" s="228">
        <v>0</v>
      </c>
      <c r="W169" s="228">
        <v>0</v>
      </c>
      <c r="X169" s="228">
        <v>0</v>
      </c>
      <c r="Y169" s="229">
        <v>0</v>
      </c>
      <c r="Z169" s="228">
        <v>102</v>
      </c>
      <c r="AA169" s="228">
        <v>67</v>
      </c>
      <c r="AB169" s="228">
        <v>35</v>
      </c>
      <c r="AC169" s="229">
        <v>5.5999999999999999E-3</v>
      </c>
      <c r="AD169" s="228">
        <v>102</v>
      </c>
      <c r="AE169" s="228">
        <v>67</v>
      </c>
      <c r="AF169" s="228">
        <v>35</v>
      </c>
      <c r="AG169" s="229">
        <v>5.5999999999999999E-3</v>
      </c>
      <c r="AH169" s="228">
        <v>135</v>
      </c>
      <c r="AI169" s="228">
        <v>180</v>
      </c>
      <c r="AJ169" s="228">
        <v>-45</v>
      </c>
      <c r="AK169" s="229">
        <v>7.4000000000000003E-3</v>
      </c>
      <c r="AL169" s="228">
        <v>0</v>
      </c>
      <c r="AM169" s="228">
        <v>0</v>
      </c>
      <c r="AN169" s="228">
        <v>0</v>
      </c>
      <c r="AO169" s="229">
        <v>0</v>
      </c>
      <c r="AP169" s="231">
        <v>18394.97</v>
      </c>
      <c r="AQ169" s="231">
        <v>18412</v>
      </c>
      <c r="AR169" s="228">
        <v>0</v>
      </c>
      <c r="AS169" s="228">
        <v>35</v>
      </c>
      <c r="AT169" s="228">
        <v>35</v>
      </c>
      <c r="AU169" s="228">
        <v>-1</v>
      </c>
      <c r="AV169" s="229">
        <v>-1.55E-2</v>
      </c>
      <c r="AW169" s="228">
        <v>34</v>
      </c>
      <c r="AX169" s="228">
        <v>35</v>
      </c>
      <c r="AY169" s="228">
        <v>-1</v>
      </c>
      <c r="AZ169" s="229">
        <v>-2.63E-2</v>
      </c>
      <c r="BA169" s="228">
        <v>1</v>
      </c>
      <c r="BB169" s="228">
        <v>1</v>
      </c>
      <c r="BC169" s="228">
        <v>0</v>
      </c>
      <c r="BD169" s="229">
        <v>0.66669999999999996</v>
      </c>
      <c r="BE169" s="228">
        <v>0</v>
      </c>
      <c r="BF169" s="228">
        <v>0</v>
      </c>
      <c r="BG169" s="228">
        <v>0</v>
      </c>
      <c r="BH169" s="229">
        <v>0</v>
      </c>
      <c r="BI169" s="228">
        <v>22</v>
      </c>
      <c r="BJ169" s="228">
        <v>55</v>
      </c>
      <c r="BK169" s="228">
        <v>-33</v>
      </c>
      <c r="BL169" s="229">
        <v>-0.60299999999999998</v>
      </c>
      <c r="BM169" s="228">
        <v>6</v>
      </c>
      <c r="BN169" s="228">
        <v>8</v>
      </c>
      <c r="BO169" s="228">
        <v>-2</v>
      </c>
      <c r="BP169" s="229">
        <v>-0.19320000000000001</v>
      </c>
      <c r="BQ169" s="228">
        <v>63</v>
      </c>
      <c r="BR169" s="228">
        <v>98</v>
      </c>
      <c r="BS169" s="228">
        <v>-35</v>
      </c>
      <c r="BT169" s="229">
        <v>-0.35870000000000002</v>
      </c>
      <c r="BU169" s="230">
        <v>46976</v>
      </c>
      <c r="BV169" s="230">
        <v>78931</v>
      </c>
      <c r="BW169" s="230">
        <v>-31955</v>
      </c>
      <c r="BX169" s="229">
        <v>-0.40479999999999999</v>
      </c>
      <c r="BY169" s="228">
        <v>36</v>
      </c>
      <c r="BZ169" s="228">
        <v>25</v>
      </c>
      <c r="CA169" s="228">
        <v>11</v>
      </c>
      <c r="CB169" s="229">
        <v>0.44529999999999997</v>
      </c>
      <c r="CC169" s="228">
        <v>36</v>
      </c>
      <c r="CD169" s="228">
        <v>25</v>
      </c>
      <c r="CE169" s="228">
        <v>11</v>
      </c>
      <c r="CF169" s="229">
        <v>0.4481</v>
      </c>
      <c r="CG169" s="228">
        <v>0</v>
      </c>
      <c r="CH169" s="228">
        <v>0</v>
      </c>
      <c r="CI169" s="228">
        <v>0</v>
      </c>
      <c r="CJ169" s="229">
        <v>0.25</v>
      </c>
      <c r="CK169" s="228">
        <v>0</v>
      </c>
      <c r="CL169" s="228">
        <v>0</v>
      </c>
      <c r="CM169" s="228">
        <v>0</v>
      </c>
      <c r="CN169" s="229">
        <v>0</v>
      </c>
      <c r="CO169" s="228">
        <v>31</v>
      </c>
      <c r="CP169" s="228">
        <v>24</v>
      </c>
      <c r="CQ169" s="228">
        <v>8</v>
      </c>
      <c r="CR169" s="229">
        <v>0.32169999999999999</v>
      </c>
      <c r="CS169" s="228">
        <v>5</v>
      </c>
      <c r="CT169" s="228">
        <v>3</v>
      </c>
      <c r="CU169" s="228">
        <v>3</v>
      </c>
      <c r="CV169" s="229">
        <v>0.93330000000000002</v>
      </c>
      <c r="CW169" s="228">
        <v>73</v>
      </c>
      <c r="CX169" s="228">
        <v>51</v>
      </c>
      <c r="CY169" s="228">
        <v>21</v>
      </c>
      <c r="CZ169" s="229">
        <v>0.41460000000000002</v>
      </c>
      <c r="DA169" s="228">
        <v>36.130000000000003</v>
      </c>
      <c r="DB169" s="228">
        <v>36.229999999999997</v>
      </c>
      <c r="DC169" s="228">
        <v>-0.1</v>
      </c>
      <c r="DD169" s="228">
        <v>-0.1</v>
      </c>
      <c r="DE169" s="228">
        <v>58.81</v>
      </c>
      <c r="DF169" s="228">
        <v>58.96</v>
      </c>
      <c r="DG169" s="228">
        <v>-22.68</v>
      </c>
      <c r="DH169" s="228">
        <v>-0.15</v>
      </c>
      <c r="DI169" s="228">
        <v>36.340000000000003</v>
      </c>
      <c r="DJ169" s="228">
        <v>36.46</v>
      </c>
      <c r="DK169" s="228">
        <v>-0.12</v>
      </c>
      <c r="DL169" s="228">
        <v>-0.12</v>
      </c>
      <c r="DM169" s="228">
        <v>35.42</v>
      </c>
      <c r="DN169" s="228">
        <v>34.659999999999997</v>
      </c>
      <c r="DO169" s="228">
        <v>0.76</v>
      </c>
      <c r="DP169" s="228">
        <v>0.76</v>
      </c>
      <c r="DQ169" s="228">
        <v>0.17</v>
      </c>
      <c r="DR169" s="228">
        <v>0.12</v>
      </c>
      <c r="DS169" s="228">
        <v>0.05</v>
      </c>
      <c r="DT169" s="229">
        <v>0.41670000000000001</v>
      </c>
      <c r="DU169" s="231">
        <v>20000</v>
      </c>
      <c r="DV169" s="231">
        <v>18000</v>
      </c>
      <c r="DW169" s="228">
        <v>0.3</v>
      </c>
      <c r="DX169" s="228">
        <v>0.15</v>
      </c>
      <c r="DY169" s="228">
        <v>0.15</v>
      </c>
      <c r="DZ169" s="229">
        <v>1</v>
      </c>
      <c r="EA169" s="229">
        <v>1.26E-2</v>
      </c>
      <c r="EB169" s="228">
        <v>200</v>
      </c>
      <c r="EC169" s="229">
        <v>1.8E-3</v>
      </c>
      <c r="ED169" s="229">
        <v>1.26E-2</v>
      </c>
      <c r="EE169" s="228">
        <v>17.03</v>
      </c>
      <c r="EF169" s="229">
        <v>8.9999999999999998E-4</v>
      </c>
      <c r="EG169" s="230">
        <v>19259</v>
      </c>
      <c r="EH169" s="230">
        <v>27623</v>
      </c>
      <c r="EI169" s="229">
        <v>-0.30280000000000001</v>
      </c>
      <c r="EJ169" s="229">
        <v>0.41</v>
      </c>
      <c r="EK169" s="228">
        <v>23.76</v>
      </c>
      <c r="EL169" s="228">
        <v>6.34</v>
      </c>
      <c r="EM169" s="228">
        <v>34.950000000000003</v>
      </c>
      <c r="EN169" s="228">
        <v>2.93</v>
      </c>
      <c r="EO169" s="228">
        <v>65.05</v>
      </c>
      <c r="EP169" s="228">
        <v>102.65</v>
      </c>
      <c r="EQ169" s="228">
        <v>-37.590000000000003</v>
      </c>
      <c r="ER169" s="229">
        <v>-0.36620000000000003</v>
      </c>
      <c r="ES169" s="228">
        <v>32.979999999999997</v>
      </c>
      <c r="ET169" s="228">
        <v>5.12</v>
      </c>
      <c r="EU169" s="228">
        <v>36.24</v>
      </c>
      <c r="EV169" s="231">
        <v>1917916</v>
      </c>
      <c r="EW169" s="228">
        <v>74.34</v>
      </c>
      <c r="EX169" s="228">
        <v>52.51</v>
      </c>
      <c r="EY169" s="228">
        <v>21.83</v>
      </c>
      <c r="EZ169" s="229">
        <v>0.41570000000000001</v>
      </c>
      <c r="FA169" s="229">
        <v>2.07E-2</v>
      </c>
      <c r="FB169" s="227" t="s">
        <v>555</v>
      </c>
      <c r="FC169">
        <f t="shared" si="3"/>
        <v>0</v>
      </c>
    </row>
    <row r="170" spans="1:159" ht="17.25" thickBot="1" x14ac:dyDescent="0.3">
      <c r="A170" s="226">
        <v>45936</v>
      </c>
      <c r="B170" s="227" t="s">
        <v>170</v>
      </c>
      <c r="C170" s="227" t="s">
        <v>680</v>
      </c>
      <c r="D170" s="228">
        <v>2500</v>
      </c>
      <c r="E170" s="228">
        <v>22</v>
      </c>
      <c r="F170" s="228">
        <v>196.6</v>
      </c>
      <c r="G170" s="228">
        <v>199.55</v>
      </c>
      <c r="H170" s="228">
        <v>-2.95</v>
      </c>
      <c r="I170" s="229">
        <v>-1.4800000000000001E-2</v>
      </c>
      <c r="J170" s="228">
        <v>195.61</v>
      </c>
      <c r="K170" s="228">
        <v>198.47</v>
      </c>
      <c r="L170" s="228">
        <v>-2.86</v>
      </c>
      <c r="M170" s="229">
        <v>-1.44E-2</v>
      </c>
      <c r="N170" s="228">
        <v>196.6</v>
      </c>
      <c r="O170" s="228">
        <v>199.55</v>
      </c>
      <c r="P170" s="228">
        <v>-2.95</v>
      </c>
      <c r="Q170" s="229">
        <v>-1.4800000000000001E-2</v>
      </c>
      <c r="R170" s="228">
        <v>197.5</v>
      </c>
      <c r="S170" s="228">
        <v>200.8</v>
      </c>
      <c r="T170" s="228">
        <v>-3.3</v>
      </c>
      <c r="U170" s="229">
        <v>-1.6400000000000001E-2</v>
      </c>
      <c r="V170" s="228">
        <v>198.3</v>
      </c>
      <c r="W170" s="228">
        <v>202.15</v>
      </c>
      <c r="X170" s="228">
        <v>-3.85</v>
      </c>
      <c r="Y170" s="229">
        <v>-1.9E-2</v>
      </c>
      <c r="Z170" s="228">
        <v>0.99</v>
      </c>
      <c r="AA170" s="228">
        <v>1.08</v>
      </c>
      <c r="AB170" s="228">
        <v>-0.09</v>
      </c>
      <c r="AC170" s="229">
        <v>5.1000000000000004E-3</v>
      </c>
      <c r="AD170" s="228">
        <v>0.99</v>
      </c>
      <c r="AE170" s="228">
        <v>1.08</v>
      </c>
      <c r="AF170" s="228">
        <v>-0.09</v>
      </c>
      <c r="AG170" s="229">
        <v>5.1000000000000004E-3</v>
      </c>
      <c r="AH170" s="228">
        <v>1.89</v>
      </c>
      <c r="AI170" s="228">
        <v>2.33</v>
      </c>
      <c r="AJ170" s="228">
        <v>-0.44</v>
      </c>
      <c r="AK170" s="229">
        <v>9.7000000000000003E-3</v>
      </c>
      <c r="AL170" s="228">
        <v>2.69</v>
      </c>
      <c r="AM170" s="228">
        <v>3.68</v>
      </c>
      <c r="AN170" s="228">
        <v>-0.99</v>
      </c>
      <c r="AO170" s="229">
        <v>1.38E-2</v>
      </c>
      <c r="AP170" s="228">
        <v>196.7</v>
      </c>
      <c r="AQ170" s="228">
        <v>197.58</v>
      </c>
      <c r="AR170" s="228">
        <v>0</v>
      </c>
      <c r="AS170" s="228">
        <v>54</v>
      </c>
      <c r="AT170" s="228">
        <v>52</v>
      </c>
      <c r="AU170" s="228">
        <v>2</v>
      </c>
      <c r="AV170" s="229">
        <v>3.61E-2</v>
      </c>
      <c r="AW170" s="228">
        <v>50</v>
      </c>
      <c r="AX170" s="228">
        <v>49</v>
      </c>
      <c r="AY170" s="228">
        <v>1</v>
      </c>
      <c r="AZ170" s="229">
        <v>2.6100000000000002E-2</v>
      </c>
      <c r="BA170" s="228">
        <v>2</v>
      </c>
      <c r="BB170" s="228">
        <v>3</v>
      </c>
      <c r="BC170" s="228">
        <v>-1</v>
      </c>
      <c r="BD170" s="229">
        <v>-0.21429999999999999</v>
      </c>
      <c r="BE170" s="228">
        <v>1</v>
      </c>
      <c r="BF170" s="228">
        <v>0</v>
      </c>
      <c r="BG170" s="228">
        <v>1</v>
      </c>
      <c r="BH170" s="229">
        <v>24</v>
      </c>
      <c r="BI170" s="228">
        <v>100</v>
      </c>
      <c r="BJ170" s="228">
        <v>94</v>
      </c>
      <c r="BK170" s="228">
        <v>7</v>
      </c>
      <c r="BL170" s="229">
        <v>7.0300000000000001E-2</v>
      </c>
      <c r="BM170" s="228">
        <v>61</v>
      </c>
      <c r="BN170" s="228">
        <v>44</v>
      </c>
      <c r="BO170" s="228">
        <v>17</v>
      </c>
      <c r="BP170" s="229">
        <v>0.37130000000000002</v>
      </c>
      <c r="BQ170" s="228">
        <v>215</v>
      </c>
      <c r="BR170" s="228">
        <v>190</v>
      </c>
      <c r="BS170" s="228">
        <v>25</v>
      </c>
      <c r="BT170" s="229">
        <v>0.13150000000000001</v>
      </c>
      <c r="BU170" s="230">
        <v>1726378</v>
      </c>
      <c r="BV170" s="230">
        <v>2694939</v>
      </c>
      <c r="BW170" s="230">
        <v>-968561</v>
      </c>
      <c r="BX170" s="229">
        <v>-0.3594</v>
      </c>
      <c r="BY170" s="228">
        <v>341</v>
      </c>
      <c r="BZ170" s="228">
        <v>340</v>
      </c>
      <c r="CA170" s="228">
        <v>1</v>
      </c>
      <c r="CB170" s="229">
        <v>2.3E-3</v>
      </c>
      <c r="CC170" s="228">
        <v>323</v>
      </c>
      <c r="CD170" s="228">
        <v>324</v>
      </c>
      <c r="CE170" s="228">
        <v>0</v>
      </c>
      <c r="CF170" s="229">
        <v>-1.1000000000000001E-3</v>
      </c>
      <c r="CG170" s="228">
        <v>17</v>
      </c>
      <c r="CH170" s="228">
        <v>16</v>
      </c>
      <c r="CI170" s="228">
        <v>0</v>
      </c>
      <c r="CJ170" s="229">
        <v>2.4400000000000002E-2</v>
      </c>
      <c r="CK170" s="228">
        <v>1</v>
      </c>
      <c r="CL170" s="228">
        <v>0</v>
      </c>
      <c r="CM170" s="228">
        <v>1</v>
      </c>
      <c r="CN170" s="229">
        <v>15</v>
      </c>
      <c r="CO170" s="228">
        <v>187</v>
      </c>
      <c r="CP170" s="228">
        <v>166</v>
      </c>
      <c r="CQ170" s="228">
        <v>21</v>
      </c>
      <c r="CR170" s="229">
        <v>0.12529999999999999</v>
      </c>
      <c r="CS170" s="228">
        <v>79</v>
      </c>
      <c r="CT170" s="228">
        <v>70</v>
      </c>
      <c r="CU170" s="228">
        <v>9</v>
      </c>
      <c r="CV170" s="229">
        <v>0.1239</v>
      </c>
      <c r="CW170" s="228">
        <v>606</v>
      </c>
      <c r="CX170" s="228">
        <v>576</v>
      </c>
      <c r="CY170" s="228">
        <v>30</v>
      </c>
      <c r="CZ170" s="229">
        <v>5.2600000000000001E-2</v>
      </c>
      <c r="DA170" s="228">
        <v>34.11</v>
      </c>
      <c r="DB170" s="228">
        <v>33.24</v>
      </c>
      <c r="DC170" s="228">
        <v>0.87</v>
      </c>
      <c r="DD170" s="228">
        <v>0.87</v>
      </c>
      <c r="DE170" s="228">
        <v>47.56</v>
      </c>
      <c r="DF170" s="228">
        <v>47.63</v>
      </c>
      <c r="DG170" s="228">
        <v>-13.45</v>
      </c>
      <c r="DH170" s="228">
        <v>-7.0000000000000007E-2</v>
      </c>
      <c r="DI170" s="228">
        <v>33.86</v>
      </c>
      <c r="DJ170" s="228">
        <v>33.08</v>
      </c>
      <c r="DK170" s="228">
        <v>0.78</v>
      </c>
      <c r="DL170" s="228">
        <v>0.78</v>
      </c>
      <c r="DM170" s="228">
        <v>34.53</v>
      </c>
      <c r="DN170" s="228">
        <v>33.58</v>
      </c>
      <c r="DO170" s="228">
        <v>0.95</v>
      </c>
      <c r="DP170" s="228">
        <v>0.95</v>
      </c>
      <c r="DQ170" s="228">
        <v>0.42</v>
      </c>
      <c r="DR170" s="228">
        <v>0.42</v>
      </c>
      <c r="DS170" s="228">
        <v>0</v>
      </c>
      <c r="DT170" s="229">
        <v>0</v>
      </c>
      <c r="DU170" s="228">
        <v>215</v>
      </c>
      <c r="DV170" s="228">
        <v>180</v>
      </c>
      <c r="DW170" s="228">
        <v>0.61</v>
      </c>
      <c r="DX170" s="228">
        <v>0.47</v>
      </c>
      <c r="DY170" s="228">
        <v>0.14000000000000001</v>
      </c>
      <c r="DZ170" s="229">
        <v>0.2979</v>
      </c>
      <c r="EA170" s="229">
        <v>5.0799999999999998E-2</v>
      </c>
      <c r="EB170" s="230">
        <v>822500</v>
      </c>
      <c r="EC170" s="229">
        <v>4.5999999999999999E-3</v>
      </c>
      <c r="ED170" s="229">
        <v>5.0799999999999998E-2</v>
      </c>
      <c r="EE170" s="228">
        <v>0.88</v>
      </c>
      <c r="EF170" s="229">
        <v>4.4999999999999997E-3</v>
      </c>
      <c r="EG170" s="230">
        <v>651273</v>
      </c>
      <c r="EH170" s="230">
        <v>1276613</v>
      </c>
      <c r="EI170" s="229">
        <v>-0.48980000000000001</v>
      </c>
      <c r="EJ170" s="229">
        <v>0.37719999999999998</v>
      </c>
      <c r="EK170" s="228">
        <v>106.47</v>
      </c>
      <c r="EL170" s="228">
        <v>62.2</v>
      </c>
      <c r="EM170" s="228">
        <v>53.62</v>
      </c>
      <c r="EN170" s="228">
        <v>35.49</v>
      </c>
      <c r="EO170" s="228">
        <v>222.3</v>
      </c>
      <c r="EP170" s="228">
        <v>198.51</v>
      </c>
      <c r="EQ170" s="228">
        <v>23.79</v>
      </c>
      <c r="ER170" s="229">
        <v>0.1198</v>
      </c>
      <c r="ES170" s="228">
        <v>200.2</v>
      </c>
      <c r="ET170" s="228">
        <v>76.64</v>
      </c>
      <c r="EU170" s="228">
        <v>340.84</v>
      </c>
      <c r="EV170" s="231">
        <v>120138597</v>
      </c>
      <c r="EW170" s="228">
        <v>617.69000000000005</v>
      </c>
      <c r="EX170" s="228">
        <v>591.27</v>
      </c>
      <c r="EY170" s="228">
        <v>26.42</v>
      </c>
      <c r="EZ170" s="229">
        <v>4.4699999999999997E-2</v>
      </c>
      <c r="FA170" s="229">
        <v>0.25669999999999998</v>
      </c>
      <c r="FB170" s="227" t="s">
        <v>567</v>
      </c>
      <c r="FC170">
        <f t="shared" si="3"/>
        <v>0</v>
      </c>
    </row>
    <row r="171" spans="1:159" ht="17.25" thickBot="1" x14ac:dyDescent="0.3">
      <c r="A171" s="226">
        <v>45936</v>
      </c>
      <c r="B171" s="227" t="s">
        <v>206</v>
      </c>
      <c r="C171" s="227" t="s">
        <v>606</v>
      </c>
      <c r="D171" s="228">
        <v>450</v>
      </c>
      <c r="E171" s="228">
        <v>22</v>
      </c>
      <c r="F171" s="231">
        <v>1548.3</v>
      </c>
      <c r="G171" s="231">
        <v>1540.2</v>
      </c>
      <c r="H171" s="228">
        <v>8.1</v>
      </c>
      <c r="I171" s="229">
        <v>5.3E-3</v>
      </c>
      <c r="J171" s="231">
        <v>1541.3</v>
      </c>
      <c r="K171" s="231">
        <v>1530.1</v>
      </c>
      <c r="L171" s="228">
        <v>11.2</v>
      </c>
      <c r="M171" s="229">
        <v>7.3000000000000001E-3</v>
      </c>
      <c r="N171" s="231">
        <v>1548.3</v>
      </c>
      <c r="O171" s="231">
        <v>1540.2</v>
      </c>
      <c r="P171" s="228">
        <v>8.1</v>
      </c>
      <c r="Q171" s="229">
        <v>5.3E-3</v>
      </c>
      <c r="R171" s="231">
        <v>1556</v>
      </c>
      <c r="S171" s="231">
        <v>1547.5</v>
      </c>
      <c r="T171" s="228">
        <v>8.5</v>
      </c>
      <c r="U171" s="229">
        <v>5.4999999999999997E-3</v>
      </c>
      <c r="V171" s="231">
        <v>1550</v>
      </c>
      <c r="W171" s="231">
        <v>1556</v>
      </c>
      <c r="X171" s="228">
        <v>-6</v>
      </c>
      <c r="Y171" s="229">
        <v>-3.8999999999999998E-3</v>
      </c>
      <c r="Z171" s="228">
        <v>7</v>
      </c>
      <c r="AA171" s="228">
        <v>10.1</v>
      </c>
      <c r="AB171" s="228">
        <v>-3.1</v>
      </c>
      <c r="AC171" s="229">
        <v>4.4999999999999997E-3</v>
      </c>
      <c r="AD171" s="228">
        <v>7</v>
      </c>
      <c r="AE171" s="228">
        <v>10.1</v>
      </c>
      <c r="AF171" s="228">
        <v>-3.1</v>
      </c>
      <c r="AG171" s="229">
        <v>4.4999999999999997E-3</v>
      </c>
      <c r="AH171" s="228">
        <v>14.7</v>
      </c>
      <c r="AI171" s="228">
        <v>17.399999999999999</v>
      </c>
      <c r="AJ171" s="228">
        <v>-2.7</v>
      </c>
      <c r="AK171" s="229">
        <v>9.4999999999999998E-3</v>
      </c>
      <c r="AL171" s="228">
        <v>8.6999999999999993</v>
      </c>
      <c r="AM171" s="228">
        <v>25.9</v>
      </c>
      <c r="AN171" s="228">
        <v>-17.2</v>
      </c>
      <c r="AO171" s="229">
        <v>5.5999999999999999E-3</v>
      </c>
      <c r="AP171" s="231">
        <v>1544.1</v>
      </c>
      <c r="AQ171" s="231">
        <v>1553</v>
      </c>
      <c r="AR171" s="228">
        <v>0</v>
      </c>
      <c r="AS171" s="228">
        <v>104</v>
      </c>
      <c r="AT171" s="228">
        <v>139</v>
      </c>
      <c r="AU171" s="228">
        <v>-35</v>
      </c>
      <c r="AV171" s="229">
        <v>-0.25109999999999999</v>
      </c>
      <c r="AW171" s="228">
        <v>100</v>
      </c>
      <c r="AX171" s="228">
        <v>135</v>
      </c>
      <c r="AY171" s="228">
        <v>-35</v>
      </c>
      <c r="AZ171" s="229">
        <v>-0.25840000000000002</v>
      </c>
      <c r="BA171" s="228">
        <v>4</v>
      </c>
      <c r="BB171" s="228">
        <v>4</v>
      </c>
      <c r="BC171" s="228">
        <v>0</v>
      </c>
      <c r="BD171" s="229">
        <v>7.1400000000000005E-2</v>
      </c>
      <c r="BE171" s="228">
        <v>0</v>
      </c>
      <c r="BF171" s="228">
        <v>1</v>
      </c>
      <c r="BG171" s="228">
        <v>0</v>
      </c>
      <c r="BH171" s="229">
        <v>-0.75</v>
      </c>
      <c r="BI171" s="228">
        <v>157</v>
      </c>
      <c r="BJ171" s="228">
        <v>142</v>
      </c>
      <c r="BK171" s="228">
        <v>15</v>
      </c>
      <c r="BL171" s="229">
        <v>0.1085</v>
      </c>
      <c r="BM171" s="228">
        <v>77</v>
      </c>
      <c r="BN171" s="228">
        <v>88</v>
      </c>
      <c r="BO171" s="228">
        <v>-11</v>
      </c>
      <c r="BP171" s="229">
        <v>-0.1202</v>
      </c>
      <c r="BQ171" s="228">
        <v>339</v>
      </c>
      <c r="BR171" s="228">
        <v>369</v>
      </c>
      <c r="BS171" s="228">
        <v>-30</v>
      </c>
      <c r="BT171" s="229">
        <v>-8.1600000000000006E-2</v>
      </c>
      <c r="BU171" s="230">
        <v>513667</v>
      </c>
      <c r="BV171" s="230">
        <v>620248</v>
      </c>
      <c r="BW171" s="230">
        <v>-106581</v>
      </c>
      <c r="BX171" s="229">
        <v>-0.17180000000000001</v>
      </c>
      <c r="BY171" s="228">
        <v>717</v>
      </c>
      <c r="BZ171" s="228">
        <v>699</v>
      </c>
      <c r="CA171" s="228">
        <v>19</v>
      </c>
      <c r="CB171" s="229">
        <v>2.6800000000000001E-2</v>
      </c>
      <c r="CC171" s="228">
        <v>709</v>
      </c>
      <c r="CD171" s="228">
        <v>692</v>
      </c>
      <c r="CE171" s="228">
        <v>17</v>
      </c>
      <c r="CF171" s="229">
        <v>2.4500000000000001E-2</v>
      </c>
      <c r="CG171" s="228">
        <v>8</v>
      </c>
      <c r="CH171" s="228">
        <v>6</v>
      </c>
      <c r="CI171" s="228">
        <v>2</v>
      </c>
      <c r="CJ171" s="229">
        <v>0.29409999999999997</v>
      </c>
      <c r="CK171" s="228">
        <v>1</v>
      </c>
      <c r="CL171" s="228">
        <v>1</v>
      </c>
      <c r="CM171" s="228">
        <v>0</v>
      </c>
      <c r="CN171" s="229">
        <v>0.125</v>
      </c>
      <c r="CO171" s="228">
        <v>145</v>
      </c>
      <c r="CP171" s="228">
        <v>125</v>
      </c>
      <c r="CQ171" s="228">
        <v>20</v>
      </c>
      <c r="CR171" s="229">
        <v>0.16039999999999999</v>
      </c>
      <c r="CS171" s="228">
        <v>126</v>
      </c>
      <c r="CT171" s="228">
        <v>121</v>
      </c>
      <c r="CU171" s="228">
        <v>5</v>
      </c>
      <c r="CV171" s="229">
        <v>4.1000000000000002E-2</v>
      </c>
      <c r="CW171" s="228">
        <v>988</v>
      </c>
      <c r="CX171" s="228">
        <v>944</v>
      </c>
      <c r="CY171" s="228">
        <v>44</v>
      </c>
      <c r="CZ171" s="229">
        <v>4.6300000000000001E-2</v>
      </c>
      <c r="DA171" s="228">
        <v>32.36</v>
      </c>
      <c r="DB171" s="228">
        <v>30.97</v>
      </c>
      <c r="DC171" s="228">
        <v>1.39</v>
      </c>
      <c r="DD171" s="228">
        <v>1.39</v>
      </c>
      <c r="DE171" s="228">
        <v>47.37</v>
      </c>
      <c r="DF171" s="228">
        <v>47.49</v>
      </c>
      <c r="DG171" s="228">
        <v>-15.01</v>
      </c>
      <c r="DH171" s="228">
        <v>-0.12</v>
      </c>
      <c r="DI171" s="228">
        <v>32.01</v>
      </c>
      <c r="DJ171" s="228">
        <v>30.83</v>
      </c>
      <c r="DK171" s="228">
        <v>1.18</v>
      </c>
      <c r="DL171" s="228">
        <v>1.18</v>
      </c>
      <c r="DM171" s="228">
        <v>33.090000000000003</v>
      </c>
      <c r="DN171" s="228">
        <v>31.21</v>
      </c>
      <c r="DO171" s="228">
        <v>1.88</v>
      </c>
      <c r="DP171" s="228">
        <v>1.88</v>
      </c>
      <c r="DQ171" s="228">
        <v>0.86</v>
      </c>
      <c r="DR171" s="228">
        <v>0.96</v>
      </c>
      <c r="DS171" s="228">
        <v>-0.1</v>
      </c>
      <c r="DT171" s="229">
        <v>-0.1042</v>
      </c>
      <c r="DU171" s="231">
        <v>1600</v>
      </c>
      <c r="DV171" s="231">
        <v>1600</v>
      </c>
      <c r="DW171" s="228">
        <v>0.49</v>
      </c>
      <c r="DX171" s="228">
        <v>0.62</v>
      </c>
      <c r="DY171" s="228">
        <v>-0.13</v>
      </c>
      <c r="DZ171" s="229">
        <v>-0.2097</v>
      </c>
      <c r="EA171" s="229">
        <v>1.1599999999999999E-2</v>
      </c>
      <c r="EB171" s="230">
        <v>41850</v>
      </c>
      <c r="EC171" s="229">
        <v>5.0000000000000001E-3</v>
      </c>
      <c r="ED171" s="229">
        <v>1.1599999999999999E-2</v>
      </c>
      <c r="EE171" s="228">
        <v>8.9</v>
      </c>
      <c r="EF171" s="229">
        <v>5.7999999999999996E-3</v>
      </c>
      <c r="EG171" s="230">
        <v>283563</v>
      </c>
      <c r="EH171" s="230">
        <v>326267</v>
      </c>
      <c r="EI171" s="229">
        <v>-0.13089999999999999</v>
      </c>
      <c r="EJ171" s="229">
        <v>0.55200000000000005</v>
      </c>
      <c r="EK171" s="228">
        <v>165</v>
      </c>
      <c r="EL171" s="228">
        <v>75.7</v>
      </c>
      <c r="EM171" s="228">
        <v>104.04</v>
      </c>
      <c r="EN171" s="228">
        <v>46.62</v>
      </c>
      <c r="EO171" s="228">
        <v>344.74</v>
      </c>
      <c r="EP171" s="228">
        <v>374.36</v>
      </c>
      <c r="EQ171" s="228">
        <v>-29.62</v>
      </c>
      <c r="ER171" s="229">
        <v>-7.9100000000000004E-2</v>
      </c>
      <c r="ES171" s="228">
        <v>151.46</v>
      </c>
      <c r="ET171" s="228">
        <v>123.7</v>
      </c>
      <c r="EU171" s="228">
        <v>717.33</v>
      </c>
      <c r="EV171" s="231">
        <v>25234534</v>
      </c>
      <c r="EW171" s="228">
        <v>992.49</v>
      </c>
      <c r="EX171" s="228">
        <v>944.25</v>
      </c>
      <c r="EY171" s="228">
        <v>48.24</v>
      </c>
      <c r="EZ171" s="229">
        <v>5.11E-2</v>
      </c>
      <c r="FA171" s="229">
        <v>0.25290000000000001</v>
      </c>
      <c r="FB171" s="227" t="s">
        <v>555</v>
      </c>
      <c r="FC171">
        <f t="shared" si="3"/>
        <v>0</v>
      </c>
    </row>
    <row r="172" spans="1:159" ht="17.25" thickBot="1" x14ac:dyDescent="0.3">
      <c r="A172" s="226">
        <v>45936</v>
      </c>
      <c r="B172" s="227" t="s">
        <v>172</v>
      </c>
      <c r="C172" s="227" t="s">
        <v>279</v>
      </c>
      <c r="D172" s="228">
        <v>3175</v>
      </c>
      <c r="E172" s="228">
        <v>22</v>
      </c>
      <c r="F172" s="228">
        <v>277.8</v>
      </c>
      <c r="G172" s="228">
        <v>277.25</v>
      </c>
      <c r="H172" s="228">
        <v>0.55000000000000004</v>
      </c>
      <c r="I172" s="229">
        <v>2E-3</v>
      </c>
      <c r="J172" s="228">
        <v>275.60000000000002</v>
      </c>
      <c r="K172" s="228">
        <v>275.89999999999998</v>
      </c>
      <c r="L172" s="228">
        <v>-0.3</v>
      </c>
      <c r="M172" s="229">
        <v>-1.1000000000000001E-3</v>
      </c>
      <c r="N172" s="228">
        <v>277.8</v>
      </c>
      <c r="O172" s="228">
        <v>277.25</v>
      </c>
      <c r="P172" s="228">
        <v>0.55000000000000004</v>
      </c>
      <c r="Q172" s="229">
        <v>2E-3</v>
      </c>
      <c r="R172" s="228">
        <v>278.55</v>
      </c>
      <c r="S172" s="228">
        <v>278.7</v>
      </c>
      <c r="T172" s="228">
        <v>-0.15</v>
      </c>
      <c r="U172" s="229">
        <v>-5.0000000000000001E-4</v>
      </c>
      <c r="V172" s="228">
        <v>280.10000000000002</v>
      </c>
      <c r="W172" s="228">
        <v>280.10000000000002</v>
      </c>
      <c r="X172" s="228">
        <v>0</v>
      </c>
      <c r="Y172" s="229">
        <v>0</v>
      </c>
      <c r="Z172" s="228">
        <v>2.2000000000000002</v>
      </c>
      <c r="AA172" s="228">
        <v>1.35</v>
      </c>
      <c r="AB172" s="228">
        <v>0.85</v>
      </c>
      <c r="AC172" s="229">
        <v>8.0000000000000002E-3</v>
      </c>
      <c r="AD172" s="228">
        <v>2.2000000000000002</v>
      </c>
      <c r="AE172" s="228">
        <v>1.35</v>
      </c>
      <c r="AF172" s="228">
        <v>0.85</v>
      </c>
      <c r="AG172" s="229">
        <v>8.0000000000000002E-3</v>
      </c>
      <c r="AH172" s="228">
        <v>2.95</v>
      </c>
      <c r="AI172" s="228">
        <v>2.8</v>
      </c>
      <c r="AJ172" s="228">
        <v>0.15</v>
      </c>
      <c r="AK172" s="229">
        <v>1.0699999999999999E-2</v>
      </c>
      <c r="AL172" s="228">
        <v>4.5</v>
      </c>
      <c r="AM172" s="228">
        <v>4.2</v>
      </c>
      <c r="AN172" s="228">
        <v>0.3</v>
      </c>
      <c r="AO172" s="229">
        <v>1.6299999999999999E-2</v>
      </c>
      <c r="AP172" s="228">
        <v>276.52</v>
      </c>
      <c r="AQ172" s="228">
        <v>278.01</v>
      </c>
      <c r="AR172" s="228">
        <v>0</v>
      </c>
      <c r="AS172" s="228">
        <v>36</v>
      </c>
      <c r="AT172" s="228">
        <v>104</v>
      </c>
      <c r="AU172" s="228">
        <v>-68</v>
      </c>
      <c r="AV172" s="229">
        <v>-0.65759999999999996</v>
      </c>
      <c r="AW172" s="228">
        <v>35</v>
      </c>
      <c r="AX172" s="228">
        <v>103</v>
      </c>
      <c r="AY172" s="228">
        <v>-68</v>
      </c>
      <c r="AZ172" s="229">
        <v>-0.65869999999999995</v>
      </c>
      <c r="BA172" s="228">
        <v>1</v>
      </c>
      <c r="BB172" s="228">
        <v>1</v>
      </c>
      <c r="BC172" s="228">
        <v>-1</v>
      </c>
      <c r="BD172" s="229">
        <v>-0.57140000000000002</v>
      </c>
      <c r="BE172" s="228">
        <v>0</v>
      </c>
      <c r="BF172" s="228">
        <v>0</v>
      </c>
      <c r="BG172" s="228">
        <v>0</v>
      </c>
      <c r="BH172" s="229">
        <v>0</v>
      </c>
      <c r="BI172" s="228">
        <v>20</v>
      </c>
      <c r="BJ172" s="228">
        <v>26</v>
      </c>
      <c r="BK172" s="228">
        <v>-6</v>
      </c>
      <c r="BL172" s="229">
        <v>-0.22559999999999999</v>
      </c>
      <c r="BM172" s="228">
        <v>7</v>
      </c>
      <c r="BN172" s="228">
        <v>6</v>
      </c>
      <c r="BO172" s="228">
        <v>1</v>
      </c>
      <c r="BP172" s="229">
        <v>0.14080000000000001</v>
      </c>
      <c r="BQ172" s="228">
        <v>63</v>
      </c>
      <c r="BR172" s="228">
        <v>137</v>
      </c>
      <c r="BS172" s="228">
        <v>-73</v>
      </c>
      <c r="BT172" s="229">
        <v>-0.53810000000000002</v>
      </c>
      <c r="BU172" s="230">
        <v>7224789</v>
      </c>
      <c r="BV172" s="230">
        <v>10598380</v>
      </c>
      <c r="BW172" s="230">
        <v>-3373591</v>
      </c>
      <c r="BX172" s="229">
        <v>-0.31830000000000003</v>
      </c>
      <c r="BY172" s="230">
        <v>2503</v>
      </c>
      <c r="BZ172" s="230">
        <v>2536</v>
      </c>
      <c r="CA172" s="228">
        <v>-34</v>
      </c>
      <c r="CB172" s="229">
        <v>-1.3299999999999999E-2</v>
      </c>
      <c r="CC172" s="230">
        <v>2396</v>
      </c>
      <c r="CD172" s="230">
        <v>2430</v>
      </c>
      <c r="CE172" s="228">
        <v>-33</v>
      </c>
      <c r="CF172" s="229">
        <v>-1.37E-2</v>
      </c>
      <c r="CG172" s="228">
        <v>102</v>
      </c>
      <c r="CH172" s="228">
        <v>103</v>
      </c>
      <c r="CI172" s="228">
        <v>-1</v>
      </c>
      <c r="CJ172" s="229">
        <v>-5.1000000000000004E-3</v>
      </c>
      <c r="CK172" s="228">
        <v>4</v>
      </c>
      <c r="CL172" s="228">
        <v>4</v>
      </c>
      <c r="CM172" s="228">
        <v>0</v>
      </c>
      <c r="CN172" s="229">
        <v>0</v>
      </c>
      <c r="CO172" s="228">
        <v>709</v>
      </c>
      <c r="CP172" s="228">
        <v>729</v>
      </c>
      <c r="CQ172" s="228">
        <v>-20</v>
      </c>
      <c r="CR172" s="229">
        <v>-2.76E-2</v>
      </c>
      <c r="CS172" s="228">
        <v>300</v>
      </c>
      <c r="CT172" s="228">
        <v>307</v>
      </c>
      <c r="CU172" s="228">
        <v>-7</v>
      </c>
      <c r="CV172" s="229">
        <v>-2.2700000000000001E-2</v>
      </c>
      <c r="CW172" s="230">
        <v>3511</v>
      </c>
      <c r="CX172" s="230">
        <v>3572</v>
      </c>
      <c r="CY172" s="228">
        <v>-61</v>
      </c>
      <c r="CZ172" s="229">
        <v>-1.7000000000000001E-2</v>
      </c>
      <c r="DA172" s="228">
        <v>44.14</v>
      </c>
      <c r="DB172" s="228">
        <v>44.96</v>
      </c>
      <c r="DC172" s="228">
        <v>-0.82</v>
      </c>
      <c r="DD172" s="228">
        <v>-0.82</v>
      </c>
      <c r="DE172" s="228">
        <v>46.82</v>
      </c>
      <c r="DF172" s="228">
        <v>46.94</v>
      </c>
      <c r="DG172" s="228">
        <v>-2.68</v>
      </c>
      <c r="DH172" s="228">
        <v>-0.12</v>
      </c>
      <c r="DI172" s="228">
        <v>43.31</v>
      </c>
      <c r="DJ172" s="228">
        <v>44.97</v>
      </c>
      <c r="DK172" s="228">
        <v>-1.66</v>
      </c>
      <c r="DL172" s="228">
        <v>-1.66</v>
      </c>
      <c r="DM172" s="228">
        <v>46.52</v>
      </c>
      <c r="DN172" s="228">
        <v>44.93</v>
      </c>
      <c r="DO172" s="228">
        <v>1.59</v>
      </c>
      <c r="DP172" s="228">
        <v>1.59</v>
      </c>
      <c r="DQ172" s="228">
        <v>0.42</v>
      </c>
      <c r="DR172" s="228">
        <v>0.42</v>
      </c>
      <c r="DS172" s="228">
        <v>0</v>
      </c>
      <c r="DT172" s="229">
        <v>0</v>
      </c>
      <c r="DU172" s="228">
        <v>300</v>
      </c>
      <c r="DV172" s="228">
        <v>250</v>
      </c>
      <c r="DW172" s="228">
        <v>0.35</v>
      </c>
      <c r="DX172" s="228">
        <v>0.24</v>
      </c>
      <c r="DY172" s="228">
        <v>0.11</v>
      </c>
      <c r="DZ172" s="229">
        <v>0.45829999999999999</v>
      </c>
      <c r="EA172" s="229">
        <v>4.2500000000000003E-2</v>
      </c>
      <c r="EB172" s="230">
        <v>3848100</v>
      </c>
      <c r="EC172" s="229">
        <v>2.7000000000000001E-3</v>
      </c>
      <c r="ED172" s="229">
        <v>4.2500000000000003E-2</v>
      </c>
      <c r="EE172" s="228">
        <v>1.49</v>
      </c>
      <c r="EF172" s="229">
        <v>5.4000000000000003E-3</v>
      </c>
      <c r="EG172" s="230">
        <v>3162010</v>
      </c>
      <c r="EH172" s="230">
        <v>5339977</v>
      </c>
      <c r="EI172" s="229">
        <v>-0.40789999999999998</v>
      </c>
      <c r="EJ172" s="229">
        <v>0.43769999999999998</v>
      </c>
      <c r="EK172" s="228">
        <v>21.96</v>
      </c>
      <c r="EL172" s="228">
        <v>6.89</v>
      </c>
      <c r="EM172" s="228">
        <v>35.47</v>
      </c>
      <c r="EN172" s="228">
        <v>98.08</v>
      </c>
      <c r="EO172" s="228">
        <v>64.319999999999993</v>
      </c>
      <c r="EP172" s="228">
        <v>138.19999999999999</v>
      </c>
      <c r="EQ172" s="228">
        <v>-73.88</v>
      </c>
      <c r="ER172" s="229">
        <v>-0.53459999999999996</v>
      </c>
      <c r="ES172" s="228">
        <v>734.36</v>
      </c>
      <c r="ET172" s="228">
        <v>279.83999999999997</v>
      </c>
      <c r="EU172" s="231">
        <v>2502.94</v>
      </c>
      <c r="EV172" s="231">
        <v>91351468</v>
      </c>
      <c r="EW172" s="231">
        <v>3517.14</v>
      </c>
      <c r="EX172" s="231">
        <v>3574.05</v>
      </c>
      <c r="EY172" s="228">
        <v>-56.91</v>
      </c>
      <c r="EZ172" s="229">
        <v>-1.5900000000000001E-2</v>
      </c>
      <c r="FA172" s="229">
        <v>1.3835999999999999</v>
      </c>
      <c r="FB172" s="227" t="s">
        <v>556</v>
      </c>
      <c r="FC172">
        <f t="shared" si="3"/>
        <v>0</v>
      </c>
    </row>
    <row r="173" spans="1:159" ht="17.25" thickBot="1" x14ac:dyDescent="0.3">
      <c r="A173" s="226">
        <v>45936</v>
      </c>
      <c r="B173" s="227" t="s">
        <v>175</v>
      </c>
      <c r="C173" s="227" t="s">
        <v>280</v>
      </c>
      <c r="D173" s="228">
        <v>1275</v>
      </c>
      <c r="E173" s="228">
        <v>22</v>
      </c>
      <c r="F173" s="228">
        <v>379.6</v>
      </c>
      <c r="G173" s="228">
        <v>381.8</v>
      </c>
      <c r="H173" s="228">
        <v>-2.2000000000000002</v>
      </c>
      <c r="I173" s="229">
        <v>-5.7999999999999996E-3</v>
      </c>
      <c r="J173" s="228">
        <v>378.05</v>
      </c>
      <c r="K173" s="228">
        <v>380.35</v>
      </c>
      <c r="L173" s="228">
        <v>-2.2999999999999998</v>
      </c>
      <c r="M173" s="229">
        <v>-6.0000000000000001E-3</v>
      </c>
      <c r="N173" s="228">
        <v>379.6</v>
      </c>
      <c r="O173" s="228">
        <v>381.8</v>
      </c>
      <c r="P173" s="228">
        <v>-2.2000000000000002</v>
      </c>
      <c r="Q173" s="229">
        <v>-5.7999999999999996E-3</v>
      </c>
      <c r="R173" s="228">
        <v>378.6</v>
      </c>
      <c r="S173" s="228">
        <v>380.9</v>
      </c>
      <c r="T173" s="228">
        <v>-2.2999999999999998</v>
      </c>
      <c r="U173" s="229">
        <v>-6.0000000000000001E-3</v>
      </c>
      <c r="V173" s="228">
        <v>381.15</v>
      </c>
      <c r="W173" s="228">
        <v>382.8</v>
      </c>
      <c r="X173" s="228">
        <v>-1.65</v>
      </c>
      <c r="Y173" s="229">
        <v>-4.3E-3</v>
      </c>
      <c r="Z173" s="228">
        <v>1.55</v>
      </c>
      <c r="AA173" s="228">
        <v>1.45</v>
      </c>
      <c r="AB173" s="228">
        <v>0.1</v>
      </c>
      <c r="AC173" s="229">
        <v>4.1000000000000003E-3</v>
      </c>
      <c r="AD173" s="228">
        <v>1.55</v>
      </c>
      <c r="AE173" s="228">
        <v>1.45</v>
      </c>
      <c r="AF173" s="228">
        <v>0.1</v>
      </c>
      <c r="AG173" s="229">
        <v>4.1000000000000003E-3</v>
      </c>
      <c r="AH173" s="228">
        <v>0.55000000000000004</v>
      </c>
      <c r="AI173" s="228">
        <v>0.55000000000000004</v>
      </c>
      <c r="AJ173" s="228">
        <v>0</v>
      </c>
      <c r="AK173" s="229">
        <v>1.5E-3</v>
      </c>
      <c r="AL173" s="228">
        <v>3.1</v>
      </c>
      <c r="AM173" s="228">
        <v>2.4500000000000002</v>
      </c>
      <c r="AN173" s="228">
        <v>0.65</v>
      </c>
      <c r="AO173" s="229">
        <v>8.2000000000000007E-3</v>
      </c>
      <c r="AP173" s="228">
        <v>379.4</v>
      </c>
      <c r="AQ173" s="228">
        <v>378.64</v>
      </c>
      <c r="AR173" s="228">
        <v>0</v>
      </c>
      <c r="AS173" s="228">
        <v>194</v>
      </c>
      <c r="AT173" s="228">
        <v>224</v>
      </c>
      <c r="AU173" s="228">
        <v>-30</v>
      </c>
      <c r="AV173" s="229">
        <v>-0.13389999999999999</v>
      </c>
      <c r="AW173" s="228">
        <v>150</v>
      </c>
      <c r="AX173" s="228">
        <v>197</v>
      </c>
      <c r="AY173" s="228">
        <v>-48</v>
      </c>
      <c r="AZ173" s="229">
        <v>-0.24199999999999999</v>
      </c>
      <c r="BA173" s="228">
        <v>39</v>
      </c>
      <c r="BB173" s="228">
        <v>21</v>
      </c>
      <c r="BC173" s="228">
        <v>17</v>
      </c>
      <c r="BD173" s="229">
        <v>0.80810000000000004</v>
      </c>
      <c r="BE173" s="228">
        <v>5</v>
      </c>
      <c r="BF173" s="228">
        <v>5</v>
      </c>
      <c r="BG173" s="228">
        <v>0</v>
      </c>
      <c r="BH173" s="229">
        <v>9.9000000000000005E-2</v>
      </c>
      <c r="BI173" s="228">
        <v>453</v>
      </c>
      <c r="BJ173" s="228">
        <v>574</v>
      </c>
      <c r="BK173" s="228">
        <v>-121</v>
      </c>
      <c r="BL173" s="229">
        <v>-0.21079999999999999</v>
      </c>
      <c r="BM173" s="228">
        <v>282</v>
      </c>
      <c r="BN173" s="228">
        <v>303</v>
      </c>
      <c r="BO173" s="228">
        <v>-21</v>
      </c>
      <c r="BP173" s="229">
        <v>-6.93E-2</v>
      </c>
      <c r="BQ173" s="228">
        <v>929</v>
      </c>
      <c r="BR173" s="230">
        <v>1101</v>
      </c>
      <c r="BS173" s="228">
        <v>-172</v>
      </c>
      <c r="BT173" s="229">
        <v>-0.15620000000000001</v>
      </c>
      <c r="BU173" s="230">
        <v>2942217</v>
      </c>
      <c r="BV173" s="230">
        <v>3553236</v>
      </c>
      <c r="BW173" s="230">
        <v>-611019</v>
      </c>
      <c r="BX173" s="229">
        <v>-0.17199999999999999</v>
      </c>
      <c r="BY173" s="230">
        <v>3014</v>
      </c>
      <c r="BZ173" s="230">
        <v>2988</v>
      </c>
      <c r="CA173" s="228">
        <v>25</v>
      </c>
      <c r="CB173" s="229">
        <v>8.5000000000000006E-3</v>
      </c>
      <c r="CC173" s="230">
        <v>2611</v>
      </c>
      <c r="CD173" s="230">
        <v>2609</v>
      </c>
      <c r="CE173" s="228">
        <v>2</v>
      </c>
      <c r="CF173" s="229">
        <v>8.0000000000000004E-4</v>
      </c>
      <c r="CG173" s="228">
        <v>396</v>
      </c>
      <c r="CH173" s="228">
        <v>376</v>
      </c>
      <c r="CI173" s="228">
        <v>20</v>
      </c>
      <c r="CJ173" s="229">
        <v>5.2400000000000002E-2</v>
      </c>
      <c r="CK173" s="228">
        <v>7</v>
      </c>
      <c r="CL173" s="228">
        <v>4</v>
      </c>
      <c r="CM173" s="228">
        <v>4</v>
      </c>
      <c r="CN173" s="229">
        <v>0.96150000000000002</v>
      </c>
      <c r="CO173" s="228">
        <v>835</v>
      </c>
      <c r="CP173" s="228">
        <v>781</v>
      </c>
      <c r="CQ173" s="228">
        <v>54</v>
      </c>
      <c r="CR173" s="229">
        <v>6.88E-2</v>
      </c>
      <c r="CS173" s="228">
        <v>810</v>
      </c>
      <c r="CT173" s="228">
        <v>762</v>
      </c>
      <c r="CU173" s="228">
        <v>48</v>
      </c>
      <c r="CV173" s="229">
        <v>6.2600000000000003E-2</v>
      </c>
      <c r="CW173" s="230">
        <v>4659</v>
      </c>
      <c r="CX173" s="230">
        <v>4532</v>
      </c>
      <c r="CY173" s="228">
        <v>127</v>
      </c>
      <c r="CZ173" s="229">
        <v>2.8000000000000001E-2</v>
      </c>
      <c r="DA173" s="228">
        <v>28.29</v>
      </c>
      <c r="DB173" s="228">
        <v>26.6</v>
      </c>
      <c r="DC173" s="228">
        <v>1.69</v>
      </c>
      <c r="DD173" s="228">
        <v>1.69</v>
      </c>
      <c r="DE173" s="228">
        <v>45.76</v>
      </c>
      <c r="DF173" s="228">
        <v>45.86</v>
      </c>
      <c r="DG173" s="228">
        <v>-17.47</v>
      </c>
      <c r="DH173" s="228">
        <v>-0.1</v>
      </c>
      <c r="DI173" s="228">
        <v>27.55</v>
      </c>
      <c r="DJ173" s="228">
        <v>26.05</v>
      </c>
      <c r="DK173" s="228">
        <v>1.5</v>
      </c>
      <c r="DL173" s="228">
        <v>1.5</v>
      </c>
      <c r="DM173" s="228">
        <v>29.47</v>
      </c>
      <c r="DN173" s="228">
        <v>27.65</v>
      </c>
      <c r="DO173" s="228">
        <v>1.82</v>
      </c>
      <c r="DP173" s="228">
        <v>1.82</v>
      </c>
      <c r="DQ173" s="228">
        <v>0.97</v>
      </c>
      <c r="DR173" s="228">
        <v>0.98</v>
      </c>
      <c r="DS173" s="228">
        <v>-0.01</v>
      </c>
      <c r="DT173" s="229">
        <v>-1.0200000000000001E-2</v>
      </c>
      <c r="DU173" s="228">
        <v>400</v>
      </c>
      <c r="DV173" s="228">
        <v>340</v>
      </c>
      <c r="DW173" s="228">
        <v>0.62</v>
      </c>
      <c r="DX173" s="228">
        <v>0.53</v>
      </c>
      <c r="DY173" s="228">
        <v>0.09</v>
      </c>
      <c r="DZ173" s="229">
        <v>0.16980000000000001</v>
      </c>
      <c r="EA173" s="229">
        <v>0.13370000000000001</v>
      </c>
      <c r="EB173" s="230">
        <v>9999825</v>
      </c>
      <c r="EC173" s="229">
        <v>-2.5999999999999999E-3</v>
      </c>
      <c r="ED173" s="229">
        <v>0.13370000000000001</v>
      </c>
      <c r="EE173" s="228">
        <v>-0.76</v>
      </c>
      <c r="EF173" s="229">
        <v>-2E-3</v>
      </c>
      <c r="EG173" s="230">
        <v>1570442</v>
      </c>
      <c r="EH173" s="230">
        <v>1835213</v>
      </c>
      <c r="EI173" s="229">
        <v>-0.14430000000000001</v>
      </c>
      <c r="EJ173" s="229">
        <v>0.53380000000000005</v>
      </c>
      <c r="EK173" s="228">
        <v>474.49</v>
      </c>
      <c r="EL173" s="228">
        <v>276.12</v>
      </c>
      <c r="EM173" s="228">
        <v>193.63</v>
      </c>
      <c r="EN173" s="228">
        <v>242.2</v>
      </c>
      <c r="EO173" s="228">
        <v>944.24</v>
      </c>
      <c r="EP173" s="231">
        <v>1125.0999999999999</v>
      </c>
      <c r="EQ173" s="228">
        <v>-180.86</v>
      </c>
      <c r="ER173" s="229">
        <v>-0.16070000000000001</v>
      </c>
      <c r="ES173" s="228">
        <v>870.65</v>
      </c>
      <c r="ET173" s="228">
        <v>779.97</v>
      </c>
      <c r="EU173" s="231">
        <v>3012.89</v>
      </c>
      <c r="EV173" s="231">
        <v>187084550</v>
      </c>
      <c r="EW173" s="231">
        <v>4663.51</v>
      </c>
      <c r="EX173" s="231">
        <v>4552.8900000000003</v>
      </c>
      <c r="EY173" s="228">
        <v>110.62</v>
      </c>
      <c r="EZ173" s="229">
        <v>2.4299999999999999E-2</v>
      </c>
      <c r="FA173" s="229">
        <v>0.65600000000000003</v>
      </c>
      <c r="FB173" s="227" t="s">
        <v>567</v>
      </c>
      <c r="FC173">
        <f t="shared" si="3"/>
        <v>0</v>
      </c>
    </row>
    <row r="174" spans="1:159" ht="17.25" thickBot="1" x14ac:dyDescent="0.3">
      <c r="A174" s="226">
        <v>45936</v>
      </c>
      <c r="B174" s="227" t="s">
        <v>193</v>
      </c>
      <c r="C174" s="227" t="s">
        <v>281</v>
      </c>
      <c r="D174" s="228">
        <v>500</v>
      </c>
      <c r="E174" s="228">
        <v>22</v>
      </c>
      <c r="F174" s="231">
        <v>1383.2</v>
      </c>
      <c r="G174" s="231">
        <v>1371.3</v>
      </c>
      <c r="H174" s="228">
        <v>11.9</v>
      </c>
      <c r="I174" s="229">
        <v>8.6999999999999994E-3</v>
      </c>
      <c r="J174" s="231">
        <v>1375</v>
      </c>
      <c r="K174" s="231">
        <v>1363.4</v>
      </c>
      <c r="L174" s="228">
        <v>11.6</v>
      </c>
      <c r="M174" s="229">
        <v>8.5000000000000006E-3</v>
      </c>
      <c r="N174" s="231">
        <v>1383.2</v>
      </c>
      <c r="O174" s="231">
        <v>1371.3</v>
      </c>
      <c r="P174" s="228">
        <v>11.9</v>
      </c>
      <c r="Q174" s="229">
        <v>8.6999999999999994E-3</v>
      </c>
      <c r="R174" s="231">
        <v>1390.5</v>
      </c>
      <c r="S174" s="231">
        <v>1378.6</v>
      </c>
      <c r="T174" s="228">
        <v>11.9</v>
      </c>
      <c r="U174" s="229">
        <v>8.6E-3</v>
      </c>
      <c r="V174" s="231">
        <v>1399.2</v>
      </c>
      <c r="W174" s="231">
        <v>1387.7</v>
      </c>
      <c r="X174" s="228">
        <v>11.5</v>
      </c>
      <c r="Y174" s="229">
        <v>8.3000000000000001E-3</v>
      </c>
      <c r="Z174" s="228">
        <v>8.1999999999999993</v>
      </c>
      <c r="AA174" s="228">
        <v>7.9</v>
      </c>
      <c r="AB174" s="228">
        <v>0.3</v>
      </c>
      <c r="AC174" s="229">
        <v>6.0000000000000001E-3</v>
      </c>
      <c r="AD174" s="228">
        <v>8.1999999999999993</v>
      </c>
      <c r="AE174" s="228">
        <v>7.9</v>
      </c>
      <c r="AF174" s="228">
        <v>0.3</v>
      </c>
      <c r="AG174" s="229">
        <v>6.0000000000000001E-3</v>
      </c>
      <c r="AH174" s="228">
        <v>15.5</v>
      </c>
      <c r="AI174" s="228">
        <v>15.2</v>
      </c>
      <c r="AJ174" s="228">
        <v>0.3</v>
      </c>
      <c r="AK174" s="229">
        <v>1.1299999999999999E-2</v>
      </c>
      <c r="AL174" s="228">
        <v>24.2</v>
      </c>
      <c r="AM174" s="228">
        <v>24.3</v>
      </c>
      <c r="AN174" s="228">
        <v>-0.1</v>
      </c>
      <c r="AO174" s="229">
        <v>1.7600000000000001E-2</v>
      </c>
      <c r="AP174" s="231">
        <v>1377.69</v>
      </c>
      <c r="AQ174" s="231">
        <v>1384.64</v>
      </c>
      <c r="AR174" s="228">
        <v>0</v>
      </c>
      <c r="AS174" s="230">
        <v>2178</v>
      </c>
      <c r="AT174" s="230">
        <v>1673</v>
      </c>
      <c r="AU174" s="228">
        <v>504</v>
      </c>
      <c r="AV174" s="229">
        <v>0.30120000000000002</v>
      </c>
      <c r="AW174" s="230">
        <v>1912</v>
      </c>
      <c r="AX174" s="230">
        <v>1566</v>
      </c>
      <c r="AY174" s="228">
        <v>346</v>
      </c>
      <c r="AZ174" s="229">
        <v>0.22070000000000001</v>
      </c>
      <c r="BA174" s="228">
        <v>95</v>
      </c>
      <c r="BB174" s="228">
        <v>85</v>
      </c>
      <c r="BC174" s="228">
        <v>9</v>
      </c>
      <c r="BD174" s="229">
        <v>0.1077</v>
      </c>
      <c r="BE174" s="228">
        <v>171</v>
      </c>
      <c r="BF174" s="228">
        <v>22</v>
      </c>
      <c r="BG174" s="228">
        <v>149</v>
      </c>
      <c r="BH174" s="229">
        <v>6.8475999999999999</v>
      </c>
      <c r="BI174" s="230">
        <v>7220</v>
      </c>
      <c r="BJ174" s="230">
        <v>5592</v>
      </c>
      <c r="BK174" s="230">
        <v>1628</v>
      </c>
      <c r="BL174" s="229">
        <v>0.29099999999999998</v>
      </c>
      <c r="BM174" s="230">
        <v>3641</v>
      </c>
      <c r="BN174" s="230">
        <v>3271</v>
      </c>
      <c r="BO174" s="228">
        <v>371</v>
      </c>
      <c r="BP174" s="229">
        <v>0.1134</v>
      </c>
      <c r="BQ174" s="230">
        <v>13039</v>
      </c>
      <c r="BR174" s="230">
        <v>10536</v>
      </c>
      <c r="BS174" s="230">
        <v>2503</v>
      </c>
      <c r="BT174" s="229">
        <v>0.23749999999999999</v>
      </c>
      <c r="BU174" s="230">
        <v>13071472</v>
      </c>
      <c r="BV174" s="230">
        <v>13711629</v>
      </c>
      <c r="BW174" s="230">
        <v>-640157</v>
      </c>
      <c r="BX174" s="229">
        <v>-4.6699999999999998E-2</v>
      </c>
      <c r="BY174" s="230">
        <v>18812</v>
      </c>
      <c r="BZ174" s="230">
        <v>18642</v>
      </c>
      <c r="CA174" s="228">
        <v>170</v>
      </c>
      <c r="CB174" s="229">
        <v>9.1000000000000004E-3</v>
      </c>
      <c r="CC174" s="230">
        <v>17913</v>
      </c>
      <c r="CD174" s="230">
        <v>17919</v>
      </c>
      <c r="CE174" s="228">
        <v>-6</v>
      </c>
      <c r="CF174" s="229">
        <v>-2.9999999999999997E-4</v>
      </c>
      <c r="CG174" s="228">
        <v>718</v>
      </c>
      <c r="CH174" s="228">
        <v>699</v>
      </c>
      <c r="CI174" s="228">
        <v>20</v>
      </c>
      <c r="CJ174" s="229">
        <v>2.8400000000000002E-2</v>
      </c>
      <c r="CK174" s="228">
        <v>180</v>
      </c>
      <c r="CL174" s="228">
        <v>24</v>
      </c>
      <c r="CM174" s="228">
        <v>156</v>
      </c>
      <c r="CN174" s="229">
        <v>6.3643999999999998</v>
      </c>
      <c r="CO174" s="230">
        <v>5875</v>
      </c>
      <c r="CP174" s="230">
        <v>5777</v>
      </c>
      <c r="CQ174" s="228">
        <v>98</v>
      </c>
      <c r="CR174" s="229">
        <v>1.6899999999999998E-2</v>
      </c>
      <c r="CS174" s="230">
        <v>4671</v>
      </c>
      <c r="CT174" s="230">
        <v>4487</v>
      </c>
      <c r="CU174" s="228">
        <v>184</v>
      </c>
      <c r="CV174" s="229">
        <v>4.1099999999999998E-2</v>
      </c>
      <c r="CW174" s="230">
        <v>29358</v>
      </c>
      <c r="CX174" s="230">
        <v>28906</v>
      </c>
      <c r="CY174" s="228">
        <v>452</v>
      </c>
      <c r="CZ174" s="229">
        <v>1.5599999999999999E-2</v>
      </c>
      <c r="DA174" s="228">
        <v>18.920000000000002</v>
      </c>
      <c r="DB174" s="228">
        <v>18.600000000000001</v>
      </c>
      <c r="DC174" s="228">
        <v>0.32</v>
      </c>
      <c r="DD174" s="228">
        <v>0.32</v>
      </c>
      <c r="DE174" s="228">
        <v>24.53</v>
      </c>
      <c r="DF174" s="228">
        <v>24.57</v>
      </c>
      <c r="DG174" s="228">
        <v>-5.61</v>
      </c>
      <c r="DH174" s="228">
        <v>-0.04</v>
      </c>
      <c r="DI174" s="228">
        <v>18.760000000000002</v>
      </c>
      <c r="DJ174" s="228">
        <v>18.5</v>
      </c>
      <c r="DK174" s="228">
        <v>0.26</v>
      </c>
      <c r="DL174" s="228">
        <v>0.26</v>
      </c>
      <c r="DM174" s="228">
        <v>19.239999999999998</v>
      </c>
      <c r="DN174" s="228">
        <v>18.760000000000002</v>
      </c>
      <c r="DO174" s="228">
        <v>0.48</v>
      </c>
      <c r="DP174" s="228">
        <v>0.48</v>
      </c>
      <c r="DQ174" s="228">
        <v>0.8</v>
      </c>
      <c r="DR174" s="228">
        <v>0.78</v>
      </c>
      <c r="DS174" s="228">
        <v>0.02</v>
      </c>
      <c r="DT174" s="229">
        <v>2.5600000000000001E-2</v>
      </c>
      <c r="DU174" s="231">
        <v>1400</v>
      </c>
      <c r="DV174" s="231">
        <v>1400</v>
      </c>
      <c r="DW174" s="228">
        <v>0.5</v>
      </c>
      <c r="DX174" s="228">
        <v>0.57999999999999996</v>
      </c>
      <c r="DY174" s="228">
        <v>-0.08</v>
      </c>
      <c r="DZ174" s="229">
        <v>-0.13789999999999999</v>
      </c>
      <c r="EA174" s="229">
        <v>4.7800000000000002E-2</v>
      </c>
      <c r="EB174" s="230">
        <v>5227000</v>
      </c>
      <c r="EC174" s="229">
        <v>5.3E-3</v>
      </c>
      <c r="ED174" s="229">
        <v>4.7800000000000002E-2</v>
      </c>
      <c r="EE174" s="228">
        <v>6.95</v>
      </c>
      <c r="EF174" s="229">
        <v>5.0000000000000001E-3</v>
      </c>
      <c r="EG174" s="230">
        <v>8946348</v>
      </c>
      <c r="EH174" s="230">
        <v>8792489</v>
      </c>
      <c r="EI174" s="229">
        <v>1.7500000000000002E-2</v>
      </c>
      <c r="EJ174" s="229">
        <v>0.68440000000000001</v>
      </c>
      <c r="EK174" s="231">
        <v>7418.36</v>
      </c>
      <c r="EL174" s="231">
        <v>3581.27</v>
      </c>
      <c r="EM174" s="231">
        <v>2170.9499999999998</v>
      </c>
      <c r="EN174" s="228">
        <v>634.85</v>
      </c>
      <c r="EO174" s="231">
        <v>13170.58</v>
      </c>
      <c r="EP174" s="231">
        <v>10609.3</v>
      </c>
      <c r="EQ174" s="231">
        <v>2561.27</v>
      </c>
      <c r="ER174" s="229">
        <v>0.2414</v>
      </c>
      <c r="ES174" s="231">
        <v>6046.7</v>
      </c>
      <c r="ET174" s="231">
        <v>4635.1000000000004</v>
      </c>
      <c r="EU174" s="231">
        <v>18817.88</v>
      </c>
      <c r="EV174" s="231">
        <v>662701060</v>
      </c>
      <c r="EW174" s="231">
        <v>29499.68</v>
      </c>
      <c r="EX174" s="231">
        <v>28882.83</v>
      </c>
      <c r="EY174" s="228">
        <v>616.85</v>
      </c>
      <c r="EZ174" s="229">
        <v>2.1399999999999999E-2</v>
      </c>
      <c r="FA174" s="229">
        <v>0.32029999999999997</v>
      </c>
      <c r="FB174" s="227" t="s">
        <v>555</v>
      </c>
      <c r="FC174">
        <f t="shared" si="3"/>
        <v>0</v>
      </c>
    </row>
    <row r="175" spans="1:159" ht="17.25" thickBot="1" x14ac:dyDescent="0.3">
      <c r="A175" s="226">
        <v>45936</v>
      </c>
      <c r="B175" s="227" t="s">
        <v>215</v>
      </c>
      <c r="C175" s="227" t="s">
        <v>677</v>
      </c>
      <c r="D175" s="228">
        <v>1375</v>
      </c>
      <c r="E175" s="228">
        <v>22</v>
      </c>
      <c r="F175" s="228">
        <v>341.2</v>
      </c>
      <c r="G175" s="228">
        <v>341.45</v>
      </c>
      <c r="H175" s="228">
        <v>-0.25</v>
      </c>
      <c r="I175" s="229">
        <v>-6.9999999999999999E-4</v>
      </c>
      <c r="J175" s="228">
        <v>346.6</v>
      </c>
      <c r="K175" s="228">
        <v>347.05</v>
      </c>
      <c r="L175" s="228">
        <v>-0.45</v>
      </c>
      <c r="M175" s="229">
        <v>-1.2999999999999999E-3</v>
      </c>
      <c r="N175" s="228">
        <v>341.2</v>
      </c>
      <c r="O175" s="228">
        <v>341.45</v>
      </c>
      <c r="P175" s="228">
        <v>-0.25</v>
      </c>
      <c r="Q175" s="229">
        <v>-6.9999999999999999E-4</v>
      </c>
      <c r="R175" s="228">
        <v>334.15</v>
      </c>
      <c r="S175" s="228">
        <v>335.35</v>
      </c>
      <c r="T175" s="228">
        <v>-1.2</v>
      </c>
      <c r="U175" s="229">
        <v>-3.5999999999999999E-3</v>
      </c>
      <c r="V175" s="228">
        <v>329.35</v>
      </c>
      <c r="W175" s="228">
        <v>330.95</v>
      </c>
      <c r="X175" s="228">
        <v>-1.6</v>
      </c>
      <c r="Y175" s="229">
        <v>-4.7999999999999996E-3</v>
      </c>
      <c r="Z175" s="228">
        <v>-5.4</v>
      </c>
      <c r="AA175" s="228">
        <v>-5.6</v>
      </c>
      <c r="AB175" s="228">
        <v>0.2</v>
      </c>
      <c r="AC175" s="229">
        <v>-1.5599999999999999E-2</v>
      </c>
      <c r="AD175" s="228">
        <v>-5.4</v>
      </c>
      <c r="AE175" s="228">
        <v>-5.6</v>
      </c>
      <c r="AF175" s="228">
        <v>0.2</v>
      </c>
      <c r="AG175" s="229">
        <v>-1.5599999999999999E-2</v>
      </c>
      <c r="AH175" s="228">
        <v>-12.45</v>
      </c>
      <c r="AI175" s="228">
        <v>-11.7</v>
      </c>
      <c r="AJ175" s="228">
        <v>-0.75</v>
      </c>
      <c r="AK175" s="229">
        <v>-3.5900000000000001E-2</v>
      </c>
      <c r="AL175" s="228">
        <v>-17.25</v>
      </c>
      <c r="AM175" s="228">
        <v>-16.100000000000001</v>
      </c>
      <c r="AN175" s="228">
        <v>-1.1499999999999999</v>
      </c>
      <c r="AO175" s="229">
        <v>-4.9799999999999997E-2</v>
      </c>
      <c r="AP175" s="228">
        <v>339.18</v>
      </c>
      <c r="AQ175" s="228">
        <v>332.48</v>
      </c>
      <c r="AR175" s="228">
        <v>0</v>
      </c>
      <c r="AS175" s="228">
        <v>104</v>
      </c>
      <c r="AT175" s="228">
        <v>141</v>
      </c>
      <c r="AU175" s="228">
        <v>-36</v>
      </c>
      <c r="AV175" s="229">
        <v>-0.25950000000000001</v>
      </c>
      <c r="AW175" s="228">
        <v>78</v>
      </c>
      <c r="AX175" s="228">
        <v>115</v>
      </c>
      <c r="AY175" s="228">
        <v>-36</v>
      </c>
      <c r="AZ175" s="229">
        <v>-0.315</v>
      </c>
      <c r="BA175" s="228">
        <v>21</v>
      </c>
      <c r="BB175" s="228">
        <v>20</v>
      </c>
      <c r="BC175" s="228">
        <v>1</v>
      </c>
      <c r="BD175" s="229">
        <v>5.8500000000000003E-2</v>
      </c>
      <c r="BE175" s="228">
        <v>5</v>
      </c>
      <c r="BF175" s="228">
        <v>6</v>
      </c>
      <c r="BG175" s="228">
        <v>-2</v>
      </c>
      <c r="BH175" s="229">
        <v>-0.26150000000000001</v>
      </c>
      <c r="BI175" s="228">
        <v>319</v>
      </c>
      <c r="BJ175" s="228">
        <v>374</v>
      </c>
      <c r="BK175" s="228">
        <v>-55</v>
      </c>
      <c r="BL175" s="229">
        <v>-0.1464</v>
      </c>
      <c r="BM175" s="228">
        <v>64</v>
      </c>
      <c r="BN175" s="228">
        <v>90</v>
      </c>
      <c r="BO175" s="228">
        <v>-25</v>
      </c>
      <c r="BP175" s="229">
        <v>-0.28189999999999998</v>
      </c>
      <c r="BQ175" s="228">
        <v>488</v>
      </c>
      <c r="BR175" s="228">
        <v>604</v>
      </c>
      <c r="BS175" s="228">
        <v>-117</v>
      </c>
      <c r="BT175" s="229">
        <v>-0.1928</v>
      </c>
      <c r="BU175" s="230">
        <v>2962411</v>
      </c>
      <c r="BV175" s="230">
        <v>3543156</v>
      </c>
      <c r="BW175" s="230">
        <v>-580745</v>
      </c>
      <c r="BX175" s="229">
        <v>-0.16389999999999999</v>
      </c>
      <c r="BY175" s="230">
        <v>1103</v>
      </c>
      <c r="BZ175" s="230">
        <v>1084</v>
      </c>
      <c r="CA175" s="228">
        <v>20</v>
      </c>
      <c r="CB175" s="229">
        <v>1.84E-2</v>
      </c>
      <c r="CC175" s="230">
        <v>1010</v>
      </c>
      <c r="CD175" s="228">
        <v>998</v>
      </c>
      <c r="CE175" s="228">
        <v>12</v>
      </c>
      <c r="CF175" s="229">
        <v>1.2200000000000001E-2</v>
      </c>
      <c r="CG175" s="228">
        <v>84</v>
      </c>
      <c r="CH175" s="228">
        <v>79</v>
      </c>
      <c r="CI175" s="228">
        <v>5</v>
      </c>
      <c r="CJ175" s="229">
        <v>6.8099999999999994E-2</v>
      </c>
      <c r="CK175" s="228">
        <v>10</v>
      </c>
      <c r="CL175" s="228">
        <v>7</v>
      </c>
      <c r="CM175" s="228">
        <v>2</v>
      </c>
      <c r="CN175" s="229">
        <v>0.32690000000000002</v>
      </c>
      <c r="CO175" s="228">
        <v>451</v>
      </c>
      <c r="CP175" s="228">
        <v>422</v>
      </c>
      <c r="CQ175" s="228">
        <v>29</v>
      </c>
      <c r="CR175" s="229">
        <v>6.9400000000000003E-2</v>
      </c>
      <c r="CS175" s="228">
        <v>194</v>
      </c>
      <c r="CT175" s="228">
        <v>189</v>
      </c>
      <c r="CU175" s="228">
        <v>5</v>
      </c>
      <c r="CV175" s="229">
        <v>2.81E-2</v>
      </c>
      <c r="CW175" s="230">
        <v>1749</v>
      </c>
      <c r="CX175" s="230">
        <v>1694</v>
      </c>
      <c r="CY175" s="228">
        <v>55</v>
      </c>
      <c r="CZ175" s="229">
        <v>3.2199999999999999E-2</v>
      </c>
      <c r="DA175" s="228">
        <v>37.24</v>
      </c>
      <c r="DB175" s="228">
        <v>35.89</v>
      </c>
      <c r="DC175" s="228">
        <v>1.35</v>
      </c>
      <c r="DD175" s="228">
        <v>1.35</v>
      </c>
      <c r="DE175" s="228">
        <v>58.3</v>
      </c>
      <c r="DF175" s="228">
        <v>58.45</v>
      </c>
      <c r="DG175" s="228">
        <v>-21.06</v>
      </c>
      <c r="DH175" s="228">
        <v>-0.15</v>
      </c>
      <c r="DI175" s="228">
        <v>37.659999999999997</v>
      </c>
      <c r="DJ175" s="228">
        <v>36.369999999999997</v>
      </c>
      <c r="DK175" s="228">
        <v>1.29</v>
      </c>
      <c r="DL175" s="228">
        <v>1.29</v>
      </c>
      <c r="DM175" s="228">
        <v>35.159999999999997</v>
      </c>
      <c r="DN175" s="228">
        <v>33.869999999999997</v>
      </c>
      <c r="DO175" s="228">
        <v>1.29</v>
      </c>
      <c r="DP175" s="228">
        <v>1.29</v>
      </c>
      <c r="DQ175" s="228">
        <v>0.43</v>
      </c>
      <c r="DR175" s="228">
        <v>0.45</v>
      </c>
      <c r="DS175" s="228">
        <v>-0.02</v>
      </c>
      <c r="DT175" s="229">
        <v>-4.4400000000000002E-2</v>
      </c>
      <c r="DU175" s="228">
        <v>400</v>
      </c>
      <c r="DV175" s="228">
        <v>310</v>
      </c>
      <c r="DW175" s="228">
        <v>0.2</v>
      </c>
      <c r="DX175" s="228">
        <v>0.24</v>
      </c>
      <c r="DY175" s="228">
        <v>-0.04</v>
      </c>
      <c r="DZ175" s="229">
        <v>-0.16669999999999999</v>
      </c>
      <c r="EA175" s="229">
        <v>8.4900000000000003E-2</v>
      </c>
      <c r="EB175" s="230">
        <v>2517625</v>
      </c>
      <c r="EC175" s="229">
        <v>-2.07E-2</v>
      </c>
      <c r="ED175" s="229">
        <v>8.4900000000000003E-2</v>
      </c>
      <c r="EE175" s="228">
        <v>-6.7</v>
      </c>
      <c r="EF175" s="229">
        <v>-1.9800000000000002E-2</v>
      </c>
      <c r="EG175" s="230">
        <v>879715</v>
      </c>
      <c r="EH175" s="230">
        <v>1015696</v>
      </c>
      <c r="EI175" s="229">
        <v>-0.13389999999999999</v>
      </c>
      <c r="EJ175" s="229">
        <v>0.29699999999999999</v>
      </c>
      <c r="EK175" s="228">
        <v>346.16</v>
      </c>
      <c r="EL175" s="228">
        <v>63.38</v>
      </c>
      <c r="EM175" s="228">
        <v>102.97</v>
      </c>
      <c r="EN175" s="228">
        <v>104.36</v>
      </c>
      <c r="EO175" s="228">
        <v>512.51</v>
      </c>
      <c r="EP175" s="228">
        <v>628.75</v>
      </c>
      <c r="EQ175" s="228">
        <v>-116.25</v>
      </c>
      <c r="ER175" s="229">
        <v>-0.18490000000000001</v>
      </c>
      <c r="ES175" s="228">
        <v>490.65</v>
      </c>
      <c r="ET175" s="228">
        <v>184.79</v>
      </c>
      <c r="EU175" s="231">
        <v>1101.42</v>
      </c>
      <c r="EV175" s="231">
        <v>84941460</v>
      </c>
      <c r="EW175" s="231">
        <v>1776.85</v>
      </c>
      <c r="EX175" s="231">
        <v>1721.81</v>
      </c>
      <c r="EY175" s="228">
        <v>55.04</v>
      </c>
      <c r="EZ175" s="229">
        <v>3.2000000000000001E-2</v>
      </c>
      <c r="FA175" s="229">
        <v>0.60340000000000005</v>
      </c>
      <c r="FB175" s="227" t="s">
        <v>567</v>
      </c>
      <c r="FC175">
        <f t="shared" si="3"/>
        <v>0</v>
      </c>
    </row>
    <row r="176" spans="1:159" ht="17.25" thickBot="1" x14ac:dyDescent="0.3">
      <c r="A176" s="226">
        <v>45936</v>
      </c>
      <c r="B176" s="227" t="s">
        <v>227</v>
      </c>
      <c r="C176" s="227" t="s">
        <v>282</v>
      </c>
      <c r="D176" s="228">
        <v>4700</v>
      </c>
      <c r="E176" s="228">
        <v>22</v>
      </c>
      <c r="F176" s="228">
        <v>133.27000000000001</v>
      </c>
      <c r="G176" s="228">
        <v>135.86000000000001</v>
      </c>
      <c r="H176" s="228">
        <v>-2.59</v>
      </c>
      <c r="I176" s="229">
        <v>-1.9099999999999999E-2</v>
      </c>
      <c r="J176" s="228">
        <v>132.62</v>
      </c>
      <c r="K176" s="228">
        <v>134.96</v>
      </c>
      <c r="L176" s="228">
        <v>-2.34</v>
      </c>
      <c r="M176" s="229">
        <v>-1.7299999999999999E-2</v>
      </c>
      <c r="N176" s="228">
        <v>133.27000000000001</v>
      </c>
      <c r="O176" s="228">
        <v>135.86000000000001</v>
      </c>
      <c r="P176" s="228">
        <v>-2.59</v>
      </c>
      <c r="Q176" s="229">
        <v>-1.9099999999999999E-2</v>
      </c>
      <c r="R176" s="228">
        <v>133.69999999999999</v>
      </c>
      <c r="S176" s="228">
        <v>136.49</v>
      </c>
      <c r="T176" s="228">
        <v>-2.79</v>
      </c>
      <c r="U176" s="229">
        <v>-2.0400000000000001E-2</v>
      </c>
      <c r="V176" s="228">
        <v>134.44</v>
      </c>
      <c r="W176" s="228">
        <v>137.31</v>
      </c>
      <c r="X176" s="228">
        <v>-2.87</v>
      </c>
      <c r="Y176" s="229">
        <v>-2.0899999999999998E-2</v>
      </c>
      <c r="Z176" s="228">
        <v>0.65</v>
      </c>
      <c r="AA176" s="228">
        <v>0.9</v>
      </c>
      <c r="AB176" s="228">
        <v>-0.25</v>
      </c>
      <c r="AC176" s="229">
        <v>4.8999999999999998E-3</v>
      </c>
      <c r="AD176" s="228">
        <v>0.65</v>
      </c>
      <c r="AE176" s="228">
        <v>0.9</v>
      </c>
      <c r="AF176" s="228">
        <v>-0.25</v>
      </c>
      <c r="AG176" s="229">
        <v>4.8999999999999998E-3</v>
      </c>
      <c r="AH176" s="228">
        <v>1.08</v>
      </c>
      <c r="AI176" s="228">
        <v>1.53</v>
      </c>
      <c r="AJ176" s="228">
        <v>-0.45</v>
      </c>
      <c r="AK176" s="229">
        <v>8.0999999999999996E-3</v>
      </c>
      <c r="AL176" s="228">
        <v>1.82</v>
      </c>
      <c r="AM176" s="228">
        <v>2.35</v>
      </c>
      <c r="AN176" s="228">
        <v>-0.53</v>
      </c>
      <c r="AO176" s="229">
        <v>1.37E-2</v>
      </c>
      <c r="AP176" s="228">
        <v>133.86000000000001</v>
      </c>
      <c r="AQ176" s="228">
        <v>134.24</v>
      </c>
      <c r="AR176" s="228">
        <v>0</v>
      </c>
      <c r="AS176" s="228">
        <v>622</v>
      </c>
      <c r="AT176" s="228">
        <v>458</v>
      </c>
      <c r="AU176" s="228">
        <v>164</v>
      </c>
      <c r="AV176" s="229">
        <v>0.3579</v>
      </c>
      <c r="AW176" s="228">
        <v>584</v>
      </c>
      <c r="AX176" s="228">
        <v>414</v>
      </c>
      <c r="AY176" s="228">
        <v>170</v>
      </c>
      <c r="AZ176" s="229">
        <v>0.4098</v>
      </c>
      <c r="BA176" s="228">
        <v>35</v>
      </c>
      <c r="BB176" s="228">
        <v>41</v>
      </c>
      <c r="BC176" s="228">
        <v>-7</v>
      </c>
      <c r="BD176" s="229">
        <v>-0.16489999999999999</v>
      </c>
      <c r="BE176" s="228">
        <v>3</v>
      </c>
      <c r="BF176" s="228">
        <v>2</v>
      </c>
      <c r="BG176" s="228">
        <v>1</v>
      </c>
      <c r="BH176" s="229">
        <v>0.42859999999999998</v>
      </c>
      <c r="BI176" s="230">
        <v>1221</v>
      </c>
      <c r="BJ176" s="230">
        <v>1015</v>
      </c>
      <c r="BK176" s="228">
        <v>205</v>
      </c>
      <c r="BL176" s="229">
        <v>0.2019</v>
      </c>
      <c r="BM176" s="228">
        <v>606</v>
      </c>
      <c r="BN176" s="228">
        <v>389</v>
      </c>
      <c r="BO176" s="228">
        <v>218</v>
      </c>
      <c r="BP176" s="229">
        <v>0.56020000000000003</v>
      </c>
      <c r="BQ176" s="230">
        <v>2448</v>
      </c>
      <c r="BR176" s="230">
        <v>1862</v>
      </c>
      <c r="BS176" s="228">
        <v>587</v>
      </c>
      <c r="BT176" s="229">
        <v>0.31509999999999999</v>
      </c>
      <c r="BU176" s="230">
        <v>36587929</v>
      </c>
      <c r="BV176" s="230">
        <v>17935758</v>
      </c>
      <c r="BW176" s="230">
        <v>18652171</v>
      </c>
      <c r="BX176" s="229">
        <v>1.0399</v>
      </c>
      <c r="BY176" s="230">
        <v>2217</v>
      </c>
      <c r="BZ176" s="230">
        <v>2089</v>
      </c>
      <c r="CA176" s="228">
        <v>128</v>
      </c>
      <c r="CB176" s="229">
        <v>6.1400000000000003E-2</v>
      </c>
      <c r="CC176" s="230">
        <v>2151</v>
      </c>
      <c r="CD176" s="230">
        <v>2037</v>
      </c>
      <c r="CE176" s="228">
        <v>114</v>
      </c>
      <c r="CF176" s="229">
        <v>5.6099999999999997E-2</v>
      </c>
      <c r="CG176" s="228">
        <v>61</v>
      </c>
      <c r="CH176" s="228">
        <v>48</v>
      </c>
      <c r="CI176" s="228">
        <v>13</v>
      </c>
      <c r="CJ176" s="229">
        <v>0.26469999999999999</v>
      </c>
      <c r="CK176" s="228">
        <v>5</v>
      </c>
      <c r="CL176" s="228">
        <v>4</v>
      </c>
      <c r="CM176" s="228">
        <v>1</v>
      </c>
      <c r="CN176" s="229">
        <v>0.38600000000000001</v>
      </c>
      <c r="CO176" s="228">
        <v>571</v>
      </c>
      <c r="CP176" s="228">
        <v>489</v>
      </c>
      <c r="CQ176" s="228">
        <v>82</v>
      </c>
      <c r="CR176" s="229">
        <v>0.1673</v>
      </c>
      <c r="CS176" s="228">
        <v>283</v>
      </c>
      <c r="CT176" s="228">
        <v>244</v>
      </c>
      <c r="CU176" s="228">
        <v>38</v>
      </c>
      <c r="CV176" s="229">
        <v>0.15659999999999999</v>
      </c>
      <c r="CW176" s="230">
        <v>3070</v>
      </c>
      <c r="CX176" s="230">
        <v>2822</v>
      </c>
      <c r="CY176" s="228">
        <v>248</v>
      </c>
      <c r="CZ176" s="229">
        <v>8.7999999999999995E-2</v>
      </c>
      <c r="DA176" s="228">
        <v>34.21</v>
      </c>
      <c r="DB176" s="228">
        <v>32.26</v>
      </c>
      <c r="DC176" s="228">
        <v>1.95</v>
      </c>
      <c r="DD176" s="228">
        <v>1.95</v>
      </c>
      <c r="DE176" s="228">
        <v>45.55</v>
      </c>
      <c r="DF176" s="228">
        <v>45.59</v>
      </c>
      <c r="DG176" s="228">
        <v>-11.34</v>
      </c>
      <c r="DH176" s="228">
        <v>-0.04</v>
      </c>
      <c r="DI176" s="228">
        <v>34.25</v>
      </c>
      <c r="DJ176" s="228">
        <v>32.520000000000003</v>
      </c>
      <c r="DK176" s="228">
        <v>1.73</v>
      </c>
      <c r="DL176" s="228">
        <v>1.73</v>
      </c>
      <c r="DM176" s="228">
        <v>34.130000000000003</v>
      </c>
      <c r="DN176" s="228">
        <v>31.58</v>
      </c>
      <c r="DO176" s="228">
        <v>2.5499999999999998</v>
      </c>
      <c r="DP176" s="228">
        <v>2.5499999999999998</v>
      </c>
      <c r="DQ176" s="228">
        <v>0.5</v>
      </c>
      <c r="DR176" s="228">
        <v>0.5</v>
      </c>
      <c r="DS176" s="228">
        <v>0</v>
      </c>
      <c r="DT176" s="229">
        <v>0</v>
      </c>
      <c r="DU176" s="228">
        <v>140</v>
      </c>
      <c r="DV176" s="228">
        <v>135</v>
      </c>
      <c r="DW176" s="228">
        <v>0.5</v>
      </c>
      <c r="DX176" s="228">
        <v>0.38</v>
      </c>
      <c r="DY176" s="228">
        <v>0.12</v>
      </c>
      <c r="DZ176" s="229">
        <v>0.31580000000000003</v>
      </c>
      <c r="EA176" s="229">
        <v>2.9600000000000001E-2</v>
      </c>
      <c r="EB176" s="230">
        <v>3872800</v>
      </c>
      <c r="EC176" s="229">
        <v>3.2000000000000002E-3</v>
      </c>
      <c r="ED176" s="229">
        <v>2.9600000000000001E-2</v>
      </c>
      <c r="EE176" s="228">
        <v>0.38</v>
      </c>
      <c r="EF176" s="229">
        <v>2.8E-3</v>
      </c>
      <c r="EG176" s="230">
        <v>15750968</v>
      </c>
      <c r="EH176" s="230">
        <v>6960840</v>
      </c>
      <c r="EI176" s="229">
        <v>1.2627999999999999</v>
      </c>
      <c r="EJ176" s="229">
        <v>0.43049999999999999</v>
      </c>
      <c r="EK176" s="231">
        <v>1295.52</v>
      </c>
      <c r="EL176" s="228">
        <v>624.29</v>
      </c>
      <c r="EM176" s="228">
        <v>624.57000000000005</v>
      </c>
      <c r="EN176" s="228">
        <v>115.62</v>
      </c>
      <c r="EO176" s="231">
        <v>2544.37</v>
      </c>
      <c r="EP176" s="231">
        <v>1969.91</v>
      </c>
      <c r="EQ176" s="228">
        <v>574.47</v>
      </c>
      <c r="ER176" s="229">
        <v>0.29160000000000003</v>
      </c>
      <c r="ES176" s="228">
        <v>598.96</v>
      </c>
      <c r="ET176" s="228">
        <v>278.79000000000002</v>
      </c>
      <c r="EU176" s="231">
        <v>2217.08</v>
      </c>
      <c r="EV176" s="231">
        <v>216861410</v>
      </c>
      <c r="EW176" s="231">
        <v>3094.83</v>
      </c>
      <c r="EX176" s="231">
        <v>2887.57</v>
      </c>
      <c r="EY176" s="228">
        <v>207.26</v>
      </c>
      <c r="EZ176" s="229">
        <v>7.1800000000000003E-2</v>
      </c>
      <c r="FA176" s="229">
        <v>1.0623</v>
      </c>
      <c r="FB176" s="227" t="s">
        <v>567</v>
      </c>
      <c r="FC176">
        <f t="shared" si="3"/>
        <v>0</v>
      </c>
    </row>
    <row r="177" spans="1:159" ht="17.25" thickBot="1" x14ac:dyDescent="0.3">
      <c r="A177" s="226">
        <v>45936</v>
      </c>
      <c r="B177" s="227" t="s">
        <v>175</v>
      </c>
      <c r="C177" s="227" t="s">
        <v>688</v>
      </c>
      <c r="D177" s="228">
        <v>4300</v>
      </c>
      <c r="E177" s="228">
        <v>22</v>
      </c>
      <c r="F177" s="228">
        <v>161.32</v>
      </c>
      <c r="G177" s="228">
        <v>166.04</v>
      </c>
      <c r="H177" s="228">
        <v>-4.72</v>
      </c>
      <c r="I177" s="229">
        <v>-2.8400000000000002E-2</v>
      </c>
      <c r="J177" s="228">
        <v>159.94</v>
      </c>
      <c r="K177" s="228">
        <v>165.03</v>
      </c>
      <c r="L177" s="228">
        <v>-5.09</v>
      </c>
      <c r="M177" s="229">
        <v>-3.0800000000000001E-2</v>
      </c>
      <c r="N177" s="228">
        <v>161.32</v>
      </c>
      <c r="O177" s="228">
        <v>166.04</v>
      </c>
      <c r="P177" s="228">
        <v>-4.72</v>
      </c>
      <c r="Q177" s="229">
        <v>-2.8400000000000002E-2</v>
      </c>
      <c r="R177" s="228">
        <v>161.97999999999999</v>
      </c>
      <c r="S177" s="228">
        <v>167</v>
      </c>
      <c r="T177" s="228">
        <v>-5.0199999999999996</v>
      </c>
      <c r="U177" s="229">
        <v>-3.0099999999999998E-2</v>
      </c>
      <c r="V177" s="228">
        <v>163.22999999999999</v>
      </c>
      <c r="W177" s="228">
        <v>0</v>
      </c>
      <c r="X177" s="228">
        <v>163.22999999999999</v>
      </c>
      <c r="Y177" s="229">
        <v>0</v>
      </c>
      <c r="Z177" s="228">
        <v>1.38</v>
      </c>
      <c r="AA177" s="228">
        <v>1.01</v>
      </c>
      <c r="AB177" s="228">
        <v>0.37</v>
      </c>
      <c r="AC177" s="229">
        <v>8.6E-3</v>
      </c>
      <c r="AD177" s="228">
        <v>1.38</v>
      </c>
      <c r="AE177" s="228">
        <v>1.01</v>
      </c>
      <c r="AF177" s="228">
        <v>0.37</v>
      </c>
      <c r="AG177" s="229">
        <v>8.6E-3</v>
      </c>
      <c r="AH177" s="228">
        <v>2.04</v>
      </c>
      <c r="AI177" s="228">
        <v>1.97</v>
      </c>
      <c r="AJ177" s="228">
        <v>7.0000000000000007E-2</v>
      </c>
      <c r="AK177" s="229">
        <v>1.2800000000000001E-2</v>
      </c>
      <c r="AL177" s="228">
        <v>3.29</v>
      </c>
      <c r="AM177" s="228">
        <v>0</v>
      </c>
      <c r="AN177" s="228">
        <v>3.29</v>
      </c>
      <c r="AO177" s="229">
        <v>2.06E-2</v>
      </c>
      <c r="AP177" s="228">
        <v>159.26</v>
      </c>
      <c r="AQ177" s="228">
        <v>159.77000000000001</v>
      </c>
      <c r="AR177" s="228">
        <v>0</v>
      </c>
      <c r="AS177" s="228">
        <v>878</v>
      </c>
      <c r="AT177" s="228">
        <v>99</v>
      </c>
      <c r="AU177" s="228">
        <v>780</v>
      </c>
      <c r="AV177" s="229">
        <v>7.9119999999999999</v>
      </c>
      <c r="AW177" s="228">
        <v>804</v>
      </c>
      <c r="AX177" s="228">
        <v>98</v>
      </c>
      <c r="AY177" s="228">
        <v>706</v>
      </c>
      <c r="AZ177" s="229">
        <v>7.2279999999999998</v>
      </c>
      <c r="BA177" s="228">
        <v>73</v>
      </c>
      <c r="BB177" s="228">
        <v>1</v>
      </c>
      <c r="BC177" s="228">
        <v>72</v>
      </c>
      <c r="BD177" s="229">
        <v>79.769199999999998</v>
      </c>
      <c r="BE177" s="228">
        <v>2</v>
      </c>
      <c r="BF177" s="228">
        <v>0</v>
      </c>
      <c r="BG177" s="228">
        <v>2</v>
      </c>
      <c r="BH177" s="229">
        <v>0</v>
      </c>
      <c r="BI177" s="230">
        <v>1491</v>
      </c>
      <c r="BJ177" s="228">
        <v>66</v>
      </c>
      <c r="BK177" s="230">
        <v>1425</v>
      </c>
      <c r="BL177" s="229">
        <v>21.513100000000001</v>
      </c>
      <c r="BM177" s="230">
        <v>1049</v>
      </c>
      <c r="BN177" s="228">
        <v>17</v>
      </c>
      <c r="BO177" s="230">
        <v>1032</v>
      </c>
      <c r="BP177" s="229">
        <v>62.529400000000003</v>
      </c>
      <c r="BQ177" s="230">
        <v>3419</v>
      </c>
      <c r="BR177" s="228">
        <v>181</v>
      </c>
      <c r="BS177" s="230">
        <v>3237</v>
      </c>
      <c r="BT177" s="229">
        <v>17.853899999999999</v>
      </c>
      <c r="BU177" s="230">
        <v>60585852</v>
      </c>
      <c r="BV177" s="230">
        <v>102796489</v>
      </c>
      <c r="BW177" s="230">
        <v>-42210637</v>
      </c>
      <c r="BX177" s="229">
        <v>-0.41060000000000002</v>
      </c>
      <c r="BY177" s="230">
        <v>1651</v>
      </c>
      <c r="BZ177" s="230">
        <v>1420</v>
      </c>
      <c r="CA177" s="228">
        <v>231</v>
      </c>
      <c r="CB177" s="229">
        <v>0.16250000000000001</v>
      </c>
      <c r="CC177" s="230">
        <v>1605</v>
      </c>
      <c r="CD177" s="230">
        <v>1396</v>
      </c>
      <c r="CE177" s="228">
        <v>209</v>
      </c>
      <c r="CF177" s="229">
        <v>0.14949999999999999</v>
      </c>
      <c r="CG177" s="228">
        <v>45</v>
      </c>
      <c r="CH177" s="228">
        <v>24</v>
      </c>
      <c r="CI177" s="228">
        <v>21</v>
      </c>
      <c r="CJ177" s="229">
        <v>0.85960000000000003</v>
      </c>
      <c r="CK177" s="228">
        <v>1</v>
      </c>
      <c r="CL177" s="228">
        <v>0</v>
      </c>
      <c r="CM177" s="228">
        <v>1</v>
      </c>
      <c r="CN177" s="229">
        <v>0</v>
      </c>
      <c r="CO177" s="228">
        <v>411</v>
      </c>
      <c r="CP177" s="228">
        <v>268</v>
      </c>
      <c r="CQ177" s="228">
        <v>143</v>
      </c>
      <c r="CR177" s="229">
        <v>0.53510000000000002</v>
      </c>
      <c r="CS177" s="228">
        <v>425</v>
      </c>
      <c r="CT177" s="228">
        <v>251</v>
      </c>
      <c r="CU177" s="228">
        <v>175</v>
      </c>
      <c r="CV177" s="229">
        <v>0.69640000000000002</v>
      </c>
      <c r="CW177" s="230">
        <v>2487</v>
      </c>
      <c r="CX177" s="230">
        <v>1939</v>
      </c>
      <c r="CY177" s="228">
        <v>548</v>
      </c>
      <c r="CZ177" s="229">
        <v>0.28289999999999998</v>
      </c>
      <c r="DA177" s="228">
        <v>41.33</v>
      </c>
      <c r="DB177" s="228">
        <v>47.6</v>
      </c>
      <c r="DC177" s="228">
        <v>-6.27</v>
      </c>
      <c r="DD177" s="228">
        <v>-6.27</v>
      </c>
      <c r="DE177" s="228">
        <v>58.24</v>
      </c>
      <c r="DF177" s="228">
        <v>58.23</v>
      </c>
      <c r="DG177" s="228">
        <v>-16.91</v>
      </c>
      <c r="DH177" s="228">
        <v>0.01</v>
      </c>
      <c r="DI177" s="228">
        <v>40.799999999999997</v>
      </c>
      <c r="DJ177" s="228">
        <v>46.71</v>
      </c>
      <c r="DK177" s="228">
        <v>-5.91</v>
      </c>
      <c r="DL177" s="228">
        <v>-5.91</v>
      </c>
      <c r="DM177" s="228">
        <v>42.08</v>
      </c>
      <c r="DN177" s="228">
        <v>51.21</v>
      </c>
      <c r="DO177" s="228">
        <v>-9.1300000000000008</v>
      </c>
      <c r="DP177" s="228">
        <v>-9.1300000000000008</v>
      </c>
      <c r="DQ177" s="228">
        <v>1.04</v>
      </c>
      <c r="DR177" s="228">
        <v>0.94</v>
      </c>
      <c r="DS177" s="228">
        <v>0.1</v>
      </c>
      <c r="DT177" s="229">
        <v>0.10639999999999999</v>
      </c>
      <c r="DU177" s="228">
        <v>160</v>
      </c>
      <c r="DV177" s="228">
        <v>140</v>
      </c>
      <c r="DW177" s="228">
        <v>0.7</v>
      </c>
      <c r="DX177" s="228">
        <v>0.25</v>
      </c>
      <c r="DY177" s="228">
        <v>0.45</v>
      </c>
      <c r="DZ177" s="229">
        <v>1.8</v>
      </c>
      <c r="EA177" s="229">
        <v>2.8000000000000001E-2</v>
      </c>
      <c r="EB177" s="230">
        <v>1500700</v>
      </c>
      <c r="EC177" s="229">
        <v>4.1000000000000003E-3</v>
      </c>
      <c r="ED177" s="229">
        <v>2.8000000000000001E-2</v>
      </c>
      <c r="EE177" s="228">
        <v>0.51</v>
      </c>
      <c r="EF177" s="229">
        <v>3.2000000000000002E-3</v>
      </c>
      <c r="EG177" s="230">
        <v>23152074</v>
      </c>
      <c r="EH177" s="230">
        <v>29132150</v>
      </c>
      <c r="EI177" s="229">
        <v>-0.20530000000000001</v>
      </c>
      <c r="EJ177" s="229">
        <v>0.3821</v>
      </c>
      <c r="EK177" s="231">
        <v>1565.52</v>
      </c>
      <c r="EL177" s="228">
        <v>996.84</v>
      </c>
      <c r="EM177" s="228">
        <v>867.5</v>
      </c>
      <c r="EN177" s="228">
        <v>168.13</v>
      </c>
      <c r="EO177" s="231">
        <v>3429.86</v>
      </c>
      <c r="EP177" s="228">
        <v>184.57</v>
      </c>
      <c r="EQ177" s="231">
        <v>3245.29</v>
      </c>
      <c r="ER177" s="229">
        <v>17.583300000000001</v>
      </c>
      <c r="ES177" s="228">
        <v>412.73</v>
      </c>
      <c r="ET177" s="228">
        <v>383.11</v>
      </c>
      <c r="EU177" s="231">
        <v>1651.36</v>
      </c>
      <c r="EV177" s="231">
        <v>122326971</v>
      </c>
      <c r="EW177" s="231">
        <v>2447.1999999999998</v>
      </c>
      <c r="EX177" s="231">
        <v>1932.88</v>
      </c>
      <c r="EY177" s="228">
        <v>514.32000000000005</v>
      </c>
      <c r="EZ177" s="229">
        <v>0.2661</v>
      </c>
      <c r="FA177" s="229">
        <v>1.2603</v>
      </c>
      <c r="FB177" s="227" t="s">
        <v>567</v>
      </c>
      <c r="FC177">
        <f t="shared" si="3"/>
        <v>0</v>
      </c>
    </row>
    <row r="178" spans="1:159" ht="17.25" thickBot="1" x14ac:dyDescent="0.3">
      <c r="A178" s="226">
        <v>45936</v>
      </c>
      <c r="B178" s="227" t="s">
        <v>175</v>
      </c>
      <c r="C178" s="227" t="s">
        <v>536</v>
      </c>
      <c r="D178" s="228">
        <v>800</v>
      </c>
      <c r="E178" s="228">
        <v>22</v>
      </c>
      <c r="F178" s="228">
        <v>889.95</v>
      </c>
      <c r="G178" s="228">
        <v>866.3</v>
      </c>
      <c r="H178" s="228">
        <v>23.65</v>
      </c>
      <c r="I178" s="229">
        <v>2.7300000000000001E-2</v>
      </c>
      <c r="J178" s="228">
        <v>902.6</v>
      </c>
      <c r="K178" s="228">
        <v>892.05</v>
      </c>
      <c r="L178" s="228">
        <v>10.55</v>
      </c>
      <c r="M178" s="229">
        <v>1.18E-2</v>
      </c>
      <c r="N178" s="228">
        <v>889.95</v>
      </c>
      <c r="O178" s="228">
        <v>866.3</v>
      </c>
      <c r="P178" s="228">
        <v>23.65</v>
      </c>
      <c r="Q178" s="229">
        <v>2.7300000000000001E-2</v>
      </c>
      <c r="R178" s="228">
        <v>879.35</v>
      </c>
      <c r="S178" s="228">
        <v>855.3</v>
      </c>
      <c r="T178" s="228">
        <v>24.05</v>
      </c>
      <c r="U178" s="229">
        <v>2.81E-2</v>
      </c>
      <c r="V178" s="228">
        <v>872.65</v>
      </c>
      <c r="W178" s="228">
        <v>848.2</v>
      </c>
      <c r="X178" s="228">
        <v>24.45</v>
      </c>
      <c r="Y178" s="229">
        <v>2.8799999999999999E-2</v>
      </c>
      <c r="Z178" s="228">
        <v>-12.65</v>
      </c>
      <c r="AA178" s="228">
        <v>-25.75</v>
      </c>
      <c r="AB178" s="228">
        <v>13.1</v>
      </c>
      <c r="AC178" s="229">
        <v>-1.4E-2</v>
      </c>
      <c r="AD178" s="228">
        <v>-12.65</v>
      </c>
      <c r="AE178" s="228">
        <v>-25.75</v>
      </c>
      <c r="AF178" s="228">
        <v>13.1</v>
      </c>
      <c r="AG178" s="229">
        <v>-1.4E-2</v>
      </c>
      <c r="AH178" s="228">
        <v>-23.25</v>
      </c>
      <c r="AI178" s="228">
        <v>-36.75</v>
      </c>
      <c r="AJ178" s="228">
        <v>13.5</v>
      </c>
      <c r="AK178" s="229">
        <v>-2.58E-2</v>
      </c>
      <c r="AL178" s="228">
        <v>-29.95</v>
      </c>
      <c r="AM178" s="228">
        <v>-43.85</v>
      </c>
      <c r="AN178" s="228">
        <v>13.9</v>
      </c>
      <c r="AO178" s="229">
        <v>-3.32E-2</v>
      </c>
      <c r="AP178" s="228">
        <v>887.61</v>
      </c>
      <c r="AQ178" s="228">
        <v>876.96</v>
      </c>
      <c r="AR178" s="228">
        <v>0</v>
      </c>
      <c r="AS178" s="228">
        <v>535</v>
      </c>
      <c r="AT178" s="228">
        <v>383</v>
      </c>
      <c r="AU178" s="228">
        <v>151</v>
      </c>
      <c r="AV178" s="229">
        <v>0.3947</v>
      </c>
      <c r="AW178" s="228">
        <v>409</v>
      </c>
      <c r="AX178" s="228">
        <v>326</v>
      </c>
      <c r="AY178" s="228">
        <v>82</v>
      </c>
      <c r="AZ178" s="229">
        <v>0.2525</v>
      </c>
      <c r="BA178" s="228">
        <v>82</v>
      </c>
      <c r="BB178" s="228">
        <v>46</v>
      </c>
      <c r="BC178" s="228">
        <v>36</v>
      </c>
      <c r="BD178" s="229">
        <v>0.77229999999999999</v>
      </c>
      <c r="BE178" s="228">
        <v>44</v>
      </c>
      <c r="BF178" s="228">
        <v>11</v>
      </c>
      <c r="BG178" s="228">
        <v>33</v>
      </c>
      <c r="BH178" s="229">
        <v>3.0522999999999998</v>
      </c>
      <c r="BI178" s="230">
        <v>1516</v>
      </c>
      <c r="BJ178" s="228">
        <v>628</v>
      </c>
      <c r="BK178" s="228">
        <v>889</v>
      </c>
      <c r="BL178" s="229">
        <v>1.4165000000000001</v>
      </c>
      <c r="BM178" s="228">
        <v>559</v>
      </c>
      <c r="BN178" s="228">
        <v>186</v>
      </c>
      <c r="BO178" s="228">
        <v>374</v>
      </c>
      <c r="BP178" s="229">
        <v>2.0142000000000002</v>
      </c>
      <c r="BQ178" s="230">
        <v>2611</v>
      </c>
      <c r="BR178" s="230">
        <v>1197</v>
      </c>
      <c r="BS178" s="230">
        <v>1414</v>
      </c>
      <c r="BT178" s="229">
        <v>1.1818</v>
      </c>
      <c r="BU178" s="230">
        <v>1271415</v>
      </c>
      <c r="BV178" s="230">
        <v>1177422</v>
      </c>
      <c r="BW178" s="230">
        <v>93993</v>
      </c>
      <c r="BX178" s="229">
        <v>7.9799999999999996E-2</v>
      </c>
      <c r="BY178" s="230">
        <v>1659</v>
      </c>
      <c r="BZ178" s="230">
        <v>1561</v>
      </c>
      <c r="CA178" s="228">
        <v>97</v>
      </c>
      <c r="CB178" s="229">
        <v>6.2199999999999998E-2</v>
      </c>
      <c r="CC178" s="230">
        <v>1542</v>
      </c>
      <c r="CD178" s="230">
        <v>1481</v>
      </c>
      <c r="CE178" s="228">
        <v>61</v>
      </c>
      <c r="CF178" s="229">
        <v>4.1399999999999999E-2</v>
      </c>
      <c r="CG178" s="228">
        <v>73</v>
      </c>
      <c r="CH178" s="228">
        <v>71</v>
      </c>
      <c r="CI178" s="228">
        <v>2</v>
      </c>
      <c r="CJ178" s="229">
        <v>3.1E-2</v>
      </c>
      <c r="CK178" s="228">
        <v>43</v>
      </c>
      <c r="CL178" s="228">
        <v>9</v>
      </c>
      <c r="CM178" s="228">
        <v>34</v>
      </c>
      <c r="CN178" s="229">
        <v>3.7164999999999999</v>
      </c>
      <c r="CO178" s="228">
        <v>466</v>
      </c>
      <c r="CP178" s="228">
        <v>458</v>
      </c>
      <c r="CQ178" s="228">
        <v>9</v>
      </c>
      <c r="CR178" s="229">
        <v>1.8800000000000001E-2</v>
      </c>
      <c r="CS178" s="228">
        <v>279</v>
      </c>
      <c r="CT178" s="228">
        <v>234</v>
      </c>
      <c r="CU178" s="228">
        <v>45</v>
      </c>
      <c r="CV178" s="229">
        <v>0.1918</v>
      </c>
      <c r="CW178" s="230">
        <v>2404</v>
      </c>
      <c r="CX178" s="230">
        <v>2253</v>
      </c>
      <c r="CY178" s="228">
        <v>151</v>
      </c>
      <c r="CZ178" s="229">
        <v>6.6900000000000001E-2</v>
      </c>
      <c r="DA178" s="228">
        <v>27.74</v>
      </c>
      <c r="DB178" s="228">
        <v>28</v>
      </c>
      <c r="DC178" s="228">
        <v>-0.26</v>
      </c>
      <c r="DD178" s="228">
        <v>-0.26</v>
      </c>
      <c r="DE178" s="228">
        <v>30.69</v>
      </c>
      <c r="DF178" s="228">
        <v>30.73</v>
      </c>
      <c r="DG178" s="228">
        <v>-2.95</v>
      </c>
      <c r="DH178" s="228">
        <v>-0.04</v>
      </c>
      <c r="DI178" s="228">
        <v>27.67</v>
      </c>
      <c r="DJ178" s="228">
        <v>28.28</v>
      </c>
      <c r="DK178" s="228">
        <v>-0.61</v>
      </c>
      <c r="DL178" s="228">
        <v>-0.61</v>
      </c>
      <c r="DM178" s="228">
        <v>27.92</v>
      </c>
      <c r="DN178" s="228">
        <v>27.07</v>
      </c>
      <c r="DO178" s="228">
        <v>0.85</v>
      </c>
      <c r="DP178" s="228">
        <v>0.85</v>
      </c>
      <c r="DQ178" s="228">
        <v>0.6</v>
      </c>
      <c r="DR178" s="228">
        <v>0.51</v>
      </c>
      <c r="DS178" s="228">
        <v>0.09</v>
      </c>
      <c r="DT178" s="229">
        <v>0.17649999999999999</v>
      </c>
      <c r="DU178" s="228">
        <v>900</v>
      </c>
      <c r="DV178" s="228">
        <v>800</v>
      </c>
      <c r="DW178" s="228">
        <v>0.37</v>
      </c>
      <c r="DX178" s="228">
        <v>0.3</v>
      </c>
      <c r="DY178" s="228">
        <v>7.0000000000000007E-2</v>
      </c>
      <c r="DZ178" s="229">
        <v>0.23330000000000001</v>
      </c>
      <c r="EA178" s="229">
        <v>7.0000000000000007E-2</v>
      </c>
      <c r="EB178" s="230">
        <v>902400</v>
      </c>
      <c r="EC178" s="229">
        <v>-1.1900000000000001E-2</v>
      </c>
      <c r="ED178" s="229">
        <v>7.0000000000000007E-2</v>
      </c>
      <c r="EE178" s="228">
        <v>-10.65</v>
      </c>
      <c r="EF178" s="229">
        <v>-1.2E-2</v>
      </c>
      <c r="EG178" s="230">
        <v>407477</v>
      </c>
      <c r="EH178" s="230">
        <v>592341</v>
      </c>
      <c r="EI178" s="229">
        <v>-0.31209999999999999</v>
      </c>
      <c r="EJ178" s="229">
        <v>0.32050000000000001</v>
      </c>
      <c r="EK178" s="231">
        <v>1586.9</v>
      </c>
      <c r="EL178" s="228">
        <v>548.41999999999996</v>
      </c>
      <c r="EM178" s="228">
        <v>531.6</v>
      </c>
      <c r="EN178" s="228">
        <v>69.23</v>
      </c>
      <c r="EO178" s="231">
        <v>2666.93</v>
      </c>
      <c r="EP178" s="231">
        <v>1198.27</v>
      </c>
      <c r="EQ178" s="231">
        <v>1468.66</v>
      </c>
      <c r="ER178" s="229">
        <v>1.2257</v>
      </c>
      <c r="ES178" s="228">
        <v>483.57</v>
      </c>
      <c r="ET178" s="228">
        <v>263.74</v>
      </c>
      <c r="EU178" s="231">
        <v>1656.88</v>
      </c>
      <c r="EV178" s="231">
        <v>39583537</v>
      </c>
      <c r="EW178" s="231">
        <v>2404.19</v>
      </c>
      <c r="EX178" s="231">
        <v>2209.88</v>
      </c>
      <c r="EY178" s="228">
        <v>194.31</v>
      </c>
      <c r="EZ178" s="229">
        <v>8.7900000000000006E-2</v>
      </c>
      <c r="FA178" s="229">
        <v>0.68240000000000001</v>
      </c>
      <c r="FB178" s="227" t="s">
        <v>555</v>
      </c>
      <c r="FC178">
        <f t="shared" si="3"/>
        <v>0</v>
      </c>
    </row>
    <row r="179" spans="1:159" ht="17.25" thickBot="1" x14ac:dyDescent="0.3">
      <c r="A179" s="226">
        <v>45936</v>
      </c>
      <c r="B179" s="227" t="s">
        <v>175</v>
      </c>
      <c r="C179" s="227" t="s">
        <v>462</v>
      </c>
      <c r="D179" s="228">
        <v>375</v>
      </c>
      <c r="E179" s="228">
        <v>22</v>
      </c>
      <c r="F179" s="231">
        <v>1774.3</v>
      </c>
      <c r="G179" s="231">
        <v>1791.3</v>
      </c>
      <c r="H179" s="228">
        <v>-17</v>
      </c>
      <c r="I179" s="229">
        <v>-9.4999999999999998E-3</v>
      </c>
      <c r="J179" s="231">
        <v>1770.9</v>
      </c>
      <c r="K179" s="231">
        <v>1785.1</v>
      </c>
      <c r="L179" s="228">
        <v>-14.2</v>
      </c>
      <c r="M179" s="229">
        <v>-8.0000000000000002E-3</v>
      </c>
      <c r="N179" s="231">
        <v>1774.3</v>
      </c>
      <c r="O179" s="231">
        <v>1791.3</v>
      </c>
      <c r="P179" s="228">
        <v>-17</v>
      </c>
      <c r="Q179" s="229">
        <v>-9.4999999999999998E-3</v>
      </c>
      <c r="R179" s="231">
        <v>1784.8</v>
      </c>
      <c r="S179" s="231">
        <v>1801</v>
      </c>
      <c r="T179" s="228">
        <v>-16.2</v>
      </c>
      <c r="U179" s="229">
        <v>-8.9999999999999993E-3</v>
      </c>
      <c r="V179" s="231">
        <v>1793.4</v>
      </c>
      <c r="W179" s="231">
        <v>1810.8</v>
      </c>
      <c r="X179" s="228">
        <v>-17.399999999999999</v>
      </c>
      <c r="Y179" s="229">
        <v>-9.5999999999999992E-3</v>
      </c>
      <c r="Z179" s="228">
        <v>3.4</v>
      </c>
      <c r="AA179" s="228">
        <v>6.2</v>
      </c>
      <c r="AB179" s="228">
        <v>-2.8</v>
      </c>
      <c r="AC179" s="229">
        <v>1.9E-3</v>
      </c>
      <c r="AD179" s="228">
        <v>3.4</v>
      </c>
      <c r="AE179" s="228">
        <v>6.2</v>
      </c>
      <c r="AF179" s="228">
        <v>-2.8</v>
      </c>
      <c r="AG179" s="229">
        <v>1.9E-3</v>
      </c>
      <c r="AH179" s="228">
        <v>13.9</v>
      </c>
      <c r="AI179" s="228">
        <v>15.9</v>
      </c>
      <c r="AJ179" s="228">
        <v>-2</v>
      </c>
      <c r="AK179" s="229">
        <v>7.7999999999999996E-3</v>
      </c>
      <c r="AL179" s="228">
        <v>22.5</v>
      </c>
      <c r="AM179" s="228">
        <v>25.7</v>
      </c>
      <c r="AN179" s="228">
        <v>-3.2</v>
      </c>
      <c r="AO179" s="229">
        <v>1.2699999999999999E-2</v>
      </c>
      <c r="AP179" s="231">
        <v>1771.95</v>
      </c>
      <c r="AQ179" s="231">
        <v>1782.51</v>
      </c>
      <c r="AR179" s="228">
        <v>0</v>
      </c>
      <c r="AS179" s="228">
        <v>327</v>
      </c>
      <c r="AT179" s="228">
        <v>195</v>
      </c>
      <c r="AU179" s="228">
        <v>132</v>
      </c>
      <c r="AV179" s="229">
        <v>0.67520000000000002</v>
      </c>
      <c r="AW179" s="228">
        <v>314</v>
      </c>
      <c r="AX179" s="228">
        <v>186</v>
      </c>
      <c r="AY179" s="228">
        <v>128</v>
      </c>
      <c r="AZ179" s="229">
        <v>0.69159999999999999</v>
      </c>
      <c r="BA179" s="228">
        <v>10</v>
      </c>
      <c r="BB179" s="228">
        <v>8</v>
      </c>
      <c r="BC179" s="228">
        <v>1</v>
      </c>
      <c r="BD179" s="229">
        <v>0.14169999999999999</v>
      </c>
      <c r="BE179" s="228">
        <v>3</v>
      </c>
      <c r="BF179" s="228">
        <v>1</v>
      </c>
      <c r="BG179" s="228">
        <v>2</v>
      </c>
      <c r="BH179" s="229">
        <v>2.5</v>
      </c>
      <c r="BI179" s="228">
        <v>313</v>
      </c>
      <c r="BJ179" s="228">
        <v>521</v>
      </c>
      <c r="BK179" s="228">
        <v>-208</v>
      </c>
      <c r="BL179" s="229">
        <v>-0.3992</v>
      </c>
      <c r="BM179" s="228">
        <v>144</v>
      </c>
      <c r="BN179" s="228">
        <v>155</v>
      </c>
      <c r="BO179" s="228">
        <v>-12</v>
      </c>
      <c r="BP179" s="229">
        <v>-7.6200000000000004E-2</v>
      </c>
      <c r="BQ179" s="228">
        <v>783</v>
      </c>
      <c r="BR179" s="228">
        <v>872</v>
      </c>
      <c r="BS179" s="228">
        <v>-88</v>
      </c>
      <c r="BT179" s="229">
        <v>-0.1012</v>
      </c>
      <c r="BU179" s="230">
        <v>1577809</v>
      </c>
      <c r="BV179" s="230">
        <v>726947</v>
      </c>
      <c r="BW179" s="230">
        <v>850862</v>
      </c>
      <c r="BX179" s="229">
        <v>1.1705000000000001</v>
      </c>
      <c r="BY179" s="230">
        <v>1196</v>
      </c>
      <c r="BZ179" s="230">
        <v>1228</v>
      </c>
      <c r="CA179" s="228">
        <v>-31</v>
      </c>
      <c r="CB179" s="229">
        <v>-2.5499999999999998E-2</v>
      </c>
      <c r="CC179" s="230">
        <v>1180</v>
      </c>
      <c r="CD179" s="230">
        <v>1214</v>
      </c>
      <c r="CE179" s="228">
        <v>-34</v>
      </c>
      <c r="CF179" s="229">
        <v>-2.7699999999999999E-2</v>
      </c>
      <c r="CG179" s="228">
        <v>13</v>
      </c>
      <c r="CH179" s="228">
        <v>11</v>
      </c>
      <c r="CI179" s="228">
        <v>3</v>
      </c>
      <c r="CJ179" s="229">
        <v>0.26579999999999998</v>
      </c>
      <c r="CK179" s="228">
        <v>3</v>
      </c>
      <c r="CL179" s="228">
        <v>3</v>
      </c>
      <c r="CM179" s="228">
        <v>0</v>
      </c>
      <c r="CN179" s="229">
        <v>-0.14580000000000001</v>
      </c>
      <c r="CO179" s="228">
        <v>321</v>
      </c>
      <c r="CP179" s="228">
        <v>280</v>
      </c>
      <c r="CQ179" s="228">
        <v>40</v>
      </c>
      <c r="CR179" s="229">
        <v>0.14280000000000001</v>
      </c>
      <c r="CS179" s="228">
        <v>128</v>
      </c>
      <c r="CT179" s="228">
        <v>116</v>
      </c>
      <c r="CU179" s="228">
        <v>13</v>
      </c>
      <c r="CV179" s="229">
        <v>0.10929999999999999</v>
      </c>
      <c r="CW179" s="230">
        <v>1645</v>
      </c>
      <c r="CX179" s="230">
        <v>1624</v>
      </c>
      <c r="CY179" s="228">
        <v>21</v>
      </c>
      <c r="CZ179" s="229">
        <v>1.32E-2</v>
      </c>
      <c r="DA179" s="228">
        <v>21.4</v>
      </c>
      <c r="DB179" s="228">
        <v>20.59</v>
      </c>
      <c r="DC179" s="228">
        <v>0.81</v>
      </c>
      <c r="DD179" s="228">
        <v>0.81</v>
      </c>
      <c r="DE179" s="228">
        <v>25.92</v>
      </c>
      <c r="DF179" s="228">
        <v>25.97</v>
      </c>
      <c r="DG179" s="228">
        <v>-4.5199999999999996</v>
      </c>
      <c r="DH179" s="228">
        <v>-0.05</v>
      </c>
      <c r="DI179" s="228">
        <v>21.36</v>
      </c>
      <c r="DJ179" s="228">
        <v>20.39</v>
      </c>
      <c r="DK179" s="228">
        <v>0.97</v>
      </c>
      <c r="DL179" s="228">
        <v>0.97</v>
      </c>
      <c r="DM179" s="228">
        <v>21.49</v>
      </c>
      <c r="DN179" s="228">
        <v>21.28</v>
      </c>
      <c r="DO179" s="228">
        <v>0.21</v>
      </c>
      <c r="DP179" s="228">
        <v>0.21</v>
      </c>
      <c r="DQ179" s="228">
        <v>0.4</v>
      </c>
      <c r="DR179" s="228">
        <v>0.41</v>
      </c>
      <c r="DS179" s="228">
        <v>-0.01</v>
      </c>
      <c r="DT179" s="229">
        <v>-2.4400000000000002E-2</v>
      </c>
      <c r="DU179" s="231">
        <v>1800</v>
      </c>
      <c r="DV179" s="231">
        <v>1800</v>
      </c>
      <c r="DW179" s="228">
        <v>0.46</v>
      </c>
      <c r="DX179" s="228">
        <v>0.3</v>
      </c>
      <c r="DY179" s="228">
        <v>0.16</v>
      </c>
      <c r="DZ179" s="229">
        <v>0.5333</v>
      </c>
      <c r="EA179" s="229">
        <v>1.34E-2</v>
      </c>
      <c r="EB179" s="230">
        <v>77250</v>
      </c>
      <c r="EC179" s="229">
        <v>5.8999999999999999E-3</v>
      </c>
      <c r="ED179" s="229">
        <v>1.34E-2</v>
      </c>
      <c r="EE179" s="228">
        <v>10.56</v>
      </c>
      <c r="EF179" s="229">
        <v>6.0000000000000001E-3</v>
      </c>
      <c r="EG179" s="230">
        <v>1121994</v>
      </c>
      <c r="EH179" s="230">
        <v>435780</v>
      </c>
      <c r="EI179" s="229">
        <v>1.5747</v>
      </c>
      <c r="EJ179" s="229">
        <v>0.71109999999999995</v>
      </c>
      <c r="EK179" s="228">
        <v>325.24</v>
      </c>
      <c r="EL179" s="228">
        <v>143.54</v>
      </c>
      <c r="EM179" s="228">
        <v>326.35000000000002</v>
      </c>
      <c r="EN179" s="228">
        <v>65.739999999999995</v>
      </c>
      <c r="EO179" s="228">
        <v>795.12</v>
      </c>
      <c r="EP179" s="228">
        <v>898.38</v>
      </c>
      <c r="EQ179" s="228">
        <v>-103.26</v>
      </c>
      <c r="ER179" s="229">
        <v>-0.1149</v>
      </c>
      <c r="ES179" s="228">
        <v>335.02</v>
      </c>
      <c r="ET179" s="228">
        <v>125.86</v>
      </c>
      <c r="EU179" s="231">
        <v>1196.43</v>
      </c>
      <c r="EV179" s="231">
        <v>44735132</v>
      </c>
      <c r="EW179" s="231">
        <v>1657.31</v>
      </c>
      <c r="EX179" s="231">
        <v>1646.86</v>
      </c>
      <c r="EY179" s="228">
        <v>10.45</v>
      </c>
      <c r="EZ179" s="229">
        <v>6.3E-3</v>
      </c>
      <c r="FA179" s="229">
        <v>0.20730000000000001</v>
      </c>
      <c r="FB179" s="227" t="s">
        <v>568</v>
      </c>
      <c r="FC179">
        <f t="shared" si="3"/>
        <v>0</v>
      </c>
    </row>
    <row r="180" spans="1:159" ht="17.25" thickBot="1" x14ac:dyDescent="0.3">
      <c r="A180" s="226">
        <v>45936</v>
      </c>
      <c r="B180" s="227" t="s">
        <v>172</v>
      </c>
      <c r="C180" s="227" t="s">
        <v>283</v>
      </c>
      <c r="D180" s="228">
        <v>750</v>
      </c>
      <c r="E180" s="228">
        <v>22</v>
      </c>
      <c r="F180" s="228">
        <v>877.75</v>
      </c>
      <c r="G180" s="228">
        <v>872.85</v>
      </c>
      <c r="H180" s="228">
        <v>4.9000000000000004</v>
      </c>
      <c r="I180" s="229">
        <v>5.5999999999999999E-3</v>
      </c>
      <c r="J180" s="228">
        <v>874.05</v>
      </c>
      <c r="K180" s="228">
        <v>867.3</v>
      </c>
      <c r="L180" s="228">
        <v>6.75</v>
      </c>
      <c r="M180" s="229">
        <v>7.7999999999999996E-3</v>
      </c>
      <c r="N180" s="228">
        <v>877.75</v>
      </c>
      <c r="O180" s="228">
        <v>872.85</v>
      </c>
      <c r="P180" s="228">
        <v>4.9000000000000004</v>
      </c>
      <c r="Q180" s="229">
        <v>5.5999999999999999E-3</v>
      </c>
      <c r="R180" s="228">
        <v>882.3</v>
      </c>
      <c r="S180" s="228">
        <v>877.5</v>
      </c>
      <c r="T180" s="228">
        <v>4.8</v>
      </c>
      <c r="U180" s="229">
        <v>5.4999999999999997E-3</v>
      </c>
      <c r="V180" s="228">
        <v>887.55</v>
      </c>
      <c r="W180" s="228">
        <v>882.85</v>
      </c>
      <c r="X180" s="228">
        <v>4.7</v>
      </c>
      <c r="Y180" s="229">
        <v>5.3E-3</v>
      </c>
      <c r="Z180" s="228">
        <v>3.7</v>
      </c>
      <c r="AA180" s="228">
        <v>5.55</v>
      </c>
      <c r="AB180" s="228">
        <v>-1.85</v>
      </c>
      <c r="AC180" s="229">
        <v>4.1999999999999997E-3</v>
      </c>
      <c r="AD180" s="228">
        <v>3.7</v>
      </c>
      <c r="AE180" s="228">
        <v>5.55</v>
      </c>
      <c r="AF180" s="228">
        <v>-1.85</v>
      </c>
      <c r="AG180" s="229">
        <v>4.1999999999999997E-3</v>
      </c>
      <c r="AH180" s="228">
        <v>8.25</v>
      </c>
      <c r="AI180" s="228">
        <v>10.199999999999999</v>
      </c>
      <c r="AJ180" s="228">
        <v>-1.95</v>
      </c>
      <c r="AK180" s="229">
        <v>9.4000000000000004E-3</v>
      </c>
      <c r="AL180" s="228">
        <v>13.5</v>
      </c>
      <c r="AM180" s="228">
        <v>15.55</v>
      </c>
      <c r="AN180" s="228">
        <v>-2.0499999999999998</v>
      </c>
      <c r="AO180" s="229">
        <v>1.54E-2</v>
      </c>
      <c r="AP180" s="228">
        <v>872.59</v>
      </c>
      <c r="AQ180" s="228">
        <v>877.25</v>
      </c>
      <c r="AR180" s="228">
        <v>0</v>
      </c>
      <c r="AS180" s="230">
        <v>1153</v>
      </c>
      <c r="AT180" s="230">
        <v>1077</v>
      </c>
      <c r="AU180" s="228">
        <v>75</v>
      </c>
      <c r="AV180" s="229">
        <v>6.9800000000000001E-2</v>
      </c>
      <c r="AW180" s="230">
        <v>1095</v>
      </c>
      <c r="AX180" s="230">
        <v>1022</v>
      </c>
      <c r="AY180" s="228">
        <v>73</v>
      </c>
      <c r="AZ180" s="229">
        <v>7.1199999999999999E-2</v>
      </c>
      <c r="BA180" s="228">
        <v>51</v>
      </c>
      <c r="BB180" s="228">
        <v>47</v>
      </c>
      <c r="BC180" s="228">
        <v>4</v>
      </c>
      <c r="BD180" s="229">
        <v>7.5399999999999995E-2</v>
      </c>
      <c r="BE180" s="228">
        <v>7</v>
      </c>
      <c r="BF180" s="228">
        <v>8</v>
      </c>
      <c r="BG180" s="228">
        <v>-1</v>
      </c>
      <c r="BH180" s="229">
        <v>-0.13819999999999999</v>
      </c>
      <c r="BI180" s="230">
        <v>5703</v>
      </c>
      <c r="BJ180" s="230">
        <v>5560</v>
      </c>
      <c r="BK180" s="228">
        <v>144</v>
      </c>
      <c r="BL180" s="229">
        <v>2.5899999999999999E-2</v>
      </c>
      <c r="BM180" s="230">
        <v>3253</v>
      </c>
      <c r="BN180" s="230">
        <v>3497</v>
      </c>
      <c r="BO180" s="228">
        <v>-244</v>
      </c>
      <c r="BP180" s="229">
        <v>-6.9800000000000001E-2</v>
      </c>
      <c r="BQ180" s="230">
        <v>10109</v>
      </c>
      <c r="BR180" s="230">
        <v>10134</v>
      </c>
      <c r="BS180" s="228">
        <v>-25</v>
      </c>
      <c r="BT180" s="229">
        <v>-2.5000000000000001E-3</v>
      </c>
      <c r="BU180" s="230">
        <v>8473035</v>
      </c>
      <c r="BV180" s="230">
        <v>8802782</v>
      </c>
      <c r="BW180" s="230">
        <v>-329747</v>
      </c>
      <c r="BX180" s="229">
        <v>-3.7499999999999999E-2</v>
      </c>
      <c r="BY180" s="230">
        <v>8354</v>
      </c>
      <c r="BZ180" s="230">
        <v>8394</v>
      </c>
      <c r="CA180" s="228">
        <v>-40</v>
      </c>
      <c r="CB180" s="229">
        <v>-4.7999999999999996E-3</v>
      </c>
      <c r="CC180" s="230">
        <v>8196</v>
      </c>
      <c r="CD180" s="230">
        <v>8242</v>
      </c>
      <c r="CE180" s="228">
        <v>-46</v>
      </c>
      <c r="CF180" s="229">
        <v>-5.4999999999999997E-3</v>
      </c>
      <c r="CG180" s="228">
        <v>146</v>
      </c>
      <c r="CH180" s="228">
        <v>143</v>
      </c>
      <c r="CI180" s="228">
        <v>3</v>
      </c>
      <c r="CJ180" s="229">
        <v>2.35E-2</v>
      </c>
      <c r="CK180" s="228">
        <v>11</v>
      </c>
      <c r="CL180" s="228">
        <v>9</v>
      </c>
      <c r="CM180" s="228">
        <v>2</v>
      </c>
      <c r="CN180" s="229">
        <v>0.21129999999999999</v>
      </c>
      <c r="CO180" s="230">
        <v>3476</v>
      </c>
      <c r="CP180" s="230">
        <v>3313</v>
      </c>
      <c r="CQ180" s="228">
        <v>163</v>
      </c>
      <c r="CR180" s="229">
        <v>4.9099999999999998E-2</v>
      </c>
      <c r="CS180" s="230">
        <v>2194</v>
      </c>
      <c r="CT180" s="230">
        <v>2024</v>
      </c>
      <c r="CU180" s="228">
        <v>170</v>
      </c>
      <c r="CV180" s="229">
        <v>8.4199999999999997E-2</v>
      </c>
      <c r="CW180" s="230">
        <v>14024</v>
      </c>
      <c r="CX180" s="230">
        <v>13731</v>
      </c>
      <c r="CY180" s="228">
        <v>293</v>
      </c>
      <c r="CZ180" s="229">
        <v>2.1299999999999999E-2</v>
      </c>
      <c r="DA180" s="228">
        <v>18.559999999999999</v>
      </c>
      <c r="DB180" s="228">
        <v>17.71</v>
      </c>
      <c r="DC180" s="228">
        <v>0.85</v>
      </c>
      <c r="DD180" s="228">
        <v>0.85</v>
      </c>
      <c r="DE180" s="228">
        <v>26.53</v>
      </c>
      <c r="DF180" s="228">
        <v>26.59</v>
      </c>
      <c r="DG180" s="228">
        <v>-7.97</v>
      </c>
      <c r="DH180" s="228">
        <v>-0.06</v>
      </c>
      <c r="DI180" s="228">
        <v>18.489999999999998</v>
      </c>
      <c r="DJ180" s="228">
        <v>17.7</v>
      </c>
      <c r="DK180" s="228">
        <v>0.79</v>
      </c>
      <c r="DL180" s="228">
        <v>0.79</v>
      </c>
      <c r="DM180" s="228">
        <v>18.670000000000002</v>
      </c>
      <c r="DN180" s="228">
        <v>17.71</v>
      </c>
      <c r="DO180" s="228">
        <v>0.96</v>
      </c>
      <c r="DP180" s="228">
        <v>0.96</v>
      </c>
      <c r="DQ180" s="228">
        <v>0.63</v>
      </c>
      <c r="DR180" s="228">
        <v>0.61</v>
      </c>
      <c r="DS180" s="228">
        <v>0.02</v>
      </c>
      <c r="DT180" s="229">
        <v>3.2800000000000003E-2</v>
      </c>
      <c r="DU180" s="228">
        <v>880</v>
      </c>
      <c r="DV180" s="228">
        <v>870</v>
      </c>
      <c r="DW180" s="228">
        <v>0.56999999999999995</v>
      </c>
      <c r="DX180" s="228">
        <v>0.63</v>
      </c>
      <c r="DY180" s="228">
        <v>-0.06</v>
      </c>
      <c r="DZ180" s="229">
        <v>-9.5200000000000007E-2</v>
      </c>
      <c r="EA180" s="229">
        <v>1.89E-2</v>
      </c>
      <c r="EB180" s="230">
        <v>1736250</v>
      </c>
      <c r="EC180" s="229">
        <v>5.1999999999999998E-3</v>
      </c>
      <c r="ED180" s="229">
        <v>1.89E-2</v>
      </c>
      <c r="EE180" s="228">
        <v>4.66</v>
      </c>
      <c r="EF180" s="229">
        <v>5.3E-3</v>
      </c>
      <c r="EG180" s="230">
        <v>3582005</v>
      </c>
      <c r="EH180" s="230">
        <v>3907051</v>
      </c>
      <c r="EI180" s="229">
        <v>-8.3199999999999996E-2</v>
      </c>
      <c r="EJ180" s="229">
        <v>0.42280000000000001</v>
      </c>
      <c r="EK180" s="231">
        <v>5849.65</v>
      </c>
      <c r="EL180" s="231">
        <v>3203.38</v>
      </c>
      <c r="EM180" s="231">
        <v>1146.1600000000001</v>
      </c>
      <c r="EN180" s="228">
        <v>427.17</v>
      </c>
      <c r="EO180" s="231">
        <v>10199.18</v>
      </c>
      <c r="EP180" s="231">
        <v>10225.77</v>
      </c>
      <c r="EQ180" s="228">
        <v>-26.59</v>
      </c>
      <c r="ER180" s="229">
        <v>-2.5999999999999999E-3</v>
      </c>
      <c r="ES180" s="231">
        <v>3547.48</v>
      </c>
      <c r="ET180" s="231">
        <v>2105.04</v>
      </c>
      <c r="EU180" s="231">
        <v>8354.94</v>
      </c>
      <c r="EV180" s="231">
        <v>407307212</v>
      </c>
      <c r="EW180" s="231">
        <v>14007.45</v>
      </c>
      <c r="EX180" s="231">
        <v>13667.89</v>
      </c>
      <c r="EY180" s="228">
        <v>339.56</v>
      </c>
      <c r="EZ180" s="229">
        <v>2.4799999999999999E-2</v>
      </c>
      <c r="FA180" s="229">
        <v>0.39229999999999998</v>
      </c>
      <c r="FB180" s="227" t="s">
        <v>556</v>
      </c>
      <c r="FC180">
        <f t="shared" si="3"/>
        <v>0</v>
      </c>
    </row>
    <row r="181" spans="1:159" ht="17.25" thickBot="1" x14ac:dyDescent="0.3">
      <c r="A181" s="226">
        <v>45936</v>
      </c>
      <c r="B181" s="227" t="s">
        <v>157</v>
      </c>
      <c r="C181" s="227" t="s">
        <v>284</v>
      </c>
      <c r="D181" s="228">
        <v>25</v>
      </c>
      <c r="E181" s="228">
        <v>22</v>
      </c>
      <c r="F181" s="231">
        <v>29460</v>
      </c>
      <c r="G181" s="231">
        <v>29270</v>
      </c>
      <c r="H181" s="228">
        <v>190</v>
      </c>
      <c r="I181" s="229">
        <v>6.4999999999999997E-3</v>
      </c>
      <c r="J181" s="231">
        <v>29295</v>
      </c>
      <c r="K181" s="231">
        <v>29180</v>
      </c>
      <c r="L181" s="228">
        <v>115</v>
      </c>
      <c r="M181" s="229">
        <v>3.8999999999999998E-3</v>
      </c>
      <c r="N181" s="231">
        <v>29460</v>
      </c>
      <c r="O181" s="231">
        <v>29270</v>
      </c>
      <c r="P181" s="228">
        <v>190</v>
      </c>
      <c r="Q181" s="229">
        <v>6.4999999999999997E-3</v>
      </c>
      <c r="R181" s="231">
        <v>29490</v>
      </c>
      <c r="S181" s="231">
        <v>29335</v>
      </c>
      <c r="T181" s="228">
        <v>155</v>
      </c>
      <c r="U181" s="229">
        <v>5.3E-3</v>
      </c>
      <c r="V181" s="228">
        <v>0</v>
      </c>
      <c r="W181" s="228">
        <v>0</v>
      </c>
      <c r="X181" s="228">
        <v>0</v>
      </c>
      <c r="Y181" s="229">
        <v>0</v>
      </c>
      <c r="Z181" s="228">
        <v>165</v>
      </c>
      <c r="AA181" s="228">
        <v>90</v>
      </c>
      <c r="AB181" s="228">
        <v>75</v>
      </c>
      <c r="AC181" s="229">
        <v>5.5999999999999999E-3</v>
      </c>
      <c r="AD181" s="228">
        <v>165</v>
      </c>
      <c r="AE181" s="228">
        <v>90</v>
      </c>
      <c r="AF181" s="228">
        <v>75</v>
      </c>
      <c r="AG181" s="229">
        <v>5.5999999999999999E-3</v>
      </c>
      <c r="AH181" s="228">
        <v>195</v>
      </c>
      <c r="AI181" s="228">
        <v>155</v>
      </c>
      <c r="AJ181" s="228">
        <v>40</v>
      </c>
      <c r="AK181" s="229">
        <v>6.7000000000000002E-3</v>
      </c>
      <c r="AL181" s="228">
        <v>0</v>
      </c>
      <c r="AM181" s="228">
        <v>0</v>
      </c>
      <c r="AN181" s="228">
        <v>0</v>
      </c>
      <c r="AO181" s="229">
        <v>0</v>
      </c>
      <c r="AP181" s="231">
        <v>29331.919999999998</v>
      </c>
      <c r="AQ181" s="231">
        <v>29302.86</v>
      </c>
      <c r="AR181" s="228">
        <v>0</v>
      </c>
      <c r="AS181" s="228">
        <v>99</v>
      </c>
      <c r="AT181" s="228">
        <v>54</v>
      </c>
      <c r="AU181" s="228">
        <v>45</v>
      </c>
      <c r="AV181" s="229">
        <v>0.83309999999999995</v>
      </c>
      <c r="AW181" s="228">
        <v>97</v>
      </c>
      <c r="AX181" s="228">
        <v>52</v>
      </c>
      <c r="AY181" s="228">
        <v>44</v>
      </c>
      <c r="AZ181" s="229">
        <v>0.8427</v>
      </c>
      <c r="BA181" s="228">
        <v>2</v>
      </c>
      <c r="BB181" s="228">
        <v>1</v>
      </c>
      <c r="BC181" s="228">
        <v>1</v>
      </c>
      <c r="BD181" s="229">
        <v>0.47370000000000001</v>
      </c>
      <c r="BE181" s="228">
        <v>0</v>
      </c>
      <c r="BF181" s="228">
        <v>0</v>
      </c>
      <c r="BG181" s="228">
        <v>0</v>
      </c>
      <c r="BH181" s="229">
        <v>0</v>
      </c>
      <c r="BI181" s="228">
        <v>127</v>
      </c>
      <c r="BJ181" s="228">
        <v>46</v>
      </c>
      <c r="BK181" s="228">
        <v>81</v>
      </c>
      <c r="BL181" s="229">
        <v>1.7621</v>
      </c>
      <c r="BM181" s="228">
        <v>38</v>
      </c>
      <c r="BN181" s="228">
        <v>17</v>
      </c>
      <c r="BO181" s="228">
        <v>21</v>
      </c>
      <c r="BP181" s="229">
        <v>1.2664</v>
      </c>
      <c r="BQ181" s="228">
        <v>263</v>
      </c>
      <c r="BR181" s="228">
        <v>117</v>
      </c>
      <c r="BS181" s="228">
        <v>147</v>
      </c>
      <c r="BT181" s="229">
        <v>1.2611000000000001</v>
      </c>
      <c r="BU181" s="230">
        <v>12344</v>
      </c>
      <c r="BV181" s="230">
        <v>13934</v>
      </c>
      <c r="BW181" s="230">
        <v>-1590</v>
      </c>
      <c r="BX181" s="229">
        <v>-0.11409999999999999</v>
      </c>
      <c r="BY181" s="228">
        <v>672</v>
      </c>
      <c r="BZ181" s="228">
        <v>674</v>
      </c>
      <c r="CA181" s="228">
        <v>-2</v>
      </c>
      <c r="CB181" s="229">
        <v>-2.3E-3</v>
      </c>
      <c r="CC181" s="228">
        <v>667</v>
      </c>
      <c r="CD181" s="228">
        <v>669</v>
      </c>
      <c r="CE181" s="228">
        <v>-2</v>
      </c>
      <c r="CF181" s="229">
        <v>-2.8999999999999998E-3</v>
      </c>
      <c r="CG181" s="228">
        <v>5</v>
      </c>
      <c r="CH181" s="228">
        <v>4</v>
      </c>
      <c r="CI181" s="228">
        <v>0</v>
      </c>
      <c r="CJ181" s="229">
        <v>8.77E-2</v>
      </c>
      <c r="CK181" s="228">
        <v>0</v>
      </c>
      <c r="CL181" s="228">
        <v>0</v>
      </c>
      <c r="CM181" s="228">
        <v>0</v>
      </c>
      <c r="CN181" s="229">
        <v>0</v>
      </c>
      <c r="CO181" s="228">
        <v>75</v>
      </c>
      <c r="CP181" s="228">
        <v>63</v>
      </c>
      <c r="CQ181" s="228">
        <v>12</v>
      </c>
      <c r="CR181" s="229">
        <v>0.1951</v>
      </c>
      <c r="CS181" s="228">
        <v>53</v>
      </c>
      <c r="CT181" s="228">
        <v>46</v>
      </c>
      <c r="CU181" s="228">
        <v>7</v>
      </c>
      <c r="CV181" s="229">
        <v>0.1444</v>
      </c>
      <c r="CW181" s="228">
        <v>800</v>
      </c>
      <c r="CX181" s="228">
        <v>783</v>
      </c>
      <c r="CY181" s="228">
        <v>17</v>
      </c>
      <c r="CZ181" s="229">
        <v>2.2200000000000001E-2</v>
      </c>
      <c r="DA181" s="228">
        <v>20.93</v>
      </c>
      <c r="DB181" s="228">
        <v>20.2</v>
      </c>
      <c r="DC181" s="228">
        <v>0.73</v>
      </c>
      <c r="DD181" s="228">
        <v>0.73</v>
      </c>
      <c r="DE181" s="228">
        <v>26.1</v>
      </c>
      <c r="DF181" s="228">
        <v>26.15</v>
      </c>
      <c r="DG181" s="228">
        <v>-5.17</v>
      </c>
      <c r="DH181" s="228">
        <v>-0.05</v>
      </c>
      <c r="DI181" s="228">
        <v>21.03</v>
      </c>
      <c r="DJ181" s="228">
        <v>20.47</v>
      </c>
      <c r="DK181" s="228">
        <v>0.56000000000000005</v>
      </c>
      <c r="DL181" s="228">
        <v>0.56000000000000005</v>
      </c>
      <c r="DM181" s="228">
        <v>20.59</v>
      </c>
      <c r="DN181" s="228">
        <v>19.45</v>
      </c>
      <c r="DO181" s="228">
        <v>1.1399999999999999</v>
      </c>
      <c r="DP181" s="228">
        <v>1.1399999999999999</v>
      </c>
      <c r="DQ181" s="228">
        <v>0.71</v>
      </c>
      <c r="DR181" s="228">
        <v>0.74</v>
      </c>
      <c r="DS181" s="228">
        <v>-0.03</v>
      </c>
      <c r="DT181" s="229">
        <v>-4.0500000000000001E-2</v>
      </c>
      <c r="DU181" s="231">
        <v>30000</v>
      </c>
      <c r="DV181" s="231">
        <v>29000</v>
      </c>
      <c r="DW181" s="228">
        <v>0.3</v>
      </c>
      <c r="DX181" s="228">
        <v>0.37</v>
      </c>
      <c r="DY181" s="228">
        <v>-7.0000000000000007E-2</v>
      </c>
      <c r="DZ181" s="229">
        <v>-0.18920000000000001</v>
      </c>
      <c r="EA181" s="229">
        <v>6.7999999999999996E-3</v>
      </c>
      <c r="EB181" s="230">
        <v>1425</v>
      </c>
      <c r="EC181" s="229">
        <v>1E-3</v>
      </c>
      <c r="ED181" s="229">
        <v>6.7999999999999996E-3</v>
      </c>
      <c r="EE181" s="228">
        <v>-29.06</v>
      </c>
      <c r="EF181" s="229">
        <v>-1E-3</v>
      </c>
      <c r="EG181" s="230">
        <v>6703</v>
      </c>
      <c r="EH181" s="230">
        <v>8320</v>
      </c>
      <c r="EI181" s="229">
        <v>-0.19439999999999999</v>
      </c>
      <c r="EJ181" s="229">
        <v>0.54300000000000004</v>
      </c>
      <c r="EK181" s="228">
        <v>130.69999999999999</v>
      </c>
      <c r="EL181" s="228">
        <v>37.43</v>
      </c>
      <c r="EM181" s="228">
        <v>98.26</v>
      </c>
      <c r="EN181" s="228">
        <v>47.98</v>
      </c>
      <c r="EO181" s="228">
        <v>266.38</v>
      </c>
      <c r="EP181" s="228">
        <v>117.42</v>
      </c>
      <c r="EQ181" s="228">
        <v>148.97</v>
      </c>
      <c r="ER181" s="229">
        <v>1.2686999999999999</v>
      </c>
      <c r="ES181" s="228">
        <v>77.37</v>
      </c>
      <c r="ET181" s="228">
        <v>51.64</v>
      </c>
      <c r="EU181" s="228">
        <v>671.99</v>
      </c>
      <c r="EV181" s="231">
        <v>1548028</v>
      </c>
      <c r="EW181" s="228">
        <v>801</v>
      </c>
      <c r="EX181" s="228">
        <v>779.11</v>
      </c>
      <c r="EY181" s="228">
        <v>21.89</v>
      </c>
      <c r="EZ181" s="229">
        <v>2.81E-2</v>
      </c>
      <c r="FA181" s="229">
        <v>0.1754</v>
      </c>
      <c r="FB181" s="227" t="s">
        <v>556</v>
      </c>
      <c r="FC181">
        <f t="shared" si="3"/>
        <v>0</v>
      </c>
    </row>
    <row r="182" spans="1:159" ht="17.25" thickBot="1" x14ac:dyDescent="0.3">
      <c r="A182" s="226">
        <v>45936</v>
      </c>
      <c r="B182" s="227" t="s">
        <v>175</v>
      </c>
      <c r="C182" s="227" t="s">
        <v>562</v>
      </c>
      <c r="D182" s="228">
        <v>825</v>
      </c>
      <c r="E182" s="228">
        <v>22</v>
      </c>
      <c r="F182" s="228">
        <v>674.7</v>
      </c>
      <c r="G182" s="228">
        <v>650.4</v>
      </c>
      <c r="H182" s="228">
        <v>24.3</v>
      </c>
      <c r="I182" s="229">
        <v>3.7400000000000003E-2</v>
      </c>
      <c r="J182" s="228">
        <v>671.45</v>
      </c>
      <c r="K182" s="228">
        <v>645.79999999999995</v>
      </c>
      <c r="L182" s="228">
        <v>25.65</v>
      </c>
      <c r="M182" s="229">
        <v>3.9699999999999999E-2</v>
      </c>
      <c r="N182" s="228">
        <v>674.7</v>
      </c>
      <c r="O182" s="228">
        <v>650.4</v>
      </c>
      <c r="P182" s="228">
        <v>24.3</v>
      </c>
      <c r="Q182" s="229">
        <v>3.7400000000000003E-2</v>
      </c>
      <c r="R182" s="228">
        <v>673.35</v>
      </c>
      <c r="S182" s="228">
        <v>649.54999999999995</v>
      </c>
      <c r="T182" s="228">
        <v>23.8</v>
      </c>
      <c r="U182" s="229">
        <v>3.6600000000000001E-2</v>
      </c>
      <c r="V182" s="228">
        <v>677.1</v>
      </c>
      <c r="W182" s="228">
        <v>653.4</v>
      </c>
      <c r="X182" s="228">
        <v>23.7</v>
      </c>
      <c r="Y182" s="229">
        <v>3.6299999999999999E-2</v>
      </c>
      <c r="Z182" s="228">
        <v>3.25</v>
      </c>
      <c r="AA182" s="228">
        <v>4.5999999999999996</v>
      </c>
      <c r="AB182" s="228">
        <v>-1.35</v>
      </c>
      <c r="AC182" s="229">
        <v>4.7999999999999996E-3</v>
      </c>
      <c r="AD182" s="228">
        <v>3.25</v>
      </c>
      <c r="AE182" s="228">
        <v>4.5999999999999996</v>
      </c>
      <c r="AF182" s="228">
        <v>-1.35</v>
      </c>
      <c r="AG182" s="229">
        <v>4.7999999999999996E-3</v>
      </c>
      <c r="AH182" s="228">
        <v>1.9</v>
      </c>
      <c r="AI182" s="228">
        <v>3.75</v>
      </c>
      <c r="AJ182" s="228">
        <v>-1.85</v>
      </c>
      <c r="AK182" s="229">
        <v>2.8E-3</v>
      </c>
      <c r="AL182" s="228">
        <v>5.65</v>
      </c>
      <c r="AM182" s="228">
        <v>7.6</v>
      </c>
      <c r="AN182" s="228">
        <v>-1.95</v>
      </c>
      <c r="AO182" s="229">
        <v>8.3999999999999995E-3</v>
      </c>
      <c r="AP182" s="228">
        <v>669.71</v>
      </c>
      <c r="AQ182" s="228">
        <v>667.57</v>
      </c>
      <c r="AR182" s="228">
        <v>0</v>
      </c>
      <c r="AS182" s="228">
        <v>799</v>
      </c>
      <c r="AT182" s="228">
        <v>573</v>
      </c>
      <c r="AU182" s="228">
        <v>226</v>
      </c>
      <c r="AV182" s="229">
        <v>0.39489999999999997</v>
      </c>
      <c r="AW182" s="228">
        <v>761</v>
      </c>
      <c r="AX182" s="228">
        <v>551</v>
      </c>
      <c r="AY182" s="228">
        <v>209</v>
      </c>
      <c r="AZ182" s="229">
        <v>0.38</v>
      </c>
      <c r="BA182" s="228">
        <v>33</v>
      </c>
      <c r="BB182" s="228">
        <v>19</v>
      </c>
      <c r="BC182" s="228">
        <v>14</v>
      </c>
      <c r="BD182" s="229">
        <v>0.71970000000000001</v>
      </c>
      <c r="BE182" s="228">
        <v>5</v>
      </c>
      <c r="BF182" s="228">
        <v>3</v>
      </c>
      <c r="BG182" s="228">
        <v>3</v>
      </c>
      <c r="BH182" s="229">
        <v>1.1778</v>
      </c>
      <c r="BI182" s="230">
        <v>2632</v>
      </c>
      <c r="BJ182" s="228">
        <v>767</v>
      </c>
      <c r="BK182" s="230">
        <v>1865</v>
      </c>
      <c r="BL182" s="229">
        <v>2.4302000000000001</v>
      </c>
      <c r="BM182" s="230">
        <v>1156</v>
      </c>
      <c r="BN182" s="228">
        <v>440</v>
      </c>
      <c r="BO182" s="228">
        <v>716</v>
      </c>
      <c r="BP182" s="229">
        <v>1.6254</v>
      </c>
      <c r="BQ182" s="230">
        <v>4588</v>
      </c>
      <c r="BR182" s="230">
        <v>1781</v>
      </c>
      <c r="BS182" s="230">
        <v>2807</v>
      </c>
      <c r="BT182" s="229">
        <v>1.5763</v>
      </c>
      <c r="BU182" s="230">
        <v>11116297</v>
      </c>
      <c r="BV182" s="230">
        <v>7377053</v>
      </c>
      <c r="BW182" s="230">
        <v>3739244</v>
      </c>
      <c r="BX182" s="229">
        <v>0.50690000000000002</v>
      </c>
      <c r="BY182" s="230">
        <v>3344</v>
      </c>
      <c r="BZ182" s="230">
        <v>3305</v>
      </c>
      <c r="CA182" s="228">
        <v>40</v>
      </c>
      <c r="CB182" s="229">
        <v>1.2E-2</v>
      </c>
      <c r="CC182" s="230">
        <v>3266</v>
      </c>
      <c r="CD182" s="230">
        <v>3230</v>
      </c>
      <c r="CE182" s="228">
        <v>36</v>
      </c>
      <c r="CF182" s="229">
        <v>1.11E-2</v>
      </c>
      <c r="CG182" s="228">
        <v>74</v>
      </c>
      <c r="CH182" s="228">
        <v>70</v>
      </c>
      <c r="CI182" s="228">
        <v>3</v>
      </c>
      <c r="CJ182" s="229">
        <v>4.7399999999999998E-2</v>
      </c>
      <c r="CK182" s="228">
        <v>4</v>
      </c>
      <c r="CL182" s="228">
        <v>4</v>
      </c>
      <c r="CM182" s="228">
        <v>0</v>
      </c>
      <c r="CN182" s="229">
        <v>0.1014</v>
      </c>
      <c r="CO182" s="228">
        <v>523</v>
      </c>
      <c r="CP182" s="228">
        <v>420</v>
      </c>
      <c r="CQ182" s="228">
        <v>103</v>
      </c>
      <c r="CR182" s="229">
        <v>0.2447</v>
      </c>
      <c r="CS182" s="228">
        <v>460</v>
      </c>
      <c r="CT182" s="228">
        <v>339</v>
      </c>
      <c r="CU182" s="228">
        <v>121</v>
      </c>
      <c r="CV182" s="229">
        <v>0.35570000000000002</v>
      </c>
      <c r="CW182" s="230">
        <v>4327</v>
      </c>
      <c r="CX182" s="230">
        <v>4064</v>
      </c>
      <c r="CY182" s="228">
        <v>263</v>
      </c>
      <c r="CZ182" s="229">
        <v>6.4699999999999994E-2</v>
      </c>
      <c r="DA182" s="228">
        <v>31.79</v>
      </c>
      <c r="DB182" s="228">
        <v>30.26</v>
      </c>
      <c r="DC182" s="228">
        <v>1.53</v>
      </c>
      <c r="DD182" s="228">
        <v>1.53</v>
      </c>
      <c r="DE182" s="228">
        <v>41.39</v>
      </c>
      <c r="DF182" s="228">
        <v>41.15</v>
      </c>
      <c r="DG182" s="228">
        <v>-9.6</v>
      </c>
      <c r="DH182" s="228">
        <v>0.24</v>
      </c>
      <c r="DI182" s="228">
        <v>31.42</v>
      </c>
      <c r="DJ182" s="228">
        <v>30.17</v>
      </c>
      <c r="DK182" s="228">
        <v>1.25</v>
      </c>
      <c r="DL182" s="228">
        <v>1.25</v>
      </c>
      <c r="DM182" s="228">
        <v>32.630000000000003</v>
      </c>
      <c r="DN182" s="228">
        <v>30.42</v>
      </c>
      <c r="DO182" s="228">
        <v>2.21</v>
      </c>
      <c r="DP182" s="228">
        <v>2.21</v>
      </c>
      <c r="DQ182" s="228">
        <v>0.88</v>
      </c>
      <c r="DR182" s="228">
        <v>0.81</v>
      </c>
      <c r="DS182" s="228">
        <v>7.0000000000000007E-2</v>
      </c>
      <c r="DT182" s="229">
        <v>8.6400000000000005E-2</v>
      </c>
      <c r="DU182" s="228">
        <v>700</v>
      </c>
      <c r="DV182" s="228">
        <v>660</v>
      </c>
      <c r="DW182" s="228">
        <v>0.44</v>
      </c>
      <c r="DX182" s="228">
        <v>0.56999999999999995</v>
      </c>
      <c r="DY182" s="228">
        <v>-0.13</v>
      </c>
      <c r="DZ182" s="229">
        <v>-0.2281</v>
      </c>
      <c r="EA182" s="229">
        <v>2.3300000000000001E-2</v>
      </c>
      <c r="EB182" s="230">
        <v>1100550</v>
      </c>
      <c r="EC182" s="229">
        <v>-2E-3</v>
      </c>
      <c r="ED182" s="229">
        <v>2.3300000000000001E-2</v>
      </c>
      <c r="EE182" s="228">
        <v>-2.14</v>
      </c>
      <c r="EF182" s="229">
        <v>-3.2000000000000002E-3</v>
      </c>
      <c r="EG182" s="230">
        <v>4571574</v>
      </c>
      <c r="EH182" s="230">
        <v>4367305</v>
      </c>
      <c r="EI182" s="229">
        <v>4.6800000000000001E-2</v>
      </c>
      <c r="EJ182" s="229">
        <v>0.41120000000000001</v>
      </c>
      <c r="EK182" s="231">
        <v>2722.27</v>
      </c>
      <c r="EL182" s="231">
        <v>1122.81</v>
      </c>
      <c r="EM182" s="228">
        <v>793.1</v>
      </c>
      <c r="EN182" s="228">
        <v>201.84</v>
      </c>
      <c r="EO182" s="231">
        <v>4638.17</v>
      </c>
      <c r="EP182" s="231">
        <v>1742.53</v>
      </c>
      <c r="EQ182" s="231">
        <v>2895.64</v>
      </c>
      <c r="ER182" s="229">
        <v>1.6617</v>
      </c>
      <c r="ES182" s="228">
        <v>526.95000000000005</v>
      </c>
      <c r="ET182" s="228">
        <v>429.92</v>
      </c>
      <c r="EU182" s="231">
        <v>3344.03</v>
      </c>
      <c r="EV182" s="231">
        <v>210459276</v>
      </c>
      <c r="EW182" s="231">
        <v>4300.8999999999996</v>
      </c>
      <c r="EX182" s="231">
        <v>3908.46</v>
      </c>
      <c r="EY182" s="228">
        <v>392.44</v>
      </c>
      <c r="EZ182" s="229">
        <v>0.1004</v>
      </c>
      <c r="FA182" s="229">
        <v>0.30470000000000003</v>
      </c>
      <c r="FB182" s="227" t="s">
        <v>555</v>
      </c>
      <c r="FC182">
        <f t="shared" si="3"/>
        <v>0</v>
      </c>
    </row>
    <row r="183" spans="1:159" ht="17.25" thickBot="1" x14ac:dyDescent="0.3">
      <c r="A183" s="226">
        <v>45936</v>
      </c>
      <c r="B183" s="227" t="s">
        <v>184</v>
      </c>
      <c r="C183" s="227" t="s">
        <v>285</v>
      </c>
      <c r="D183" s="228">
        <v>125</v>
      </c>
      <c r="E183" s="228">
        <v>22</v>
      </c>
      <c r="F183" s="231">
        <v>3269</v>
      </c>
      <c r="G183" s="231">
        <v>3183.6</v>
      </c>
      <c r="H183" s="228">
        <v>85.4</v>
      </c>
      <c r="I183" s="229">
        <v>2.6800000000000001E-2</v>
      </c>
      <c r="J183" s="231">
        <v>3251.7</v>
      </c>
      <c r="K183" s="231">
        <v>3164.1</v>
      </c>
      <c r="L183" s="228">
        <v>87.6</v>
      </c>
      <c r="M183" s="229">
        <v>2.7699999999999999E-2</v>
      </c>
      <c r="N183" s="231">
        <v>3269</v>
      </c>
      <c r="O183" s="231">
        <v>3183.6</v>
      </c>
      <c r="P183" s="228">
        <v>85.4</v>
      </c>
      <c r="Q183" s="229">
        <v>2.6800000000000001E-2</v>
      </c>
      <c r="R183" s="231">
        <v>3287.2</v>
      </c>
      <c r="S183" s="231">
        <v>3200.7</v>
      </c>
      <c r="T183" s="228">
        <v>86.5</v>
      </c>
      <c r="U183" s="229">
        <v>2.7E-2</v>
      </c>
      <c r="V183" s="231">
        <v>3300</v>
      </c>
      <c r="W183" s="231">
        <v>3221</v>
      </c>
      <c r="X183" s="228">
        <v>79</v>
      </c>
      <c r="Y183" s="229">
        <v>2.4500000000000001E-2</v>
      </c>
      <c r="Z183" s="228">
        <v>17.3</v>
      </c>
      <c r="AA183" s="228">
        <v>19.5</v>
      </c>
      <c r="AB183" s="228">
        <v>-2.2000000000000002</v>
      </c>
      <c r="AC183" s="229">
        <v>5.3E-3</v>
      </c>
      <c r="AD183" s="228">
        <v>17.3</v>
      </c>
      <c r="AE183" s="228">
        <v>19.5</v>
      </c>
      <c r="AF183" s="228">
        <v>-2.2000000000000002</v>
      </c>
      <c r="AG183" s="229">
        <v>5.3E-3</v>
      </c>
      <c r="AH183" s="228">
        <v>35.5</v>
      </c>
      <c r="AI183" s="228">
        <v>36.6</v>
      </c>
      <c r="AJ183" s="228">
        <v>-1.1000000000000001</v>
      </c>
      <c r="AK183" s="229">
        <v>1.09E-2</v>
      </c>
      <c r="AL183" s="228">
        <v>48.3</v>
      </c>
      <c r="AM183" s="228">
        <v>56.9</v>
      </c>
      <c r="AN183" s="228">
        <v>-8.6</v>
      </c>
      <c r="AO183" s="229">
        <v>1.49E-2</v>
      </c>
      <c r="AP183" s="231">
        <v>3244.72</v>
      </c>
      <c r="AQ183" s="231">
        <v>3252.56</v>
      </c>
      <c r="AR183" s="228">
        <v>0</v>
      </c>
      <c r="AS183" s="228">
        <v>199</v>
      </c>
      <c r="AT183" s="228">
        <v>93</v>
      </c>
      <c r="AU183" s="228">
        <v>107</v>
      </c>
      <c r="AV183" s="229">
        <v>1.1541999999999999</v>
      </c>
      <c r="AW183" s="228">
        <v>188</v>
      </c>
      <c r="AX183" s="228">
        <v>87</v>
      </c>
      <c r="AY183" s="228">
        <v>102</v>
      </c>
      <c r="AZ183" s="229">
        <v>1.1746000000000001</v>
      </c>
      <c r="BA183" s="228">
        <v>10</v>
      </c>
      <c r="BB183" s="228">
        <v>5</v>
      </c>
      <c r="BC183" s="228">
        <v>4</v>
      </c>
      <c r="BD183" s="229">
        <v>0.80769999999999997</v>
      </c>
      <c r="BE183" s="228">
        <v>1</v>
      </c>
      <c r="BF183" s="228">
        <v>1</v>
      </c>
      <c r="BG183" s="228">
        <v>1</v>
      </c>
      <c r="BH183" s="229">
        <v>1.2666999999999999</v>
      </c>
      <c r="BI183" s="228">
        <v>809</v>
      </c>
      <c r="BJ183" s="228">
        <v>239</v>
      </c>
      <c r="BK183" s="228">
        <v>571</v>
      </c>
      <c r="BL183" s="229">
        <v>2.39</v>
      </c>
      <c r="BM183" s="228">
        <v>254</v>
      </c>
      <c r="BN183" s="228">
        <v>95</v>
      </c>
      <c r="BO183" s="228">
        <v>159</v>
      </c>
      <c r="BP183" s="229">
        <v>1.6739999999999999</v>
      </c>
      <c r="BQ183" s="230">
        <v>1263</v>
      </c>
      <c r="BR183" s="228">
        <v>426</v>
      </c>
      <c r="BS183" s="228">
        <v>836</v>
      </c>
      <c r="BT183" s="229">
        <v>1.9621999999999999</v>
      </c>
      <c r="BU183" s="230">
        <v>620382</v>
      </c>
      <c r="BV183" s="230">
        <v>233319</v>
      </c>
      <c r="BW183" s="230">
        <v>387063</v>
      </c>
      <c r="BX183" s="229">
        <v>1.6589</v>
      </c>
      <c r="BY183" s="228">
        <v>742</v>
      </c>
      <c r="BZ183" s="228">
        <v>759</v>
      </c>
      <c r="CA183" s="228">
        <v>-17</v>
      </c>
      <c r="CB183" s="229">
        <v>-2.2499999999999999E-2</v>
      </c>
      <c r="CC183" s="228">
        <v>731</v>
      </c>
      <c r="CD183" s="228">
        <v>748</v>
      </c>
      <c r="CE183" s="228">
        <v>-17</v>
      </c>
      <c r="CF183" s="229">
        <v>-2.24E-2</v>
      </c>
      <c r="CG183" s="228">
        <v>11</v>
      </c>
      <c r="CH183" s="228">
        <v>11</v>
      </c>
      <c r="CI183" s="228">
        <v>-1</v>
      </c>
      <c r="CJ183" s="229">
        <v>-5.3800000000000001E-2</v>
      </c>
      <c r="CK183" s="228">
        <v>1</v>
      </c>
      <c r="CL183" s="228">
        <v>0</v>
      </c>
      <c r="CM183" s="228">
        <v>0</v>
      </c>
      <c r="CN183" s="229">
        <v>0.5</v>
      </c>
      <c r="CO183" s="228">
        <v>230</v>
      </c>
      <c r="CP183" s="228">
        <v>203</v>
      </c>
      <c r="CQ183" s="228">
        <v>27</v>
      </c>
      <c r="CR183" s="229">
        <v>0.1351</v>
      </c>
      <c r="CS183" s="228">
        <v>126</v>
      </c>
      <c r="CT183" s="228">
        <v>91</v>
      </c>
      <c r="CU183" s="228">
        <v>35</v>
      </c>
      <c r="CV183" s="229">
        <v>0.3861</v>
      </c>
      <c r="CW183" s="230">
        <v>1098</v>
      </c>
      <c r="CX183" s="230">
        <v>1053</v>
      </c>
      <c r="CY183" s="228">
        <v>45</v>
      </c>
      <c r="CZ183" s="229">
        <v>4.3099999999999999E-2</v>
      </c>
      <c r="DA183" s="228">
        <v>26.51</v>
      </c>
      <c r="DB183" s="228">
        <v>25.53</v>
      </c>
      <c r="DC183" s="228">
        <v>0.98</v>
      </c>
      <c r="DD183" s="228">
        <v>0.98</v>
      </c>
      <c r="DE183" s="228">
        <v>40.32</v>
      </c>
      <c r="DF183" s="228">
        <v>40.25</v>
      </c>
      <c r="DG183" s="228">
        <v>-13.81</v>
      </c>
      <c r="DH183" s="228">
        <v>7.0000000000000007E-2</v>
      </c>
      <c r="DI183" s="228">
        <v>26.46</v>
      </c>
      <c r="DJ183" s="228">
        <v>25.48</v>
      </c>
      <c r="DK183" s="228">
        <v>0.98</v>
      </c>
      <c r="DL183" s="228">
        <v>0.98</v>
      </c>
      <c r="DM183" s="228">
        <v>26.68</v>
      </c>
      <c r="DN183" s="228">
        <v>25.65</v>
      </c>
      <c r="DO183" s="228">
        <v>1.03</v>
      </c>
      <c r="DP183" s="228">
        <v>1.03</v>
      </c>
      <c r="DQ183" s="228">
        <v>0.55000000000000004</v>
      </c>
      <c r="DR183" s="228">
        <v>0.45</v>
      </c>
      <c r="DS183" s="228">
        <v>0.1</v>
      </c>
      <c r="DT183" s="229">
        <v>0.22220000000000001</v>
      </c>
      <c r="DU183" s="231">
        <v>3300</v>
      </c>
      <c r="DV183" s="231">
        <v>3100</v>
      </c>
      <c r="DW183" s="228">
        <v>0.31</v>
      </c>
      <c r="DX183" s="228">
        <v>0.4</v>
      </c>
      <c r="DY183" s="228">
        <v>-0.09</v>
      </c>
      <c r="DZ183" s="229">
        <v>-0.22500000000000001</v>
      </c>
      <c r="EA183" s="229">
        <v>1.55E-2</v>
      </c>
      <c r="EB183" s="230">
        <v>36375</v>
      </c>
      <c r="EC183" s="229">
        <v>5.5999999999999999E-3</v>
      </c>
      <c r="ED183" s="229">
        <v>1.55E-2</v>
      </c>
      <c r="EE183" s="228">
        <v>7.84</v>
      </c>
      <c r="EF183" s="229">
        <v>2.3999999999999998E-3</v>
      </c>
      <c r="EG183" s="230">
        <v>269624</v>
      </c>
      <c r="EH183" s="230">
        <v>143553</v>
      </c>
      <c r="EI183" s="229">
        <v>0.87819999999999998</v>
      </c>
      <c r="EJ183" s="229">
        <v>0.43459999999999999</v>
      </c>
      <c r="EK183" s="228">
        <v>836.56</v>
      </c>
      <c r="EL183" s="228">
        <v>247.04</v>
      </c>
      <c r="EM183" s="228">
        <v>197.83</v>
      </c>
      <c r="EN183" s="228">
        <v>57.85</v>
      </c>
      <c r="EO183" s="231">
        <v>1281.43</v>
      </c>
      <c r="EP183" s="228">
        <v>422.52</v>
      </c>
      <c r="EQ183" s="228">
        <v>858.91</v>
      </c>
      <c r="ER183" s="229">
        <v>2.0327999999999999</v>
      </c>
      <c r="ES183" s="228">
        <v>235.99</v>
      </c>
      <c r="ET183" s="228">
        <v>119.14</v>
      </c>
      <c r="EU183" s="228">
        <v>742.42</v>
      </c>
      <c r="EV183" s="231">
        <v>13354588</v>
      </c>
      <c r="EW183" s="231">
        <v>1097.54</v>
      </c>
      <c r="EX183" s="231">
        <v>1030.8699999999999</v>
      </c>
      <c r="EY183" s="228">
        <v>66.67</v>
      </c>
      <c r="EZ183" s="229">
        <v>6.4699999999999994E-2</v>
      </c>
      <c r="FA183" s="229">
        <v>0.25159999999999999</v>
      </c>
      <c r="FB183" s="227" t="s">
        <v>556</v>
      </c>
      <c r="FC183">
        <f t="shared" si="3"/>
        <v>0</v>
      </c>
    </row>
    <row r="184" spans="1:159" ht="17.25" thickBot="1" x14ac:dyDescent="0.3">
      <c r="A184" s="226">
        <v>45936</v>
      </c>
      <c r="B184" s="227" t="s">
        <v>498</v>
      </c>
      <c r="C184" s="227" t="s">
        <v>647</v>
      </c>
      <c r="D184" s="228">
        <v>75</v>
      </c>
      <c r="E184" s="228">
        <v>22</v>
      </c>
      <c r="F184" s="231">
        <v>14196</v>
      </c>
      <c r="G184" s="231">
        <v>13916</v>
      </c>
      <c r="H184" s="228">
        <v>280</v>
      </c>
      <c r="I184" s="229">
        <v>2.01E-2</v>
      </c>
      <c r="J184" s="231">
        <v>14140</v>
      </c>
      <c r="K184" s="231">
        <v>13853</v>
      </c>
      <c r="L184" s="228">
        <v>287</v>
      </c>
      <c r="M184" s="229">
        <v>2.07E-2</v>
      </c>
      <c r="N184" s="231">
        <v>14196</v>
      </c>
      <c r="O184" s="231">
        <v>13916</v>
      </c>
      <c r="P184" s="228">
        <v>280</v>
      </c>
      <c r="Q184" s="229">
        <v>2.01E-2</v>
      </c>
      <c r="R184" s="231">
        <v>14272</v>
      </c>
      <c r="S184" s="231">
        <v>14004</v>
      </c>
      <c r="T184" s="228">
        <v>268</v>
      </c>
      <c r="U184" s="229">
        <v>1.9099999999999999E-2</v>
      </c>
      <c r="V184" s="231">
        <v>14362</v>
      </c>
      <c r="W184" s="231">
        <v>13962</v>
      </c>
      <c r="X184" s="228">
        <v>400</v>
      </c>
      <c r="Y184" s="229">
        <v>2.86E-2</v>
      </c>
      <c r="Z184" s="228">
        <v>56</v>
      </c>
      <c r="AA184" s="228">
        <v>63</v>
      </c>
      <c r="AB184" s="228">
        <v>-7</v>
      </c>
      <c r="AC184" s="229">
        <v>4.0000000000000001E-3</v>
      </c>
      <c r="AD184" s="228">
        <v>56</v>
      </c>
      <c r="AE184" s="228">
        <v>63</v>
      </c>
      <c r="AF184" s="228">
        <v>-7</v>
      </c>
      <c r="AG184" s="229">
        <v>4.0000000000000001E-3</v>
      </c>
      <c r="AH184" s="228">
        <v>132</v>
      </c>
      <c r="AI184" s="228">
        <v>151</v>
      </c>
      <c r="AJ184" s="228">
        <v>-19</v>
      </c>
      <c r="AK184" s="229">
        <v>9.2999999999999992E-3</v>
      </c>
      <c r="AL184" s="228">
        <v>222</v>
      </c>
      <c r="AM184" s="228">
        <v>109</v>
      </c>
      <c r="AN184" s="228">
        <v>113</v>
      </c>
      <c r="AO184" s="229">
        <v>1.5699999999999999E-2</v>
      </c>
      <c r="AP184" s="231">
        <v>14116.04</v>
      </c>
      <c r="AQ184" s="231">
        <v>14203.46</v>
      </c>
      <c r="AR184" s="228">
        <v>0</v>
      </c>
      <c r="AS184" s="228">
        <v>277</v>
      </c>
      <c r="AT184" s="228">
        <v>407</v>
      </c>
      <c r="AU184" s="228">
        <v>-130</v>
      </c>
      <c r="AV184" s="229">
        <v>-0.31950000000000001</v>
      </c>
      <c r="AW184" s="228">
        <v>261</v>
      </c>
      <c r="AX184" s="228">
        <v>392</v>
      </c>
      <c r="AY184" s="228">
        <v>-131</v>
      </c>
      <c r="AZ184" s="229">
        <v>-0.33329999999999999</v>
      </c>
      <c r="BA184" s="228">
        <v>14</v>
      </c>
      <c r="BB184" s="228">
        <v>14</v>
      </c>
      <c r="BC184" s="228">
        <v>0</v>
      </c>
      <c r="BD184" s="229">
        <v>-2.24E-2</v>
      </c>
      <c r="BE184" s="228">
        <v>1</v>
      </c>
      <c r="BF184" s="228">
        <v>0</v>
      </c>
      <c r="BG184" s="228">
        <v>1</v>
      </c>
      <c r="BH184" s="229">
        <v>3.3332999999999999</v>
      </c>
      <c r="BI184" s="230">
        <v>1327</v>
      </c>
      <c r="BJ184" s="230">
        <v>2667</v>
      </c>
      <c r="BK184" s="230">
        <v>-1339</v>
      </c>
      <c r="BL184" s="229">
        <v>-0.50229999999999997</v>
      </c>
      <c r="BM184" s="228">
        <v>498</v>
      </c>
      <c r="BN184" s="228">
        <v>668</v>
      </c>
      <c r="BO184" s="228">
        <v>-170</v>
      </c>
      <c r="BP184" s="229">
        <v>-0.25390000000000001</v>
      </c>
      <c r="BQ184" s="230">
        <v>2102</v>
      </c>
      <c r="BR184" s="230">
        <v>3741</v>
      </c>
      <c r="BS184" s="230">
        <v>-1639</v>
      </c>
      <c r="BT184" s="229">
        <v>-0.43809999999999999</v>
      </c>
      <c r="BU184" s="230">
        <v>153278</v>
      </c>
      <c r="BV184" s="230">
        <v>259126</v>
      </c>
      <c r="BW184" s="230">
        <v>-105848</v>
      </c>
      <c r="BX184" s="229">
        <v>-0.40849999999999997</v>
      </c>
      <c r="BY184" s="230">
        <v>1229</v>
      </c>
      <c r="BZ184" s="230">
        <v>1208</v>
      </c>
      <c r="CA184" s="228">
        <v>21</v>
      </c>
      <c r="CB184" s="229">
        <v>1.7399999999999999E-2</v>
      </c>
      <c r="CC184" s="230">
        <v>1166</v>
      </c>
      <c r="CD184" s="230">
        <v>1148</v>
      </c>
      <c r="CE184" s="228">
        <v>18</v>
      </c>
      <c r="CF184" s="229">
        <v>1.5900000000000001E-2</v>
      </c>
      <c r="CG184" s="228">
        <v>61</v>
      </c>
      <c r="CH184" s="228">
        <v>60</v>
      </c>
      <c r="CI184" s="228">
        <v>1</v>
      </c>
      <c r="CJ184" s="229">
        <v>2.3099999999999999E-2</v>
      </c>
      <c r="CK184" s="228">
        <v>2</v>
      </c>
      <c r="CL184" s="228">
        <v>0</v>
      </c>
      <c r="CM184" s="228">
        <v>1</v>
      </c>
      <c r="CN184" s="229">
        <v>4.3333000000000004</v>
      </c>
      <c r="CO184" s="228">
        <v>436</v>
      </c>
      <c r="CP184" s="228">
        <v>463</v>
      </c>
      <c r="CQ184" s="228">
        <v>-27</v>
      </c>
      <c r="CR184" s="229">
        <v>-5.7500000000000002E-2</v>
      </c>
      <c r="CS184" s="228">
        <v>299</v>
      </c>
      <c r="CT184" s="228">
        <v>278</v>
      </c>
      <c r="CU184" s="228">
        <v>21</v>
      </c>
      <c r="CV184" s="229">
        <v>7.5399999999999995E-2</v>
      </c>
      <c r="CW184" s="230">
        <v>1964</v>
      </c>
      <c r="CX184" s="230">
        <v>1949</v>
      </c>
      <c r="CY184" s="228">
        <v>15</v>
      </c>
      <c r="CZ184" s="229">
        <v>7.9000000000000008E-3</v>
      </c>
      <c r="DA184" s="228">
        <v>32.08</v>
      </c>
      <c r="DB184" s="228">
        <v>31.86</v>
      </c>
      <c r="DC184" s="228">
        <v>0.22</v>
      </c>
      <c r="DD184" s="228">
        <v>0.22</v>
      </c>
      <c r="DE184" s="228">
        <v>41.68</v>
      </c>
      <c r="DF184" s="228">
        <v>41.7</v>
      </c>
      <c r="DG184" s="228">
        <v>-9.6</v>
      </c>
      <c r="DH184" s="228">
        <v>-0.02</v>
      </c>
      <c r="DI184" s="228">
        <v>31.47</v>
      </c>
      <c r="DJ184" s="228">
        <v>31.88</v>
      </c>
      <c r="DK184" s="228">
        <v>-0.41</v>
      </c>
      <c r="DL184" s="228">
        <v>-0.41</v>
      </c>
      <c r="DM184" s="228">
        <v>33.700000000000003</v>
      </c>
      <c r="DN184" s="228">
        <v>31.77</v>
      </c>
      <c r="DO184" s="228">
        <v>1.93</v>
      </c>
      <c r="DP184" s="228">
        <v>1.93</v>
      </c>
      <c r="DQ184" s="228">
        <v>0.69</v>
      </c>
      <c r="DR184" s="228">
        <v>0.6</v>
      </c>
      <c r="DS184" s="228">
        <v>0.09</v>
      </c>
      <c r="DT184" s="229">
        <v>0.15</v>
      </c>
      <c r="DU184" s="231">
        <v>15000</v>
      </c>
      <c r="DV184" s="231">
        <v>13500</v>
      </c>
      <c r="DW184" s="228">
        <v>0.38</v>
      </c>
      <c r="DX184" s="228">
        <v>0.25</v>
      </c>
      <c r="DY184" s="228">
        <v>0.13</v>
      </c>
      <c r="DZ184" s="229">
        <v>0.52</v>
      </c>
      <c r="EA184" s="229">
        <v>5.1299999999999998E-2</v>
      </c>
      <c r="EB184" s="230">
        <v>42450</v>
      </c>
      <c r="EC184" s="229">
        <v>5.4000000000000003E-3</v>
      </c>
      <c r="ED184" s="229">
        <v>5.1299999999999998E-2</v>
      </c>
      <c r="EE184" s="228">
        <v>87.42</v>
      </c>
      <c r="EF184" s="229">
        <v>6.1999999999999998E-3</v>
      </c>
      <c r="EG184" s="230">
        <v>56212</v>
      </c>
      <c r="EH184" s="230">
        <v>92672</v>
      </c>
      <c r="EI184" s="229">
        <v>-0.39340000000000003</v>
      </c>
      <c r="EJ184" s="229">
        <v>0.36670000000000003</v>
      </c>
      <c r="EK184" s="231">
        <v>1409.02</v>
      </c>
      <c r="EL184" s="228">
        <v>463.89</v>
      </c>
      <c r="EM184" s="228">
        <v>275.36</v>
      </c>
      <c r="EN184" s="228">
        <v>60.12</v>
      </c>
      <c r="EO184" s="231">
        <v>2148.27</v>
      </c>
      <c r="EP184" s="231">
        <v>3837.93</v>
      </c>
      <c r="EQ184" s="231">
        <v>-1689.65</v>
      </c>
      <c r="ER184" s="229">
        <v>-0.44030000000000002</v>
      </c>
      <c r="ES184" s="228">
        <v>456.06</v>
      </c>
      <c r="ET184" s="228">
        <v>282.02999999999997</v>
      </c>
      <c r="EU184" s="231">
        <v>1229.44</v>
      </c>
      <c r="EV184" s="231">
        <v>3644817</v>
      </c>
      <c r="EW184" s="231">
        <v>1967.53</v>
      </c>
      <c r="EX184" s="231">
        <v>1926.45</v>
      </c>
      <c r="EY184" s="228">
        <v>41.08</v>
      </c>
      <c r="EZ184" s="229">
        <v>2.1299999999999999E-2</v>
      </c>
      <c r="FA184" s="229">
        <v>0.37959999999999999</v>
      </c>
      <c r="FB184" s="227" t="s">
        <v>555</v>
      </c>
      <c r="FC184">
        <f t="shared" si="3"/>
        <v>0</v>
      </c>
    </row>
    <row r="185" spans="1:159" ht="17.25" thickBot="1" x14ac:dyDescent="0.3">
      <c r="A185" s="226">
        <v>45936</v>
      </c>
      <c r="B185" s="227" t="s">
        <v>162</v>
      </c>
      <c r="C185" s="227" t="s">
        <v>615</v>
      </c>
      <c r="D185" s="228">
        <v>1050</v>
      </c>
      <c r="E185" s="228">
        <v>22</v>
      </c>
      <c r="F185" s="228">
        <v>417</v>
      </c>
      <c r="G185" s="228">
        <v>421.25</v>
      </c>
      <c r="H185" s="228">
        <v>-4.25</v>
      </c>
      <c r="I185" s="229">
        <v>-1.01E-2</v>
      </c>
      <c r="J185" s="228">
        <v>414.25</v>
      </c>
      <c r="K185" s="228">
        <v>419.7</v>
      </c>
      <c r="L185" s="228">
        <v>-5.45</v>
      </c>
      <c r="M185" s="229">
        <v>-1.2999999999999999E-2</v>
      </c>
      <c r="N185" s="228">
        <v>417</v>
      </c>
      <c r="O185" s="228">
        <v>421.25</v>
      </c>
      <c r="P185" s="228">
        <v>-4.25</v>
      </c>
      <c r="Q185" s="229">
        <v>-1.01E-2</v>
      </c>
      <c r="R185" s="228">
        <v>419.05</v>
      </c>
      <c r="S185" s="228">
        <v>423.35</v>
      </c>
      <c r="T185" s="228">
        <v>-4.3</v>
      </c>
      <c r="U185" s="229">
        <v>-1.0200000000000001E-2</v>
      </c>
      <c r="V185" s="228">
        <v>420.95</v>
      </c>
      <c r="W185" s="228">
        <v>426.2</v>
      </c>
      <c r="X185" s="228">
        <v>-5.25</v>
      </c>
      <c r="Y185" s="229">
        <v>-1.23E-2</v>
      </c>
      <c r="Z185" s="228">
        <v>2.75</v>
      </c>
      <c r="AA185" s="228">
        <v>1.55</v>
      </c>
      <c r="AB185" s="228">
        <v>1.2</v>
      </c>
      <c r="AC185" s="229">
        <v>6.6E-3</v>
      </c>
      <c r="AD185" s="228">
        <v>2.75</v>
      </c>
      <c r="AE185" s="228">
        <v>1.55</v>
      </c>
      <c r="AF185" s="228">
        <v>1.2</v>
      </c>
      <c r="AG185" s="229">
        <v>6.6E-3</v>
      </c>
      <c r="AH185" s="228">
        <v>4.8</v>
      </c>
      <c r="AI185" s="228">
        <v>3.65</v>
      </c>
      <c r="AJ185" s="228">
        <v>1.1499999999999999</v>
      </c>
      <c r="AK185" s="229">
        <v>1.1599999999999999E-2</v>
      </c>
      <c r="AL185" s="228">
        <v>6.7</v>
      </c>
      <c r="AM185" s="228">
        <v>6.5</v>
      </c>
      <c r="AN185" s="228">
        <v>0.2</v>
      </c>
      <c r="AO185" s="229">
        <v>1.6199999999999999E-2</v>
      </c>
      <c r="AP185" s="228">
        <v>418.11</v>
      </c>
      <c r="AQ185" s="228">
        <v>420.9</v>
      </c>
      <c r="AR185" s="228">
        <v>0</v>
      </c>
      <c r="AS185" s="228">
        <v>54</v>
      </c>
      <c r="AT185" s="228">
        <v>62</v>
      </c>
      <c r="AU185" s="228">
        <v>-9</v>
      </c>
      <c r="AV185" s="229">
        <v>-0.1406</v>
      </c>
      <c r="AW185" s="228">
        <v>49</v>
      </c>
      <c r="AX185" s="228">
        <v>57</v>
      </c>
      <c r="AY185" s="228">
        <v>-8</v>
      </c>
      <c r="AZ185" s="229">
        <v>-0.13550000000000001</v>
      </c>
      <c r="BA185" s="228">
        <v>4</v>
      </c>
      <c r="BB185" s="228">
        <v>5</v>
      </c>
      <c r="BC185" s="228">
        <v>-1</v>
      </c>
      <c r="BD185" s="229">
        <v>-0.23419999999999999</v>
      </c>
      <c r="BE185" s="228">
        <v>1</v>
      </c>
      <c r="BF185" s="228">
        <v>1</v>
      </c>
      <c r="BG185" s="228">
        <v>0</v>
      </c>
      <c r="BH185" s="229">
        <v>0.16669999999999999</v>
      </c>
      <c r="BI185" s="228">
        <v>79</v>
      </c>
      <c r="BJ185" s="228">
        <v>121</v>
      </c>
      <c r="BK185" s="228">
        <v>-42</v>
      </c>
      <c r="BL185" s="229">
        <v>-0.3453</v>
      </c>
      <c r="BM185" s="228">
        <v>30</v>
      </c>
      <c r="BN185" s="228">
        <v>35</v>
      </c>
      <c r="BO185" s="228">
        <v>-6</v>
      </c>
      <c r="BP185" s="229">
        <v>-0.16320000000000001</v>
      </c>
      <c r="BQ185" s="228">
        <v>162</v>
      </c>
      <c r="BR185" s="228">
        <v>218</v>
      </c>
      <c r="BS185" s="228">
        <v>-56</v>
      </c>
      <c r="BT185" s="229">
        <v>-0.25740000000000002</v>
      </c>
      <c r="BU185" s="230">
        <v>2381398</v>
      </c>
      <c r="BV185" s="230">
        <v>1949763</v>
      </c>
      <c r="BW185" s="230">
        <v>431635</v>
      </c>
      <c r="BX185" s="229">
        <v>0.22140000000000001</v>
      </c>
      <c r="BY185" s="228">
        <v>977</v>
      </c>
      <c r="BZ185" s="228">
        <v>978</v>
      </c>
      <c r="CA185" s="228">
        <v>-1</v>
      </c>
      <c r="CB185" s="229">
        <v>-5.9999999999999995E-4</v>
      </c>
      <c r="CC185" s="228">
        <v>950</v>
      </c>
      <c r="CD185" s="228">
        <v>952</v>
      </c>
      <c r="CE185" s="228">
        <v>-2</v>
      </c>
      <c r="CF185" s="229">
        <v>-2E-3</v>
      </c>
      <c r="CG185" s="228">
        <v>26</v>
      </c>
      <c r="CH185" s="228">
        <v>25</v>
      </c>
      <c r="CI185" s="228">
        <v>1</v>
      </c>
      <c r="CJ185" s="229">
        <v>3.4799999999999998E-2</v>
      </c>
      <c r="CK185" s="228">
        <v>1</v>
      </c>
      <c r="CL185" s="228">
        <v>1</v>
      </c>
      <c r="CM185" s="228">
        <v>0</v>
      </c>
      <c r="CN185" s="229">
        <v>0.61109999999999998</v>
      </c>
      <c r="CO185" s="228">
        <v>149</v>
      </c>
      <c r="CP185" s="228">
        <v>131</v>
      </c>
      <c r="CQ185" s="228">
        <v>17</v>
      </c>
      <c r="CR185" s="229">
        <v>0.1323</v>
      </c>
      <c r="CS185" s="228">
        <v>101</v>
      </c>
      <c r="CT185" s="228">
        <v>99</v>
      </c>
      <c r="CU185" s="228">
        <v>3</v>
      </c>
      <c r="CV185" s="229">
        <v>2.7099999999999999E-2</v>
      </c>
      <c r="CW185" s="230">
        <v>1227</v>
      </c>
      <c r="CX185" s="230">
        <v>1208</v>
      </c>
      <c r="CY185" s="228">
        <v>19</v>
      </c>
      <c r="CZ185" s="229">
        <v>1.61E-2</v>
      </c>
      <c r="DA185" s="228">
        <v>33.49</v>
      </c>
      <c r="DB185" s="228">
        <v>32.33</v>
      </c>
      <c r="DC185" s="228">
        <v>1.1599999999999999</v>
      </c>
      <c r="DD185" s="228">
        <v>1.1599999999999999</v>
      </c>
      <c r="DE185" s="228">
        <v>40.659999999999997</v>
      </c>
      <c r="DF185" s="228">
        <v>40.72</v>
      </c>
      <c r="DG185" s="228">
        <v>-7.17</v>
      </c>
      <c r="DH185" s="228">
        <v>-0.06</v>
      </c>
      <c r="DI185" s="228">
        <v>33.69</v>
      </c>
      <c r="DJ185" s="228">
        <v>32.340000000000003</v>
      </c>
      <c r="DK185" s="228">
        <v>1.35</v>
      </c>
      <c r="DL185" s="228">
        <v>1.35</v>
      </c>
      <c r="DM185" s="228">
        <v>32.96</v>
      </c>
      <c r="DN185" s="228">
        <v>32.31</v>
      </c>
      <c r="DO185" s="228">
        <v>0.65</v>
      </c>
      <c r="DP185" s="228">
        <v>0.65</v>
      </c>
      <c r="DQ185" s="228">
        <v>0.68</v>
      </c>
      <c r="DR185" s="228">
        <v>0.75</v>
      </c>
      <c r="DS185" s="228">
        <v>-7.0000000000000007E-2</v>
      </c>
      <c r="DT185" s="229">
        <v>-9.3299999999999994E-2</v>
      </c>
      <c r="DU185" s="228">
        <v>420</v>
      </c>
      <c r="DV185" s="228">
        <v>400</v>
      </c>
      <c r="DW185" s="228">
        <v>0.38</v>
      </c>
      <c r="DX185" s="228">
        <v>0.28999999999999998</v>
      </c>
      <c r="DY185" s="228">
        <v>0.09</v>
      </c>
      <c r="DZ185" s="229">
        <v>0.31030000000000002</v>
      </c>
      <c r="EA185" s="229">
        <v>2.7900000000000001E-2</v>
      </c>
      <c r="EB185" s="230">
        <v>621600</v>
      </c>
      <c r="EC185" s="229">
        <v>4.8999999999999998E-3</v>
      </c>
      <c r="ED185" s="229">
        <v>2.7900000000000001E-2</v>
      </c>
      <c r="EE185" s="228">
        <v>2.79</v>
      </c>
      <c r="EF185" s="229">
        <v>6.7000000000000002E-3</v>
      </c>
      <c r="EG185" s="230">
        <v>1536631</v>
      </c>
      <c r="EH185" s="230">
        <v>1121865</v>
      </c>
      <c r="EI185" s="229">
        <v>0.36969999999999997</v>
      </c>
      <c r="EJ185" s="229">
        <v>0.64529999999999998</v>
      </c>
      <c r="EK185" s="228">
        <v>84.64</v>
      </c>
      <c r="EL185" s="228">
        <v>29.28</v>
      </c>
      <c r="EM185" s="228">
        <v>53.68</v>
      </c>
      <c r="EN185" s="228">
        <v>68.2</v>
      </c>
      <c r="EO185" s="228">
        <v>167.6</v>
      </c>
      <c r="EP185" s="228">
        <v>226.65</v>
      </c>
      <c r="EQ185" s="228">
        <v>-59.05</v>
      </c>
      <c r="ER185" s="229">
        <v>-0.26050000000000001</v>
      </c>
      <c r="ES185" s="228">
        <v>159.78</v>
      </c>
      <c r="ET185" s="228">
        <v>99.09</v>
      </c>
      <c r="EU185" s="228">
        <v>977.07</v>
      </c>
      <c r="EV185" s="231">
        <v>67126548</v>
      </c>
      <c r="EW185" s="231">
        <v>1235.94</v>
      </c>
      <c r="EX185" s="231">
        <v>1225.3599999999999</v>
      </c>
      <c r="EY185" s="228">
        <v>10.58</v>
      </c>
      <c r="EZ185" s="229">
        <v>8.6E-3</v>
      </c>
      <c r="FA185" s="229">
        <v>0.43830000000000002</v>
      </c>
      <c r="FB185" s="227" t="s">
        <v>568</v>
      </c>
      <c r="FC185">
        <f t="shared" si="3"/>
        <v>0</v>
      </c>
    </row>
    <row r="186" spans="1:159" ht="17.25" thickBot="1" x14ac:dyDescent="0.3">
      <c r="A186" s="226">
        <v>45936</v>
      </c>
      <c r="B186" s="227" t="s">
        <v>197</v>
      </c>
      <c r="C186" s="227" t="s">
        <v>286</v>
      </c>
      <c r="D186" s="228">
        <v>200</v>
      </c>
      <c r="E186" s="228">
        <v>22</v>
      </c>
      <c r="F186" s="231">
        <v>2957.9</v>
      </c>
      <c r="G186" s="231">
        <v>2932.6</v>
      </c>
      <c r="H186" s="228">
        <v>25.3</v>
      </c>
      <c r="I186" s="229">
        <v>8.6E-3</v>
      </c>
      <c r="J186" s="231">
        <v>2940.2</v>
      </c>
      <c r="K186" s="231">
        <v>2919.4</v>
      </c>
      <c r="L186" s="228">
        <v>20.8</v>
      </c>
      <c r="M186" s="229">
        <v>7.1000000000000004E-3</v>
      </c>
      <c r="N186" s="231">
        <v>2957.9</v>
      </c>
      <c r="O186" s="231">
        <v>2932.6</v>
      </c>
      <c r="P186" s="228">
        <v>25.3</v>
      </c>
      <c r="Q186" s="229">
        <v>8.6E-3</v>
      </c>
      <c r="R186" s="231">
        <v>2973.6</v>
      </c>
      <c r="S186" s="231">
        <v>2948.4</v>
      </c>
      <c r="T186" s="228">
        <v>25.2</v>
      </c>
      <c r="U186" s="229">
        <v>8.5000000000000006E-3</v>
      </c>
      <c r="V186" s="231">
        <v>2991.8</v>
      </c>
      <c r="W186" s="231">
        <v>2959.4</v>
      </c>
      <c r="X186" s="228">
        <v>32.4</v>
      </c>
      <c r="Y186" s="229">
        <v>1.09E-2</v>
      </c>
      <c r="Z186" s="228">
        <v>17.7</v>
      </c>
      <c r="AA186" s="228">
        <v>13.2</v>
      </c>
      <c r="AB186" s="228">
        <v>4.5</v>
      </c>
      <c r="AC186" s="229">
        <v>6.0000000000000001E-3</v>
      </c>
      <c r="AD186" s="228">
        <v>17.7</v>
      </c>
      <c r="AE186" s="228">
        <v>13.2</v>
      </c>
      <c r="AF186" s="228">
        <v>4.5</v>
      </c>
      <c r="AG186" s="229">
        <v>6.0000000000000001E-3</v>
      </c>
      <c r="AH186" s="228">
        <v>33.4</v>
      </c>
      <c r="AI186" s="228">
        <v>29</v>
      </c>
      <c r="AJ186" s="228">
        <v>4.4000000000000004</v>
      </c>
      <c r="AK186" s="229">
        <v>1.14E-2</v>
      </c>
      <c r="AL186" s="228">
        <v>51.6</v>
      </c>
      <c r="AM186" s="228">
        <v>40</v>
      </c>
      <c r="AN186" s="228">
        <v>11.6</v>
      </c>
      <c r="AO186" s="229">
        <v>1.7500000000000002E-2</v>
      </c>
      <c r="AP186" s="231">
        <v>2955.88</v>
      </c>
      <c r="AQ186" s="231">
        <v>2973.72</v>
      </c>
      <c r="AR186" s="228">
        <v>0</v>
      </c>
      <c r="AS186" s="228">
        <v>149</v>
      </c>
      <c r="AT186" s="228">
        <v>126</v>
      </c>
      <c r="AU186" s="228">
        <v>23</v>
      </c>
      <c r="AV186" s="229">
        <v>0.18279999999999999</v>
      </c>
      <c r="AW186" s="228">
        <v>141</v>
      </c>
      <c r="AX186" s="228">
        <v>124</v>
      </c>
      <c r="AY186" s="228">
        <v>18</v>
      </c>
      <c r="AZ186" s="229">
        <v>0.14269999999999999</v>
      </c>
      <c r="BA186" s="228">
        <v>8</v>
      </c>
      <c r="BB186" s="228">
        <v>2</v>
      </c>
      <c r="BC186" s="228">
        <v>5</v>
      </c>
      <c r="BD186" s="229">
        <v>2.4864999999999999</v>
      </c>
      <c r="BE186" s="228">
        <v>0</v>
      </c>
      <c r="BF186" s="228">
        <v>0</v>
      </c>
      <c r="BG186" s="228">
        <v>0</v>
      </c>
      <c r="BH186" s="229">
        <v>-0.33329999999999999</v>
      </c>
      <c r="BI186" s="228">
        <v>399</v>
      </c>
      <c r="BJ186" s="228">
        <v>201</v>
      </c>
      <c r="BK186" s="228">
        <v>198</v>
      </c>
      <c r="BL186" s="229">
        <v>0.98560000000000003</v>
      </c>
      <c r="BM186" s="228">
        <v>169</v>
      </c>
      <c r="BN186" s="228">
        <v>104</v>
      </c>
      <c r="BO186" s="228">
        <v>64</v>
      </c>
      <c r="BP186" s="229">
        <v>0.61619999999999997</v>
      </c>
      <c r="BQ186" s="228">
        <v>716</v>
      </c>
      <c r="BR186" s="228">
        <v>431</v>
      </c>
      <c r="BS186" s="228">
        <v>285</v>
      </c>
      <c r="BT186" s="229">
        <v>0.66169999999999995</v>
      </c>
      <c r="BU186" s="230">
        <v>255508</v>
      </c>
      <c r="BV186" s="230">
        <v>531964</v>
      </c>
      <c r="BW186" s="230">
        <v>-276456</v>
      </c>
      <c r="BX186" s="229">
        <v>-0.51970000000000005</v>
      </c>
      <c r="BY186" s="228">
        <v>851</v>
      </c>
      <c r="BZ186" s="228">
        <v>852</v>
      </c>
      <c r="CA186" s="228">
        <v>-2</v>
      </c>
      <c r="CB186" s="229">
        <v>-1.9E-3</v>
      </c>
      <c r="CC186" s="228">
        <v>840</v>
      </c>
      <c r="CD186" s="228">
        <v>842</v>
      </c>
      <c r="CE186" s="228">
        <v>-2</v>
      </c>
      <c r="CF186" s="229">
        <v>-2.2000000000000001E-3</v>
      </c>
      <c r="CG186" s="228">
        <v>10</v>
      </c>
      <c r="CH186" s="228">
        <v>10</v>
      </c>
      <c r="CI186" s="228">
        <v>0</v>
      </c>
      <c r="CJ186" s="229">
        <v>1.18E-2</v>
      </c>
      <c r="CK186" s="228">
        <v>0</v>
      </c>
      <c r="CL186" s="228">
        <v>0</v>
      </c>
      <c r="CM186" s="228">
        <v>0</v>
      </c>
      <c r="CN186" s="229">
        <v>0.5</v>
      </c>
      <c r="CO186" s="228">
        <v>186</v>
      </c>
      <c r="CP186" s="228">
        <v>168</v>
      </c>
      <c r="CQ186" s="228">
        <v>18</v>
      </c>
      <c r="CR186" s="229">
        <v>0.1046</v>
      </c>
      <c r="CS186" s="228">
        <v>206</v>
      </c>
      <c r="CT186" s="228">
        <v>198</v>
      </c>
      <c r="CU186" s="228">
        <v>7</v>
      </c>
      <c r="CV186" s="229">
        <v>3.7600000000000001E-2</v>
      </c>
      <c r="CW186" s="230">
        <v>1243</v>
      </c>
      <c r="CX186" s="230">
        <v>1219</v>
      </c>
      <c r="CY186" s="228">
        <v>23</v>
      </c>
      <c r="CZ186" s="229">
        <v>1.9300000000000001E-2</v>
      </c>
      <c r="DA186" s="228">
        <v>24.6</v>
      </c>
      <c r="DB186" s="228">
        <v>24.92</v>
      </c>
      <c r="DC186" s="228">
        <v>-0.32</v>
      </c>
      <c r="DD186" s="228">
        <v>-0.32</v>
      </c>
      <c r="DE186" s="228">
        <v>32.36</v>
      </c>
      <c r="DF186" s="228">
        <v>32.43</v>
      </c>
      <c r="DG186" s="228">
        <v>-7.76</v>
      </c>
      <c r="DH186" s="228">
        <v>-7.0000000000000007E-2</v>
      </c>
      <c r="DI186" s="228">
        <v>24.36</v>
      </c>
      <c r="DJ186" s="228">
        <v>24.69</v>
      </c>
      <c r="DK186" s="228">
        <v>-0.33</v>
      </c>
      <c r="DL186" s="228">
        <v>-0.33</v>
      </c>
      <c r="DM186" s="228">
        <v>25.19</v>
      </c>
      <c r="DN186" s="228">
        <v>25.36</v>
      </c>
      <c r="DO186" s="228">
        <v>-0.17</v>
      </c>
      <c r="DP186" s="228">
        <v>-0.17</v>
      </c>
      <c r="DQ186" s="228">
        <v>1.1100000000000001</v>
      </c>
      <c r="DR186" s="228">
        <v>1.18</v>
      </c>
      <c r="DS186" s="228">
        <v>-7.0000000000000007E-2</v>
      </c>
      <c r="DT186" s="229">
        <v>-5.9299999999999999E-2</v>
      </c>
      <c r="DU186" s="231">
        <v>3000</v>
      </c>
      <c r="DV186" s="231">
        <v>3000</v>
      </c>
      <c r="DW186" s="228">
        <v>0.42</v>
      </c>
      <c r="DX186" s="228">
        <v>0.52</v>
      </c>
      <c r="DY186" s="228">
        <v>-0.1</v>
      </c>
      <c r="DZ186" s="229">
        <v>-0.1923</v>
      </c>
      <c r="EA186" s="229">
        <v>1.24E-2</v>
      </c>
      <c r="EB186" s="230">
        <v>34800</v>
      </c>
      <c r="EC186" s="229">
        <v>5.3E-3</v>
      </c>
      <c r="ED186" s="229">
        <v>1.24E-2</v>
      </c>
      <c r="EE186" s="228">
        <v>17.84</v>
      </c>
      <c r="EF186" s="229">
        <v>6.0000000000000001E-3</v>
      </c>
      <c r="EG186" s="230">
        <v>160864</v>
      </c>
      <c r="EH186" s="230">
        <v>394056</v>
      </c>
      <c r="EI186" s="229">
        <v>-0.59179999999999999</v>
      </c>
      <c r="EJ186" s="229">
        <v>0.62960000000000005</v>
      </c>
      <c r="EK186" s="228">
        <v>411.48</v>
      </c>
      <c r="EL186" s="228">
        <v>165.21</v>
      </c>
      <c r="EM186" s="228">
        <v>148.85</v>
      </c>
      <c r="EN186" s="228">
        <v>69.67</v>
      </c>
      <c r="EO186" s="228">
        <v>725.54</v>
      </c>
      <c r="EP186" s="228">
        <v>434.29</v>
      </c>
      <c r="EQ186" s="228">
        <v>291.26</v>
      </c>
      <c r="ER186" s="229">
        <v>0.67069999999999996</v>
      </c>
      <c r="ES186" s="228">
        <v>188.89</v>
      </c>
      <c r="ET186" s="228">
        <v>196.05</v>
      </c>
      <c r="EU186" s="228">
        <v>850.93</v>
      </c>
      <c r="EV186" s="231">
        <v>21205300</v>
      </c>
      <c r="EW186" s="231">
        <v>1235.8699999999999</v>
      </c>
      <c r="EX186" s="231">
        <v>1204.56</v>
      </c>
      <c r="EY186" s="228">
        <v>31.31</v>
      </c>
      <c r="EZ186" s="229">
        <v>2.5999999999999999E-2</v>
      </c>
      <c r="FA186" s="229">
        <v>0.1981</v>
      </c>
      <c r="FB186" s="227" t="s">
        <v>556</v>
      </c>
      <c r="FC186">
        <f t="shared" si="3"/>
        <v>0</v>
      </c>
    </row>
    <row r="187" spans="1:159" ht="17.25" thickBot="1" x14ac:dyDescent="0.3">
      <c r="A187" s="226">
        <v>45936</v>
      </c>
      <c r="B187" s="227" t="s">
        <v>170</v>
      </c>
      <c r="C187" s="227" t="s">
        <v>288</v>
      </c>
      <c r="D187" s="228">
        <v>350</v>
      </c>
      <c r="E187" s="228">
        <v>22</v>
      </c>
      <c r="F187" s="231">
        <v>1659.8</v>
      </c>
      <c r="G187" s="231">
        <v>1641.2</v>
      </c>
      <c r="H187" s="228">
        <v>18.600000000000001</v>
      </c>
      <c r="I187" s="229">
        <v>1.1299999999999999E-2</v>
      </c>
      <c r="J187" s="231">
        <v>1654.7</v>
      </c>
      <c r="K187" s="231">
        <v>1631.2</v>
      </c>
      <c r="L187" s="228">
        <v>23.5</v>
      </c>
      <c r="M187" s="229">
        <v>1.44E-2</v>
      </c>
      <c r="N187" s="231">
        <v>1659.8</v>
      </c>
      <c r="O187" s="231">
        <v>1641.2</v>
      </c>
      <c r="P187" s="228">
        <v>18.600000000000001</v>
      </c>
      <c r="Q187" s="229">
        <v>1.1299999999999999E-2</v>
      </c>
      <c r="R187" s="231">
        <v>1668.5</v>
      </c>
      <c r="S187" s="231">
        <v>1649.1</v>
      </c>
      <c r="T187" s="228">
        <v>19.399999999999999</v>
      </c>
      <c r="U187" s="229">
        <v>1.18E-2</v>
      </c>
      <c r="V187" s="231">
        <v>1675.1</v>
      </c>
      <c r="W187" s="231">
        <v>1658.1</v>
      </c>
      <c r="X187" s="228">
        <v>17</v>
      </c>
      <c r="Y187" s="229">
        <v>1.03E-2</v>
      </c>
      <c r="Z187" s="228">
        <v>5.0999999999999996</v>
      </c>
      <c r="AA187" s="228">
        <v>10</v>
      </c>
      <c r="AB187" s="228">
        <v>-4.9000000000000004</v>
      </c>
      <c r="AC187" s="229">
        <v>3.0999999999999999E-3</v>
      </c>
      <c r="AD187" s="228">
        <v>5.0999999999999996</v>
      </c>
      <c r="AE187" s="228">
        <v>10</v>
      </c>
      <c r="AF187" s="228">
        <v>-4.9000000000000004</v>
      </c>
      <c r="AG187" s="229">
        <v>3.0999999999999999E-3</v>
      </c>
      <c r="AH187" s="228">
        <v>13.8</v>
      </c>
      <c r="AI187" s="228">
        <v>17.899999999999999</v>
      </c>
      <c r="AJ187" s="228">
        <v>-4.0999999999999996</v>
      </c>
      <c r="AK187" s="229">
        <v>8.3000000000000001E-3</v>
      </c>
      <c r="AL187" s="228">
        <v>20.399999999999999</v>
      </c>
      <c r="AM187" s="228">
        <v>26.9</v>
      </c>
      <c r="AN187" s="228">
        <v>-6.5</v>
      </c>
      <c r="AO187" s="229">
        <v>1.23E-2</v>
      </c>
      <c r="AP187" s="231">
        <v>1652.18</v>
      </c>
      <c r="AQ187" s="231">
        <v>1661.16</v>
      </c>
      <c r="AR187" s="228">
        <v>0</v>
      </c>
      <c r="AS187" s="228">
        <v>246</v>
      </c>
      <c r="AT187" s="228">
        <v>439</v>
      </c>
      <c r="AU187" s="228">
        <v>-193</v>
      </c>
      <c r="AV187" s="229">
        <v>-0.43880000000000002</v>
      </c>
      <c r="AW187" s="228">
        <v>235</v>
      </c>
      <c r="AX187" s="228">
        <v>422</v>
      </c>
      <c r="AY187" s="228">
        <v>-187</v>
      </c>
      <c r="AZ187" s="229">
        <v>-0.44259999999999999</v>
      </c>
      <c r="BA187" s="228">
        <v>10</v>
      </c>
      <c r="BB187" s="228">
        <v>16</v>
      </c>
      <c r="BC187" s="228">
        <v>-6</v>
      </c>
      <c r="BD187" s="229">
        <v>-0.3594</v>
      </c>
      <c r="BE187" s="228">
        <v>1</v>
      </c>
      <c r="BF187" s="228">
        <v>1</v>
      </c>
      <c r="BG187" s="228">
        <v>0</v>
      </c>
      <c r="BH187" s="229">
        <v>-0.125</v>
      </c>
      <c r="BI187" s="230">
        <v>1069</v>
      </c>
      <c r="BJ187" s="230">
        <v>1269</v>
      </c>
      <c r="BK187" s="228">
        <v>-201</v>
      </c>
      <c r="BL187" s="229">
        <v>-0.1583</v>
      </c>
      <c r="BM187" s="228">
        <v>647</v>
      </c>
      <c r="BN187" s="230">
        <v>1121</v>
      </c>
      <c r="BO187" s="228">
        <v>-474</v>
      </c>
      <c r="BP187" s="229">
        <v>-0.4229</v>
      </c>
      <c r="BQ187" s="230">
        <v>1962</v>
      </c>
      <c r="BR187" s="230">
        <v>2830</v>
      </c>
      <c r="BS187" s="228">
        <v>-868</v>
      </c>
      <c r="BT187" s="229">
        <v>-0.30669999999999997</v>
      </c>
      <c r="BU187" s="230">
        <v>1788564</v>
      </c>
      <c r="BV187" s="230">
        <v>4117710</v>
      </c>
      <c r="BW187" s="230">
        <v>-2329146</v>
      </c>
      <c r="BX187" s="229">
        <v>-0.56559999999999999</v>
      </c>
      <c r="BY187" s="230">
        <v>2617</v>
      </c>
      <c r="BZ187" s="230">
        <v>2675</v>
      </c>
      <c r="CA187" s="228">
        <v>-58</v>
      </c>
      <c r="CB187" s="229">
        <v>-2.18E-2</v>
      </c>
      <c r="CC187" s="230">
        <v>2591</v>
      </c>
      <c r="CD187" s="230">
        <v>2649</v>
      </c>
      <c r="CE187" s="228">
        <v>-58</v>
      </c>
      <c r="CF187" s="229">
        <v>-2.1999999999999999E-2</v>
      </c>
      <c r="CG187" s="228">
        <v>26</v>
      </c>
      <c r="CH187" s="228">
        <v>26</v>
      </c>
      <c r="CI187" s="228">
        <v>0</v>
      </c>
      <c r="CJ187" s="229">
        <v>-4.4999999999999997E-3</v>
      </c>
      <c r="CK187" s="228">
        <v>1</v>
      </c>
      <c r="CL187" s="228">
        <v>1</v>
      </c>
      <c r="CM187" s="228">
        <v>0</v>
      </c>
      <c r="CN187" s="229">
        <v>0</v>
      </c>
      <c r="CO187" s="228">
        <v>606</v>
      </c>
      <c r="CP187" s="228">
        <v>530</v>
      </c>
      <c r="CQ187" s="228">
        <v>76</v>
      </c>
      <c r="CR187" s="229">
        <v>0.1426</v>
      </c>
      <c r="CS187" s="228">
        <v>611</v>
      </c>
      <c r="CT187" s="228">
        <v>587</v>
      </c>
      <c r="CU187" s="228">
        <v>24</v>
      </c>
      <c r="CV187" s="229">
        <v>4.1200000000000001E-2</v>
      </c>
      <c r="CW187" s="230">
        <v>3834</v>
      </c>
      <c r="CX187" s="230">
        <v>3792</v>
      </c>
      <c r="CY187" s="228">
        <v>41</v>
      </c>
      <c r="CZ187" s="229">
        <v>1.09E-2</v>
      </c>
      <c r="DA187" s="228">
        <v>19.649999999999999</v>
      </c>
      <c r="DB187" s="228">
        <v>20.04</v>
      </c>
      <c r="DC187" s="228">
        <v>-0.39</v>
      </c>
      <c r="DD187" s="228">
        <v>-0.39</v>
      </c>
      <c r="DE187" s="228">
        <v>24.2</v>
      </c>
      <c r="DF187" s="228">
        <v>24.18</v>
      </c>
      <c r="DG187" s="228">
        <v>-4.55</v>
      </c>
      <c r="DH187" s="228">
        <v>0.02</v>
      </c>
      <c r="DI187" s="228">
        <v>18.329999999999998</v>
      </c>
      <c r="DJ187" s="228">
        <v>19.12</v>
      </c>
      <c r="DK187" s="228">
        <v>-0.79</v>
      </c>
      <c r="DL187" s="228">
        <v>-0.79</v>
      </c>
      <c r="DM187" s="228">
        <v>21.83</v>
      </c>
      <c r="DN187" s="228">
        <v>21.07</v>
      </c>
      <c r="DO187" s="228">
        <v>0.76</v>
      </c>
      <c r="DP187" s="228">
        <v>0.76</v>
      </c>
      <c r="DQ187" s="228">
        <v>1.01</v>
      </c>
      <c r="DR187" s="228">
        <v>1.1100000000000001</v>
      </c>
      <c r="DS187" s="228">
        <v>-0.1</v>
      </c>
      <c r="DT187" s="229">
        <v>-9.01E-2</v>
      </c>
      <c r="DU187" s="231">
        <v>1680</v>
      </c>
      <c r="DV187" s="231">
        <v>1500</v>
      </c>
      <c r="DW187" s="228">
        <v>0.61</v>
      </c>
      <c r="DX187" s="228">
        <v>0.88</v>
      </c>
      <c r="DY187" s="228">
        <v>-0.27</v>
      </c>
      <c r="DZ187" s="229">
        <v>-0.30680000000000002</v>
      </c>
      <c r="EA187" s="229">
        <v>1.01E-2</v>
      </c>
      <c r="EB187" s="230">
        <v>160650</v>
      </c>
      <c r="EC187" s="229">
        <v>5.1999999999999998E-3</v>
      </c>
      <c r="ED187" s="229">
        <v>1.01E-2</v>
      </c>
      <c r="EE187" s="228">
        <v>8.98</v>
      </c>
      <c r="EF187" s="229">
        <v>5.4000000000000003E-3</v>
      </c>
      <c r="EG187" s="230">
        <v>1138782</v>
      </c>
      <c r="EH187" s="230">
        <v>2863489</v>
      </c>
      <c r="EI187" s="229">
        <v>-0.60229999999999995</v>
      </c>
      <c r="EJ187" s="229">
        <v>0.63670000000000004</v>
      </c>
      <c r="EK187" s="231">
        <v>1095.0999999999999</v>
      </c>
      <c r="EL187" s="228">
        <v>627.58000000000004</v>
      </c>
      <c r="EM187" s="228">
        <v>245.42</v>
      </c>
      <c r="EN187" s="228">
        <v>168.62</v>
      </c>
      <c r="EO187" s="231">
        <v>1968.1</v>
      </c>
      <c r="EP187" s="231">
        <v>2818.55</v>
      </c>
      <c r="EQ187" s="228">
        <v>-850.44</v>
      </c>
      <c r="ER187" s="229">
        <v>-0.30170000000000002</v>
      </c>
      <c r="ES187" s="228">
        <v>615.80999999999995</v>
      </c>
      <c r="ET187" s="228">
        <v>574.69000000000005</v>
      </c>
      <c r="EU187" s="231">
        <v>2617.23</v>
      </c>
      <c r="EV187" s="231">
        <v>109220043</v>
      </c>
      <c r="EW187" s="231">
        <v>3807.73</v>
      </c>
      <c r="EX187" s="231">
        <v>3733.17</v>
      </c>
      <c r="EY187" s="228">
        <v>74.56</v>
      </c>
      <c r="EZ187" s="229">
        <v>0.02</v>
      </c>
      <c r="FA187" s="229">
        <v>0.21149999999999999</v>
      </c>
      <c r="FB187" s="227" t="s">
        <v>556</v>
      </c>
      <c r="FC187">
        <f t="shared" si="3"/>
        <v>0</v>
      </c>
    </row>
    <row r="188" spans="1:159" ht="17.25" thickBot="1" x14ac:dyDescent="0.3">
      <c r="A188" s="226">
        <v>45936</v>
      </c>
      <c r="B188" s="227" t="s">
        <v>184</v>
      </c>
      <c r="C188" s="227" t="s">
        <v>575</v>
      </c>
      <c r="D188" s="228">
        <v>175</v>
      </c>
      <c r="E188" s="228">
        <v>22</v>
      </c>
      <c r="F188" s="231">
        <v>4194.6000000000004</v>
      </c>
      <c r="G188" s="231">
        <v>4209.3</v>
      </c>
      <c r="H188" s="228">
        <v>-14.7</v>
      </c>
      <c r="I188" s="229">
        <v>-3.5000000000000001E-3</v>
      </c>
      <c r="J188" s="231">
        <v>4171.7</v>
      </c>
      <c r="K188" s="231">
        <v>4209.7</v>
      </c>
      <c r="L188" s="228">
        <v>-38</v>
      </c>
      <c r="M188" s="229">
        <v>-8.9999999999999993E-3</v>
      </c>
      <c r="N188" s="231">
        <v>4194.6000000000004</v>
      </c>
      <c r="O188" s="231">
        <v>4209.3</v>
      </c>
      <c r="P188" s="228">
        <v>-14.7</v>
      </c>
      <c r="Q188" s="229">
        <v>-3.5000000000000001E-3</v>
      </c>
      <c r="R188" s="231">
        <v>4209.1000000000004</v>
      </c>
      <c r="S188" s="231">
        <v>4224.7</v>
      </c>
      <c r="T188" s="228">
        <v>-15.6</v>
      </c>
      <c r="U188" s="229">
        <v>-3.7000000000000002E-3</v>
      </c>
      <c r="V188" s="231">
        <v>4209</v>
      </c>
      <c r="W188" s="231">
        <v>4251</v>
      </c>
      <c r="X188" s="228">
        <v>-42</v>
      </c>
      <c r="Y188" s="229">
        <v>-9.9000000000000008E-3</v>
      </c>
      <c r="Z188" s="228">
        <v>22.9</v>
      </c>
      <c r="AA188" s="228">
        <v>-0.4</v>
      </c>
      <c r="AB188" s="228">
        <v>23.3</v>
      </c>
      <c r="AC188" s="229">
        <v>5.4999999999999997E-3</v>
      </c>
      <c r="AD188" s="228">
        <v>22.9</v>
      </c>
      <c r="AE188" s="228">
        <v>-0.4</v>
      </c>
      <c r="AF188" s="228">
        <v>23.3</v>
      </c>
      <c r="AG188" s="229">
        <v>5.4999999999999997E-3</v>
      </c>
      <c r="AH188" s="228">
        <v>37.4</v>
      </c>
      <c r="AI188" s="228">
        <v>15</v>
      </c>
      <c r="AJ188" s="228">
        <v>22.4</v>
      </c>
      <c r="AK188" s="229">
        <v>8.9999999999999993E-3</v>
      </c>
      <c r="AL188" s="228">
        <v>37.299999999999997</v>
      </c>
      <c r="AM188" s="228">
        <v>41.3</v>
      </c>
      <c r="AN188" s="228">
        <v>-4</v>
      </c>
      <c r="AO188" s="229">
        <v>8.8999999999999999E-3</v>
      </c>
      <c r="AP188" s="231">
        <v>4191.25</v>
      </c>
      <c r="AQ188" s="231">
        <v>4206.43</v>
      </c>
      <c r="AR188" s="228">
        <v>0</v>
      </c>
      <c r="AS188" s="228">
        <v>38</v>
      </c>
      <c r="AT188" s="228">
        <v>70</v>
      </c>
      <c r="AU188" s="228">
        <v>-32</v>
      </c>
      <c r="AV188" s="229">
        <v>-0.45700000000000002</v>
      </c>
      <c r="AW188" s="228">
        <v>37</v>
      </c>
      <c r="AX188" s="228">
        <v>65</v>
      </c>
      <c r="AY188" s="228">
        <v>-28</v>
      </c>
      <c r="AZ188" s="229">
        <v>-0.4325</v>
      </c>
      <c r="BA188" s="228">
        <v>1</v>
      </c>
      <c r="BB188" s="228">
        <v>5</v>
      </c>
      <c r="BC188" s="228">
        <v>-4</v>
      </c>
      <c r="BD188" s="229">
        <v>-0.77139999999999997</v>
      </c>
      <c r="BE188" s="228">
        <v>0</v>
      </c>
      <c r="BF188" s="228">
        <v>0</v>
      </c>
      <c r="BG188" s="228">
        <v>0</v>
      </c>
      <c r="BH188" s="229">
        <v>-0.33329999999999999</v>
      </c>
      <c r="BI188" s="228">
        <v>71</v>
      </c>
      <c r="BJ188" s="228">
        <v>59</v>
      </c>
      <c r="BK188" s="228">
        <v>12</v>
      </c>
      <c r="BL188" s="229">
        <v>0.1943</v>
      </c>
      <c r="BM188" s="228">
        <v>25</v>
      </c>
      <c r="BN188" s="228">
        <v>32</v>
      </c>
      <c r="BO188" s="228">
        <v>-7</v>
      </c>
      <c r="BP188" s="229">
        <v>-0.20930000000000001</v>
      </c>
      <c r="BQ188" s="228">
        <v>134</v>
      </c>
      <c r="BR188" s="228">
        <v>161</v>
      </c>
      <c r="BS188" s="228">
        <v>-27</v>
      </c>
      <c r="BT188" s="229">
        <v>-0.16830000000000001</v>
      </c>
      <c r="BU188" s="230">
        <v>57647</v>
      </c>
      <c r="BV188" s="230">
        <v>174294</v>
      </c>
      <c r="BW188" s="230">
        <v>-116647</v>
      </c>
      <c r="BX188" s="229">
        <v>-0.66930000000000001</v>
      </c>
      <c r="BY188" s="228">
        <v>524</v>
      </c>
      <c r="BZ188" s="228">
        <v>516</v>
      </c>
      <c r="CA188" s="228">
        <v>7</v>
      </c>
      <c r="CB188" s="229">
        <v>1.38E-2</v>
      </c>
      <c r="CC188" s="228">
        <v>518</v>
      </c>
      <c r="CD188" s="228">
        <v>511</v>
      </c>
      <c r="CE188" s="228">
        <v>7</v>
      </c>
      <c r="CF188" s="229">
        <v>1.2800000000000001E-2</v>
      </c>
      <c r="CG188" s="228">
        <v>5</v>
      </c>
      <c r="CH188" s="228">
        <v>5</v>
      </c>
      <c r="CI188" s="228">
        <v>0</v>
      </c>
      <c r="CJ188" s="229">
        <v>8.8200000000000001E-2</v>
      </c>
      <c r="CK188" s="228">
        <v>0</v>
      </c>
      <c r="CL188" s="228">
        <v>0</v>
      </c>
      <c r="CM188" s="228">
        <v>0</v>
      </c>
      <c r="CN188" s="229">
        <v>0.66669999999999996</v>
      </c>
      <c r="CO188" s="228">
        <v>96</v>
      </c>
      <c r="CP188" s="228">
        <v>73</v>
      </c>
      <c r="CQ188" s="228">
        <v>22</v>
      </c>
      <c r="CR188" s="229">
        <v>0.30370000000000003</v>
      </c>
      <c r="CS188" s="228">
        <v>53</v>
      </c>
      <c r="CT188" s="228">
        <v>50</v>
      </c>
      <c r="CU188" s="228">
        <v>4</v>
      </c>
      <c r="CV188" s="229">
        <v>7.2599999999999998E-2</v>
      </c>
      <c r="CW188" s="228">
        <v>672</v>
      </c>
      <c r="CX188" s="228">
        <v>639</v>
      </c>
      <c r="CY188" s="228">
        <v>33</v>
      </c>
      <c r="CZ188" s="229">
        <v>5.1700000000000003E-2</v>
      </c>
      <c r="DA188" s="228">
        <v>31.52</v>
      </c>
      <c r="DB188" s="228">
        <v>30.45</v>
      </c>
      <c r="DC188" s="228">
        <v>1.07</v>
      </c>
      <c r="DD188" s="228">
        <v>1.07</v>
      </c>
      <c r="DE188" s="228">
        <v>42</v>
      </c>
      <c r="DF188" s="228">
        <v>42.11</v>
      </c>
      <c r="DG188" s="228">
        <v>-10.48</v>
      </c>
      <c r="DH188" s="228">
        <v>-0.11</v>
      </c>
      <c r="DI188" s="228">
        <v>31.56</v>
      </c>
      <c r="DJ188" s="228">
        <v>30.87</v>
      </c>
      <c r="DK188" s="228">
        <v>0.69</v>
      </c>
      <c r="DL188" s="228">
        <v>0.69</v>
      </c>
      <c r="DM188" s="228">
        <v>31.42</v>
      </c>
      <c r="DN188" s="228">
        <v>29.65</v>
      </c>
      <c r="DO188" s="228">
        <v>1.77</v>
      </c>
      <c r="DP188" s="228">
        <v>1.77</v>
      </c>
      <c r="DQ188" s="228">
        <v>0.55000000000000004</v>
      </c>
      <c r="DR188" s="228">
        <v>0.67</v>
      </c>
      <c r="DS188" s="228">
        <v>-0.12</v>
      </c>
      <c r="DT188" s="229">
        <v>-0.17910000000000001</v>
      </c>
      <c r="DU188" s="231">
        <v>4500</v>
      </c>
      <c r="DV188" s="231">
        <v>4300</v>
      </c>
      <c r="DW188" s="228">
        <v>0.35</v>
      </c>
      <c r="DX188" s="228">
        <v>0.53</v>
      </c>
      <c r="DY188" s="228">
        <v>-0.18</v>
      </c>
      <c r="DZ188" s="229">
        <v>-0.33960000000000001</v>
      </c>
      <c r="EA188" s="229">
        <v>1.11E-2</v>
      </c>
      <c r="EB188" s="230">
        <v>12425</v>
      </c>
      <c r="EC188" s="229">
        <v>3.5000000000000001E-3</v>
      </c>
      <c r="ED188" s="229">
        <v>1.11E-2</v>
      </c>
      <c r="EE188" s="228">
        <v>15.18</v>
      </c>
      <c r="EF188" s="229">
        <v>3.5999999999999999E-3</v>
      </c>
      <c r="EG188" s="230">
        <v>26840</v>
      </c>
      <c r="EH188" s="230">
        <v>108474</v>
      </c>
      <c r="EI188" s="229">
        <v>-0.75260000000000005</v>
      </c>
      <c r="EJ188" s="229">
        <v>0.46560000000000001</v>
      </c>
      <c r="EK188" s="228">
        <v>75.38</v>
      </c>
      <c r="EL188" s="228">
        <v>24.52</v>
      </c>
      <c r="EM188" s="228">
        <v>38</v>
      </c>
      <c r="EN188" s="228">
        <v>25.37</v>
      </c>
      <c r="EO188" s="228">
        <v>137.9</v>
      </c>
      <c r="EP188" s="228">
        <v>165.68</v>
      </c>
      <c r="EQ188" s="228">
        <v>-27.77</v>
      </c>
      <c r="ER188" s="229">
        <v>-0.1676</v>
      </c>
      <c r="ES188" s="228">
        <v>102.82</v>
      </c>
      <c r="ET188" s="228">
        <v>53.62</v>
      </c>
      <c r="EU188" s="228">
        <v>523.54999999999995</v>
      </c>
      <c r="EV188" s="231">
        <v>7242074</v>
      </c>
      <c r="EW188" s="228">
        <v>679.99</v>
      </c>
      <c r="EX188" s="228">
        <v>647.70000000000005</v>
      </c>
      <c r="EY188" s="228">
        <v>32.29</v>
      </c>
      <c r="EZ188" s="229">
        <v>4.99E-2</v>
      </c>
      <c r="FA188" s="229">
        <v>0.22140000000000001</v>
      </c>
      <c r="FB188" s="227" t="s">
        <v>567</v>
      </c>
      <c r="FC188">
        <f t="shared" si="3"/>
        <v>0</v>
      </c>
    </row>
    <row r="189" spans="1:159" ht="17.25" thickBot="1" x14ac:dyDescent="0.3">
      <c r="A189" s="226">
        <v>45936</v>
      </c>
      <c r="B189" s="227" t="s">
        <v>161</v>
      </c>
      <c r="C189" s="227" t="s">
        <v>686</v>
      </c>
      <c r="D189" s="228">
        <v>8000</v>
      </c>
      <c r="E189" s="228">
        <v>22</v>
      </c>
      <c r="F189" s="228">
        <v>54.43</v>
      </c>
      <c r="G189" s="228">
        <v>54.8</v>
      </c>
      <c r="H189" s="228">
        <v>-0.37</v>
      </c>
      <c r="I189" s="229">
        <v>-6.7999999999999996E-3</v>
      </c>
      <c r="J189" s="228">
        <v>54.11</v>
      </c>
      <c r="K189" s="228">
        <v>54.46</v>
      </c>
      <c r="L189" s="228">
        <v>-0.35</v>
      </c>
      <c r="M189" s="229">
        <v>-6.4000000000000003E-3</v>
      </c>
      <c r="N189" s="228">
        <v>54.43</v>
      </c>
      <c r="O189" s="228">
        <v>54.8</v>
      </c>
      <c r="P189" s="228">
        <v>-0.37</v>
      </c>
      <c r="Q189" s="229">
        <v>-6.7999999999999996E-3</v>
      </c>
      <c r="R189" s="228">
        <v>54.73</v>
      </c>
      <c r="S189" s="228">
        <v>55.1</v>
      </c>
      <c r="T189" s="228">
        <v>-0.37</v>
      </c>
      <c r="U189" s="229">
        <v>-6.7000000000000002E-3</v>
      </c>
      <c r="V189" s="228">
        <v>55.06</v>
      </c>
      <c r="W189" s="228">
        <v>55.43</v>
      </c>
      <c r="X189" s="228">
        <v>-0.37</v>
      </c>
      <c r="Y189" s="229">
        <v>-6.7000000000000002E-3</v>
      </c>
      <c r="Z189" s="228">
        <v>0.32</v>
      </c>
      <c r="AA189" s="228">
        <v>0.34</v>
      </c>
      <c r="AB189" s="228">
        <v>-0.02</v>
      </c>
      <c r="AC189" s="229">
        <v>5.8999999999999999E-3</v>
      </c>
      <c r="AD189" s="228">
        <v>0.32</v>
      </c>
      <c r="AE189" s="228">
        <v>0.34</v>
      </c>
      <c r="AF189" s="228">
        <v>-0.02</v>
      </c>
      <c r="AG189" s="229">
        <v>5.8999999999999999E-3</v>
      </c>
      <c r="AH189" s="228">
        <v>0.62</v>
      </c>
      <c r="AI189" s="228">
        <v>0.64</v>
      </c>
      <c r="AJ189" s="228">
        <v>-0.02</v>
      </c>
      <c r="AK189" s="229">
        <v>1.15E-2</v>
      </c>
      <c r="AL189" s="228">
        <v>0.95</v>
      </c>
      <c r="AM189" s="228">
        <v>0.97</v>
      </c>
      <c r="AN189" s="228">
        <v>-0.02</v>
      </c>
      <c r="AO189" s="229">
        <v>1.7600000000000001E-2</v>
      </c>
      <c r="AP189" s="228">
        <v>54.62</v>
      </c>
      <c r="AQ189" s="228">
        <v>54.95</v>
      </c>
      <c r="AR189" s="228">
        <v>0</v>
      </c>
      <c r="AS189" s="228">
        <v>110</v>
      </c>
      <c r="AT189" s="228">
        <v>169</v>
      </c>
      <c r="AU189" s="228">
        <v>-59</v>
      </c>
      <c r="AV189" s="229">
        <v>-0.3488</v>
      </c>
      <c r="AW189" s="228">
        <v>95</v>
      </c>
      <c r="AX189" s="228">
        <v>149</v>
      </c>
      <c r="AY189" s="228">
        <v>-55</v>
      </c>
      <c r="AZ189" s="229">
        <v>-0.36520000000000002</v>
      </c>
      <c r="BA189" s="228">
        <v>14</v>
      </c>
      <c r="BB189" s="228">
        <v>18</v>
      </c>
      <c r="BC189" s="228">
        <v>-4</v>
      </c>
      <c r="BD189" s="229">
        <v>-0.2167</v>
      </c>
      <c r="BE189" s="228">
        <v>2</v>
      </c>
      <c r="BF189" s="228">
        <v>2</v>
      </c>
      <c r="BG189" s="228">
        <v>-1</v>
      </c>
      <c r="BH189" s="229">
        <v>-0.3019</v>
      </c>
      <c r="BI189" s="228">
        <v>237</v>
      </c>
      <c r="BJ189" s="228">
        <v>370</v>
      </c>
      <c r="BK189" s="228">
        <v>-133</v>
      </c>
      <c r="BL189" s="229">
        <v>-0.35930000000000001</v>
      </c>
      <c r="BM189" s="228">
        <v>74</v>
      </c>
      <c r="BN189" s="228">
        <v>123</v>
      </c>
      <c r="BO189" s="228">
        <v>-49</v>
      </c>
      <c r="BP189" s="229">
        <v>-0.40010000000000001</v>
      </c>
      <c r="BQ189" s="228">
        <v>421</v>
      </c>
      <c r="BR189" s="228">
        <v>662</v>
      </c>
      <c r="BS189" s="228">
        <v>-241</v>
      </c>
      <c r="BT189" s="229">
        <v>-0.36420000000000002</v>
      </c>
      <c r="BU189" s="230">
        <v>51287633</v>
      </c>
      <c r="BV189" s="230">
        <v>77937651</v>
      </c>
      <c r="BW189" s="230">
        <v>-26650018</v>
      </c>
      <c r="BX189" s="229">
        <v>-0.34189999999999998</v>
      </c>
      <c r="BY189" s="230">
        <v>1031</v>
      </c>
      <c r="BZ189" s="230">
        <v>1004</v>
      </c>
      <c r="CA189" s="228">
        <v>27</v>
      </c>
      <c r="CB189" s="229">
        <v>2.7199999999999998E-2</v>
      </c>
      <c r="CC189" s="228">
        <v>967</v>
      </c>
      <c r="CD189" s="228">
        <v>948</v>
      </c>
      <c r="CE189" s="228">
        <v>19</v>
      </c>
      <c r="CF189" s="229">
        <v>1.9599999999999999E-2</v>
      </c>
      <c r="CG189" s="228">
        <v>60</v>
      </c>
      <c r="CH189" s="228">
        <v>53</v>
      </c>
      <c r="CI189" s="228">
        <v>8</v>
      </c>
      <c r="CJ189" s="229">
        <v>0.1426</v>
      </c>
      <c r="CK189" s="228">
        <v>4</v>
      </c>
      <c r="CL189" s="228">
        <v>3</v>
      </c>
      <c r="CM189" s="228">
        <v>1</v>
      </c>
      <c r="CN189" s="229">
        <v>0.4118</v>
      </c>
      <c r="CO189" s="228">
        <v>624</v>
      </c>
      <c r="CP189" s="228">
        <v>556</v>
      </c>
      <c r="CQ189" s="228">
        <v>68</v>
      </c>
      <c r="CR189" s="229">
        <v>0.12189999999999999</v>
      </c>
      <c r="CS189" s="228">
        <v>342</v>
      </c>
      <c r="CT189" s="228">
        <v>333</v>
      </c>
      <c r="CU189" s="228">
        <v>9</v>
      </c>
      <c r="CV189" s="229">
        <v>2.5700000000000001E-2</v>
      </c>
      <c r="CW189" s="230">
        <v>1997</v>
      </c>
      <c r="CX189" s="230">
        <v>1894</v>
      </c>
      <c r="CY189" s="228">
        <v>104</v>
      </c>
      <c r="CZ189" s="229">
        <v>5.4699999999999999E-2</v>
      </c>
      <c r="DA189" s="228">
        <v>33.74</v>
      </c>
      <c r="DB189" s="228">
        <v>33.94</v>
      </c>
      <c r="DC189" s="228">
        <v>-0.2</v>
      </c>
      <c r="DD189" s="228">
        <v>-0.2</v>
      </c>
      <c r="DE189" s="228">
        <v>51.33</v>
      </c>
      <c r="DF189" s="228">
        <v>51.45</v>
      </c>
      <c r="DG189" s="228">
        <v>-17.59</v>
      </c>
      <c r="DH189" s="228">
        <v>-0.12</v>
      </c>
      <c r="DI189" s="228">
        <v>34.159999999999997</v>
      </c>
      <c r="DJ189" s="228">
        <v>34.380000000000003</v>
      </c>
      <c r="DK189" s="228">
        <v>-0.22</v>
      </c>
      <c r="DL189" s="228">
        <v>-0.22</v>
      </c>
      <c r="DM189" s="228">
        <v>32.380000000000003</v>
      </c>
      <c r="DN189" s="228">
        <v>32.61</v>
      </c>
      <c r="DO189" s="228">
        <v>-0.23</v>
      </c>
      <c r="DP189" s="228">
        <v>-0.23</v>
      </c>
      <c r="DQ189" s="228">
        <v>0.55000000000000004</v>
      </c>
      <c r="DR189" s="228">
        <v>0.6</v>
      </c>
      <c r="DS189" s="228">
        <v>-0.05</v>
      </c>
      <c r="DT189" s="229">
        <v>-8.3299999999999999E-2</v>
      </c>
      <c r="DU189" s="228">
        <v>60</v>
      </c>
      <c r="DV189" s="228">
        <v>56</v>
      </c>
      <c r="DW189" s="228">
        <v>0.31</v>
      </c>
      <c r="DX189" s="228">
        <v>0.33</v>
      </c>
      <c r="DY189" s="228">
        <v>-0.02</v>
      </c>
      <c r="DZ189" s="229">
        <v>-6.0600000000000001E-2</v>
      </c>
      <c r="EA189" s="229">
        <v>6.2600000000000003E-2</v>
      </c>
      <c r="EB189" s="230">
        <v>10248000</v>
      </c>
      <c r="EC189" s="229">
        <v>5.4999999999999997E-3</v>
      </c>
      <c r="ED189" s="229">
        <v>6.2600000000000003E-2</v>
      </c>
      <c r="EE189" s="228">
        <v>0.33</v>
      </c>
      <c r="EF189" s="229">
        <v>6.0000000000000001E-3</v>
      </c>
      <c r="EG189" s="230">
        <v>27988193</v>
      </c>
      <c r="EH189" s="230">
        <v>39031834</v>
      </c>
      <c r="EI189" s="229">
        <v>-0.28289999999999998</v>
      </c>
      <c r="EJ189" s="229">
        <v>0.54569999999999996</v>
      </c>
      <c r="EK189" s="228">
        <v>254.72</v>
      </c>
      <c r="EL189" s="228">
        <v>74.41</v>
      </c>
      <c r="EM189" s="228">
        <v>110.79</v>
      </c>
      <c r="EN189" s="228">
        <v>86.83</v>
      </c>
      <c r="EO189" s="228">
        <v>439.92</v>
      </c>
      <c r="EP189" s="228">
        <v>694.49</v>
      </c>
      <c r="EQ189" s="228">
        <v>-254.57</v>
      </c>
      <c r="ER189" s="229">
        <v>-0.36659999999999998</v>
      </c>
      <c r="ES189" s="228">
        <v>682.41</v>
      </c>
      <c r="ET189" s="228">
        <v>347.19</v>
      </c>
      <c r="EU189" s="231">
        <v>1031.81</v>
      </c>
      <c r="EV189" s="231">
        <v>1813533848</v>
      </c>
      <c r="EW189" s="231">
        <v>2061.41</v>
      </c>
      <c r="EX189" s="231">
        <v>1961.08</v>
      </c>
      <c r="EY189" s="228">
        <v>100.33</v>
      </c>
      <c r="EZ189" s="229">
        <v>5.1200000000000002E-2</v>
      </c>
      <c r="FA189" s="229">
        <v>0.20230000000000001</v>
      </c>
      <c r="FB189" s="227" t="s">
        <v>567</v>
      </c>
      <c r="FC189">
        <f t="shared" si="3"/>
        <v>0</v>
      </c>
    </row>
    <row r="190" spans="1:159" ht="17.25" thickBot="1" x14ac:dyDescent="0.3">
      <c r="A190" s="226">
        <v>45936</v>
      </c>
      <c r="B190" s="227" t="s">
        <v>170</v>
      </c>
      <c r="C190" s="227" t="s">
        <v>520</v>
      </c>
      <c r="D190" s="228">
        <v>1000</v>
      </c>
      <c r="E190" s="228">
        <v>22</v>
      </c>
      <c r="F190" s="228">
        <v>636.54999999999995</v>
      </c>
      <c r="G190" s="228">
        <v>638.29999999999995</v>
      </c>
      <c r="H190" s="228">
        <v>-1.75</v>
      </c>
      <c r="I190" s="229">
        <v>-2.7000000000000001E-3</v>
      </c>
      <c r="J190" s="228">
        <v>634.5</v>
      </c>
      <c r="K190" s="228">
        <v>635.5</v>
      </c>
      <c r="L190" s="228">
        <v>-1</v>
      </c>
      <c r="M190" s="229">
        <v>-1.6000000000000001E-3</v>
      </c>
      <c r="N190" s="228">
        <v>636.54999999999995</v>
      </c>
      <c r="O190" s="228">
        <v>638.29999999999995</v>
      </c>
      <c r="P190" s="228">
        <v>-1.75</v>
      </c>
      <c r="Q190" s="229">
        <v>-2.7000000000000001E-3</v>
      </c>
      <c r="R190" s="228">
        <v>639.95000000000005</v>
      </c>
      <c r="S190" s="228">
        <v>641.6</v>
      </c>
      <c r="T190" s="228">
        <v>-1.65</v>
      </c>
      <c r="U190" s="229">
        <v>-2.5999999999999999E-3</v>
      </c>
      <c r="V190" s="228">
        <v>643.20000000000005</v>
      </c>
      <c r="W190" s="228">
        <v>639.75</v>
      </c>
      <c r="X190" s="228">
        <v>3.45</v>
      </c>
      <c r="Y190" s="229">
        <v>5.4000000000000003E-3</v>
      </c>
      <c r="Z190" s="228">
        <v>2.0499999999999998</v>
      </c>
      <c r="AA190" s="228">
        <v>2.8</v>
      </c>
      <c r="AB190" s="228">
        <v>-0.75</v>
      </c>
      <c r="AC190" s="229">
        <v>3.2000000000000002E-3</v>
      </c>
      <c r="AD190" s="228">
        <v>2.0499999999999998</v>
      </c>
      <c r="AE190" s="228">
        <v>2.8</v>
      </c>
      <c r="AF190" s="228">
        <v>-0.75</v>
      </c>
      <c r="AG190" s="229">
        <v>3.2000000000000002E-3</v>
      </c>
      <c r="AH190" s="228">
        <v>5.45</v>
      </c>
      <c r="AI190" s="228">
        <v>6.1</v>
      </c>
      <c r="AJ190" s="228">
        <v>-0.65</v>
      </c>
      <c r="AK190" s="229">
        <v>8.6E-3</v>
      </c>
      <c r="AL190" s="228">
        <v>8.6999999999999993</v>
      </c>
      <c r="AM190" s="228">
        <v>4.25</v>
      </c>
      <c r="AN190" s="228">
        <v>4.45</v>
      </c>
      <c r="AO190" s="229">
        <v>1.37E-2</v>
      </c>
      <c r="AP190" s="228">
        <v>634.47</v>
      </c>
      <c r="AQ190" s="228">
        <v>637.59</v>
      </c>
      <c r="AR190" s="228">
        <v>0</v>
      </c>
      <c r="AS190" s="228">
        <v>42</v>
      </c>
      <c r="AT190" s="228">
        <v>66</v>
      </c>
      <c r="AU190" s="228">
        <v>-24</v>
      </c>
      <c r="AV190" s="229">
        <v>-0.3649</v>
      </c>
      <c r="AW190" s="228">
        <v>39</v>
      </c>
      <c r="AX190" s="228">
        <v>61</v>
      </c>
      <c r="AY190" s="228">
        <v>-22</v>
      </c>
      <c r="AZ190" s="229">
        <v>-0.36249999999999999</v>
      </c>
      <c r="BA190" s="228">
        <v>2</v>
      </c>
      <c r="BB190" s="228">
        <v>5</v>
      </c>
      <c r="BC190" s="228">
        <v>-2</v>
      </c>
      <c r="BD190" s="229">
        <v>-0.45069999999999999</v>
      </c>
      <c r="BE190" s="228">
        <v>0</v>
      </c>
      <c r="BF190" s="228">
        <v>0</v>
      </c>
      <c r="BG190" s="228">
        <v>0</v>
      </c>
      <c r="BH190" s="229">
        <v>0.4</v>
      </c>
      <c r="BI190" s="228">
        <v>53</v>
      </c>
      <c r="BJ190" s="228">
        <v>83</v>
      </c>
      <c r="BK190" s="228">
        <v>-30</v>
      </c>
      <c r="BL190" s="229">
        <v>-0.36130000000000001</v>
      </c>
      <c r="BM190" s="228">
        <v>27</v>
      </c>
      <c r="BN190" s="228">
        <v>42</v>
      </c>
      <c r="BO190" s="228">
        <v>-15</v>
      </c>
      <c r="BP190" s="229">
        <v>-0.3609</v>
      </c>
      <c r="BQ190" s="228">
        <v>122</v>
      </c>
      <c r="BR190" s="228">
        <v>191</v>
      </c>
      <c r="BS190" s="228">
        <v>-69</v>
      </c>
      <c r="BT190" s="229">
        <v>-0.36249999999999999</v>
      </c>
      <c r="BU190" s="230">
        <v>1868778</v>
      </c>
      <c r="BV190" s="230">
        <v>523261</v>
      </c>
      <c r="BW190" s="230">
        <v>1345517</v>
      </c>
      <c r="BX190" s="229">
        <v>2.5714000000000001</v>
      </c>
      <c r="BY190" s="228">
        <v>619</v>
      </c>
      <c r="BZ190" s="228">
        <v>612</v>
      </c>
      <c r="CA190" s="228">
        <v>7</v>
      </c>
      <c r="CB190" s="229">
        <v>1.09E-2</v>
      </c>
      <c r="CC190" s="228">
        <v>607</v>
      </c>
      <c r="CD190" s="228">
        <v>601</v>
      </c>
      <c r="CE190" s="228">
        <v>6</v>
      </c>
      <c r="CF190" s="229">
        <v>9.4000000000000004E-3</v>
      </c>
      <c r="CG190" s="228">
        <v>11</v>
      </c>
      <c r="CH190" s="228">
        <v>11</v>
      </c>
      <c r="CI190" s="228">
        <v>1</v>
      </c>
      <c r="CJ190" s="229">
        <v>6.6299999999999998E-2</v>
      </c>
      <c r="CK190" s="228">
        <v>1</v>
      </c>
      <c r="CL190" s="228">
        <v>0</v>
      </c>
      <c r="CM190" s="228">
        <v>0</v>
      </c>
      <c r="CN190" s="229">
        <v>0.83330000000000004</v>
      </c>
      <c r="CO190" s="228">
        <v>113</v>
      </c>
      <c r="CP190" s="228">
        <v>99</v>
      </c>
      <c r="CQ190" s="228">
        <v>14</v>
      </c>
      <c r="CR190" s="229">
        <v>0.13650000000000001</v>
      </c>
      <c r="CS190" s="228">
        <v>98</v>
      </c>
      <c r="CT190" s="228">
        <v>97</v>
      </c>
      <c r="CU190" s="228">
        <v>1</v>
      </c>
      <c r="CV190" s="229">
        <v>1.4500000000000001E-2</v>
      </c>
      <c r="CW190" s="228">
        <v>830</v>
      </c>
      <c r="CX190" s="228">
        <v>808</v>
      </c>
      <c r="CY190" s="228">
        <v>22</v>
      </c>
      <c r="CZ190" s="229">
        <v>2.6800000000000001E-2</v>
      </c>
      <c r="DA190" s="228">
        <v>27.72</v>
      </c>
      <c r="DB190" s="228">
        <v>26.39</v>
      </c>
      <c r="DC190" s="228">
        <v>1.33</v>
      </c>
      <c r="DD190" s="228">
        <v>1.33</v>
      </c>
      <c r="DE190" s="228">
        <v>33.549999999999997</v>
      </c>
      <c r="DF190" s="228">
        <v>33.630000000000003</v>
      </c>
      <c r="DG190" s="228">
        <v>-5.83</v>
      </c>
      <c r="DH190" s="228">
        <v>-0.08</v>
      </c>
      <c r="DI190" s="228">
        <v>27.41</v>
      </c>
      <c r="DJ190" s="228">
        <v>26.26</v>
      </c>
      <c r="DK190" s="228">
        <v>1.1499999999999999</v>
      </c>
      <c r="DL190" s="228">
        <v>1.1499999999999999</v>
      </c>
      <c r="DM190" s="228">
        <v>28.34</v>
      </c>
      <c r="DN190" s="228">
        <v>26.65</v>
      </c>
      <c r="DO190" s="228">
        <v>1.69</v>
      </c>
      <c r="DP190" s="228">
        <v>1.69</v>
      </c>
      <c r="DQ190" s="228">
        <v>0.87</v>
      </c>
      <c r="DR190" s="228">
        <v>0.97</v>
      </c>
      <c r="DS190" s="228">
        <v>-0.1</v>
      </c>
      <c r="DT190" s="229">
        <v>-0.1031</v>
      </c>
      <c r="DU190" s="228">
        <v>640</v>
      </c>
      <c r="DV190" s="228">
        <v>620</v>
      </c>
      <c r="DW190" s="228">
        <v>0.51</v>
      </c>
      <c r="DX190" s="228">
        <v>0.51</v>
      </c>
      <c r="DY190" s="228">
        <v>0</v>
      </c>
      <c r="DZ190" s="229">
        <v>0</v>
      </c>
      <c r="EA190" s="229">
        <v>1.9300000000000001E-2</v>
      </c>
      <c r="EB190" s="230">
        <v>172000</v>
      </c>
      <c r="EC190" s="229">
        <v>5.3E-3</v>
      </c>
      <c r="ED190" s="229">
        <v>1.9300000000000001E-2</v>
      </c>
      <c r="EE190" s="228">
        <v>3.12</v>
      </c>
      <c r="EF190" s="229">
        <v>4.8999999999999998E-3</v>
      </c>
      <c r="EG190" s="230">
        <v>1611694</v>
      </c>
      <c r="EH190" s="230">
        <v>326193</v>
      </c>
      <c r="EI190" s="229">
        <v>3.9409000000000001</v>
      </c>
      <c r="EJ190" s="229">
        <v>0.86240000000000006</v>
      </c>
      <c r="EK190" s="228">
        <v>55.24</v>
      </c>
      <c r="EL190" s="228">
        <v>26.43</v>
      </c>
      <c r="EM190" s="228">
        <v>41.76</v>
      </c>
      <c r="EN190" s="228">
        <v>28.9</v>
      </c>
      <c r="EO190" s="228">
        <v>123.43</v>
      </c>
      <c r="EP190" s="228">
        <v>194.87</v>
      </c>
      <c r="EQ190" s="228">
        <v>-71.44</v>
      </c>
      <c r="ER190" s="229">
        <v>-0.36659999999999998</v>
      </c>
      <c r="ES190" s="228">
        <v>116.86</v>
      </c>
      <c r="ET190" s="228">
        <v>96.09</v>
      </c>
      <c r="EU190" s="228">
        <v>619.17999999999995</v>
      </c>
      <c r="EV190" s="231">
        <v>28408333</v>
      </c>
      <c r="EW190" s="228">
        <v>832.13</v>
      </c>
      <c r="EX190" s="228">
        <v>811.61</v>
      </c>
      <c r="EY190" s="228">
        <v>20.52</v>
      </c>
      <c r="EZ190" s="229">
        <v>2.53E-2</v>
      </c>
      <c r="FA190" s="229">
        <v>0.45900000000000002</v>
      </c>
      <c r="FB190" s="227" t="s">
        <v>567</v>
      </c>
      <c r="FC190">
        <f t="shared" si="3"/>
        <v>0</v>
      </c>
    </row>
    <row r="191" spans="1:159" ht="17.25" thickBot="1" x14ac:dyDescent="0.3">
      <c r="A191" s="226">
        <v>45936</v>
      </c>
      <c r="B191" s="227" t="s">
        <v>168</v>
      </c>
      <c r="C191" s="227" t="s">
        <v>291</v>
      </c>
      <c r="D191" s="228">
        <v>550</v>
      </c>
      <c r="E191" s="228">
        <v>22</v>
      </c>
      <c r="F191" s="231">
        <v>1148.9000000000001</v>
      </c>
      <c r="G191" s="231">
        <v>1145.2</v>
      </c>
      <c r="H191" s="228">
        <v>3.7</v>
      </c>
      <c r="I191" s="229">
        <v>3.2000000000000002E-3</v>
      </c>
      <c r="J191" s="231">
        <v>1142.0999999999999</v>
      </c>
      <c r="K191" s="231">
        <v>1137.5</v>
      </c>
      <c r="L191" s="228">
        <v>4.5999999999999996</v>
      </c>
      <c r="M191" s="229">
        <v>4.0000000000000001E-3</v>
      </c>
      <c r="N191" s="231">
        <v>1148.9000000000001</v>
      </c>
      <c r="O191" s="231">
        <v>1145.2</v>
      </c>
      <c r="P191" s="228">
        <v>3.7</v>
      </c>
      <c r="Q191" s="229">
        <v>3.2000000000000002E-3</v>
      </c>
      <c r="R191" s="231">
        <v>1154.8</v>
      </c>
      <c r="S191" s="231">
        <v>1151.0999999999999</v>
      </c>
      <c r="T191" s="228">
        <v>3.7</v>
      </c>
      <c r="U191" s="229">
        <v>3.2000000000000002E-3</v>
      </c>
      <c r="V191" s="231">
        <v>1161.4000000000001</v>
      </c>
      <c r="W191" s="231">
        <v>1154</v>
      </c>
      <c r="X191" s="228">
        <v>7.4</v>
      </c>
      <c r="Y191" s="229">
        <v>6.4000000000000003E-3</v>
      </c>
      <c r="Z191" s="228">
        <v>6.8</v>
      </c>
      <c r="AA191" s="228">
        <v>7.7</v>
      </c>
      <c r="AB191" s="228">
        <v>-0.9</v>
      </c>
      <c r="AC191" s="229">
        <v>6.0000000000000001E-3</v>
      </c>
      <c r="AD191" s="228">
        <v>6.8</v>
      </c>
      <c r="AE191" s="228">
        <v>7.7</v>
      </c>
      <c r="AF191" s="228">
        <v>-0.9</v>
      </c>
      <c r="AG191" s="229">
        <v>6.0000000000000001E-3</v>
      </c>
      <c r="AH191" s="228">
        <v>12.7</v>
      </c>
      <c r="AI191" s="228">
        <v>13.6</v>
      </c>
      <c r="AJ191" s="228">
        <v>-0.9</v>
      </c>
      <c r="AK191" s="229">
        <v>1.11E-2</v>
      </c>
      <c r="AL191" s="228">
        <v>19.3</v>
      </c>
      <c r="AM191" s="228">
        <v>16.5</v>
      </c>
      <c r="AN191" s="228">
        <v>2.8</v>
      </c>
      <c r="AO191" s="229">
        <v>1.6899999999999998E-2</v>
      </c>
      <c r="AP191" s="231">
        <v>1146.4000000000001</v>
      </c>
      <c r="AQ191" s="231">
        <v>1152.0999999999999</v>
      </c>
      <c r="AR191" s="228">
        <v>0</v>
      </c>
      <c r="AS191" s="228">
        <v>166</v>
      </c>
      <c r="AT191" s="228">
        <v>174</v>
      </c>
      <c r="AU191" s="228">
        <v>-8</v>
      </c>
      <c r="AV191" s="229">
        <v>-4.65E-2</v>
      </c>
      <c r="AW191" s="228">
        <v>159</v>
      </c>
      <c r="AX191" s="228">
        <v>169</v>
      </c>
      <c r="AY191" s="228">
        <v>-10</v>
      </c>
      <c r="AZ191" s="229">
        <v>-6.0499999999999998E-2</v>
      </c>
      <c r="BA191" s="228">
        <v>6</v>
      </c>
      <c r="BB191" s="228">
        <v>5</v>
      </c>
      <c r="BC191" s="228">
        <v>2</v>
      </c>
      <c r="BD191" s="229">
        <v>0.375</v>
      </c>
      <c r="BE191" s="228">
        <v>1</v>
      </c>
      <c r="BF191" s="228">
        <v>0</v>
      </c>
      <c r="BG191" s="228">
        <v>0</v>
      </c>
      <c r="BH191" s="229">
        <v>3.5</v>
      </c>
      <c r="BI191" s="228">
        <v>419</v>
      </c>
      <c r="BJ191" s="228">
        <v>347</v>
      </c>
      <c r="BK191" s="228">
        <v>73</v>
      </c>
      <c r="BL191" s="229">
        <v>0.20960000000000001</v>
      </c>
      <c r="BM191" s="228">
        <v>120</v>
      </c>
      <c r="BN191" s="228">
        <v>127</v>
      </c>
      <c r="BO191" s="228">
        <v>-7</v>
      </c>
      <c r="BP191" s="229">
        <v>-5.7599999999999998E-2</v>
      </c>
      <c r="BQ191" s="228">
        <v>705</v>
      </c>
      <c r="BR191" s="228">
        <v>648</v>
      </c>
      <c r="BS191" s="228">
        <v>57</v>
      </c>
      <c r="BT191" s="229">
        <v>8.8400000000000006E-2</v>
      </c>
      <c r="BU191" s="230">
        <v>1499552</v>
      </c>
      <c r="BV191" s="230">
        <v>1602953</v>
      </c>
      <c r="BW191" s="230">
        <v>-103401</v>
      </c>
      <c r="BX191" s="229">
        <v>-6.4500000000000002E-2</v>
      </c>
      <c r="BY191" s="230">
        <v>1831</v>
      </c>
      <c r="BZ191" s="230">
        <v>1828</v>
      </c>
      <c r="CA191" s="228">
        <v>2</v>
      </c>
      <c r="CB191" s="229">
        <v>1.1999999999999999E-3</v>
      </c>
      <c r="CC191" s="230">
        <v>1820</v>
      </c>
      <c r="CD191" s="230">
        <v>1819</v>
      </c>
      <c r="CE191" s="228">
        <v>2</v>
      </c>
      <c r="CF191" s="229">
        <v>8.0000000000000004E-4</v>
      </c>
      <c r="CG191" s="228">
        <v>10</v>
      </c>
      <c r="CH191" s="228">
        <v>10</v>
      </c>
      <c r="CI191" s="228">
        <v>0</v>
      </c>
      <c r="CJ191" s="229">
        <v>4.6399999999999997E-2</v>
      </c>
      <c r="CK191" s="228">
        <v>1</v>
      </c>
      <c r="CL191" s="228">
        <v>0</v>
      </c>
      <c r="CM191" s="228">
        <v>0</v>
      </c>
      <c r="CN191" s="229">
        <v>1.6667000000000001</v>
      </c>
      <c r="CO191" s="228">
        <v>267</v>
      </c>
      <c r="CP191" s="228">
        <v>244</v>
      </c>
      <c r="CQ191" s="228">
        <v>23</v>
      </c>
      <c r="CR191" s="229">
        <v>9.5399999999999999E-2</v>
      </c>
      <c r="CS191" s="228">
        <v>127</v>
      </c>
      <c r="CT191" s="228">
        <v>123</v>
      </c>
      <c r="CU191" s="228">
        <v>5</v>
      </c>
      <c r="CV191" s="229">
        <v>3.6999999999999998E-2</v>
      </c>
      <c r="CW191" s="230">
        <v>2225</v>
      </c>
      <c r="CX191" s="230">
        <v>2195</v>
      </c>
      <c r="CY191" s="228">
        <v>30</v>
      </c>
      <c r="CZ191" s="229">
        <v>1.37E-2</v>
      </c>
      <c r="DA191" s="228">
        <v>22.92</v>
      </c>
      <c r="DB191" s="228">
        <v>22.79</v>
      </c>
      <c r="DC191" s="228">
        <v>0.13</v>
      </c>
      <c r="DD191" s="228">
        <v>0.13</v>
      </c>
      <c r="DE191" s="228">
        <v>27.02</v>
      </c>
      <c r="DF191" s="228">
        <v>27.08</v>
      </c>
      <c r="DG191" s="228">
        <v>-4.0999999999999996</v>
      </c>
      <c r="DH191" s="228">
        <v>-0.06</v>
      </c>
      <c r="DI191" s="228">
        <v>22.9</v>
      </c>
      <c r="DJ191" s="228">
        <v>22.71</v>
      </c>
      <c r="DK191" s="228">
        <v>0.19</v>
      </c>
      <c r="DL191" s="228">
        <v>0.19</v>
      </c>
      <c r="DM191" s="228">
        <v>22.96</v>
      </c>
      <c r="DN191" s="228">
        <v>23.01</v>
      </c>
      <c r="DO191" s="228">
        <v>-0.05</v>
      </c>
      <c r="DP191" s="228">
        <v>-0.05</v>
      </c>
      <c r="DQ191" s="228">
        <v>0.48</v>
      </c>
      <c r="DR191" s="228">
        <v>0.5</v>
      </c>
      <c r="DS191" s="228">
        <v>-0.02</v>
      </c>
      <c r="DT191" s="229">
        <v>-0.04</v>
      </c>
      <c r="DU191" s="231">
        <v>1150</v>
      </c>
      <c r="DV191" s="231">
        <v>1100</v>
      </c>
      <c r="DW191" s="228">
        <v>0.28999999999999998</v>
      </c>
      <c r="DX191" s="228">
        <v>0.37</v>
      </c>
      <c r="DY191" s="228">
        <v>-0.08</v>
      </c>
      <c r="DZ191" s="229">
        <v>-0.2162</v>
      </c>
      <c r="EA191" s="229">
        <v>5.7000000000000002E-3</v>
      </c>
      <c r="EB191" s="230">
        <v>84700</v>
      </c>
      <c r="EC191" s="229">
        <v>5.1000000000000004E-3</v>
      </c>
      <c r="ED191" s="229">
        <v>5.7000000000000002E-3</v>
      </c>
      <c r="EE191" s="228">
        <v>5.7</v>
      </c>
      <c r="EF191" s="229">
        <v>5.0000000000000001E-3</v>
      </c>
      <c r="EG191" s="230">
        <v>999781</v>
      </c>
      <c r="EH191" s="230">
        <v>1145342</v>
      </c>
      <c r="EI191" s="229">
        <v>-0.12709999999999999</v>
      </c>
      <c r="EJ191" s="229">
        <v>0.66669999999999996</v>
      </c>
      <c r="EK191" s="228">
        <v>433.86</v>
      </c>
      <c r="EL191" s="228">
        <v>119.48</v>
      </c>
      <c r="EM191" s="228">
        <v>165.55</v>
      </c>
      <c r="EN191" s="228">
        <v>74.84</v>
      </c>
      <c r="EO191" s="228">
        <v>718.89</v>
      </c>
      <c r="EP191" s="228">
        <v>656.07</v>
      </c>
      <c r="EQ191" s="228">
        <v>62.81</v>
      </c>
      <c r="ER191" s="229">
        <v>9.5699999999999993E-2</v>
      </c>
      <c r="ES191" s="228">
        <v>277.33999999999997</v>
      </c>
      <c r="ET191" s="228">
        <v>120.62</v>
      </c>
      <c r="EU191" s="231">
        <v>1830.78</v>
      </c>
      <c r="EV191" s="231">
        <v>65471528</v>
      </c>
      <c r="EW191" s="231">
        <v>2228.7399999999998</v>
      </c>
      <c r="EX191" s="231">
        <v>2190.39</v>
      </c>
      <c r="EY191" s="228">
        <v>38.35</v>
      </c>
      <c r="EZ191" s="229">
        <v>1.7500000000000002E-2</v>
      </c>
      <c r="FA191" s="229">
        <v>0.29580000000000001</v>
      </c>
      <c r="FB191" s="227" t="s">
        <v>555</v>
      </c>
      <c r="FC191">
        <f t="shared" si="3"/>
        <v>0</v>
      </c>
    </row>
    <row r="192" spans="1:159" ht="17.25" thickBot="1" x14ac:dyDescent="0.3">
      <c r="A192" s="226">
        <v>45936</v>
      </c>
      <c r="B192" s="227" t="s">
        <v>221</v>
      </c>
      <c r="C192" s="227" t="s">
        <v>605</v>
      </c>
      <c r="D192" s="228">
        <v>100</v>
      </c>
      <c r="E192" s="228">
        <v>22</v>
      </c>
      <c r="F192" s="231">
        <v>5327.5</v>
      </c>
      <c r="G192" s="231">
        <v>5281</v>
      </c>
      <c r="H192" s="228">
        <v>46.5</v>
      </c>
      <c r="I192" s="229">
        <v>8.8000000000000005E-3</v>
      </c>
      <c r="J192" s="231">
        <v>5394</v>
      </c>
      <c r="K192" s="231">
        <v>5355.5</v>
      </c>
      <c r="L192" s="228">
        <v>38.5</v>
      </c>
      <c r="M192" s="229">
        <v>7.1999999999999998E-3</v>
      </c>
      <c r="N192" s="231">
        <v>5327.5</v>
      </c>
      <c r="O192" s="231">
        <v>5281</v>
      </c>
      <c r="P192" s="228">
        <v>46.5</v>
      </c>
      <c r="Q192" s="229">
        <v>8.8000000000000005E-3</v>
      </c>
      <c r="R192" s="231">
        <v>5282.5</v>
      </c>
      <c r="S192" s="231">
        <v>5242</v>
      </c>
      <c r="T192" s="228">
        <v>40.5</v>
      </c>
      <c r="U192" s="229">
        <v>7.7000000000000002E-3</v>
      </c>
      <c r="V192" s="231">
        <v>5262.5</v>
      </c>
      <c r="W192" s="231">
        <v>5226</v>
      </c>
      <c r="X192" s="228">
        <v>36.5</v>
      </c>
      <c r="Y192" s="229">
        <v>7.0000000000000001E-3</v>
      </c>
      <c r="Z192" s="228">
        <v>-66.5</v>
      </c>
      <c r="AA192" s="228">
        <v>-74.5</v>
      </c>
      <c r="AB192" s="228">
        <v>8</v>
      </c>
      <c r="AC192" s="229">
        <v>-1.23E-2</v>
      </c>
      <c r="AD192" s="228">
        <v>-66.5</v>
      </c>
      <c r="AE192" s="228">
        <v>-74.5</v>
      </c>
      <c r="AF192" s="228">
        <v>8</v>
      </c>
      <c r="AG192" s="229">
        <v>-1.23E-2</v>
      </c>
      <c r="AH192" s="228">
        <v>-111.5</v>
      </c>
      <c r="AI192" s="228">
        <v>-113.5</v>
      </c>
      <c r="AJ192" s="228">
        <v>2</v>
      </c>
      <c r="AK192" s="229">
        <v>-2.07E-2</v>
      </c>
      <c r="AL192" s="228">
        <v>-131.5</v>
      </c>
      <c r="AM192" s="228">
        <v>-129.5</v>
      </c>
      <c r="AN192" s="228">
        <v>-2</v>
      </c>
      <c r="AO192" s="229">
        <v>-2.4400000000000002E-2</v>
      </c>
      <c r="AP192" s="231">
        <v>5308.11</v>
      </c>
      <c r="AQ192" s="231">
        <v>5255.81</v>
      </c>
      <c r="AR192" s="228">
        <v>0</v>
      </c>
      <c r="AS192" s="228">
        <v>185</v>
      </c>
      <c r="AT192" s="228">
        <v>195</v>
      </c>
      <c r="AU192" s="228">
        <v>-10</v>
      </c>
      <c r="AV192" s="229">
        <v>-5.3199999999999997E-2</v>
      </c>
      <c r="AW192" s="228">
        <v>164</v>
      </c>
      <c r="AX192" s="228">
        <v>178</v>
      </c>
      <c r="AY192" s="228">
        <v>-14</v>
      </c>
      <c r="AZ192" s="229">
        <v>-7.9100000000000004E-2</v>
      </c>
      <c r="BA192" s="228">
        <v>19</v>
      </c>
      <c r="BB192" s="228">
        <v>16</v>
      </c>
      <c r="BC192" s="228">
        <v>3</v>
      </c>
      <c r="BD192" s="229">
        <v>0.2203</v>
      </c>
      <c r="BE192" s="228">
        <v>2</v>
      </c>
      <c r="BF192" s="228">
        <v>2</v>
      </c>
      <c r="BG192" s="228">
        <v>0</v>
      </c>
      <c r="BH192" s="229">
        <v>0.1212</v>
      </c>
      <c r="BI192" s="228">
        <v>614</v>
      </c>
      <c r="BJ192" s="228">
        <v>482</v>
      </c>
      <c r="BK192" s="228">
        <v>133</v>
      </c>
      <c r="BL192" s="229">
        <v>0.2757</v>
      </c>
      <c r="BM192" s="228">
        <v>185</v>
      </c>
      <c r="BN192" s="228">
        <v>139</v>
      </c>
      <c r="BO192" s="228">
        <v>46</v>
      </c>
      <c r="BP192" s="229">
        <v>0.32769999999999999</v>
      </c>
      <c r="BQ192" s="228">
        <v>984</v>
      </c>
      <c r="BR192" s="228">
        <v>816</v>
      </c>
      <c r="BS192" s="228">
        <v>168</v>
      </c>
      <c r="BT192" s="229">
        <v>0.20580000000000001</v>
      </c>
      <c r="BU192" s="230">
        <v>178068</v>
      </c>
      <c r="BV192" s="230">
        <v>187370</v>
      </c>
      <c r="BW192" s="230">
        <v>-9302</v>
      </c>
      <c r="BX192" s="229">
        <v>-4.9599999999999998E-2</v>
      </c>
      <c r="BY192" s="230">
        <v>1477</v>
      </c>
      <c r="BZ192" s="230">
        <v>1448</v>
      </c>
      <c r="CA192" s="228">
        <v>29</v>
      </c>
      <c r="CB192" s="229">
        <v>1.9900000000000001E-2</v>
      </c>
      <c r="CC192" s="230">
        <v>1432</v>
      </c>
      <c r="CD192" s="230">
        <v>1407</v>
      </c>
      <c r="CE192" s="228">
        <v>25</v>
      </c>
      <c r="CF192" s="229">
        <v>1.8100000000000002E-2</v>
      </c>
      <c r="CG192" s="228">
        <v>42</v>
      </c>
      <c r="CH192" s="228">
        <v>39</v>
      </c>
      <c r="CI192" s="228">
        <v>3</v>
      </c>
      <c r="CJ192" s="229">
        <v>6.5600000000000006E-2</v>
      </c>
      <c r="CK192" s="228">
        <v>3</v>
      </c>
      <c r="CL192" s="228">
        <v>2</v>
      </c>
      <c r="CM192" s="228">
        <v>1</v>
      </c>
      <c r="CN192" s="229">
        <v>0.31819999999999998</v>
      </c>
      <c r="CO192" s="228">
        <v>323</v>
      </c>
      <c r="CP192" s="228">
        <v>275</v>
      </c>
      <c r="CQ192" s="228">
        <v>48</v>
      </c>
      <c r="CR192" s="229">
        <v>0.1741</v>
      </c>
      <c r="CS192" s="228">
        <v>184</v>
      </c>
      <c r="CT192" s="228">
        <v>172</v>
      </c>
      <c r="CU192" s="228">
        <v>12</v>
      </c>
      <c r="CV192" s="229">
        <v>6.8000000000000005E-2</v>
      </c>
      <c r="CW192" s="230">
        <v>1984</v>
      </c>
      <c r="CX192" s="230">
        <v>1895</v>
      </c>
      <c r="CY192" s="228">
        <v>88</v>
      </c>
      <c r="CZ192" s="229">
        <v>4.6600000000000003E-2</v>
      </c>
      <c r="DA192" s="228">
        <v>37.61</v>
      </c>
      <c r="DB192" s="228">
        <v>34.83</v>
      </c>
      <c r="DC192" s="228">
        <v>2.78</v>
      </c>
      <c r="DD192" s="228">
        <v>2.78</v>
      </c>
      <c r="DE192" s="228">
        <v>36.65</v>
      </c>
      <c r="DF192" s="228">
        <v>36.72</v>
      </c>
      <c r="DG192" s="228">
        <v>0.96</v>
      </c>
      <c r="DH192" s="228">
        <v>-7.0000000000000007E-2</v>
      </c>
      <c r="DI192" s="228">
        <v>37.57</v>
      </c>
      <c r="DJ192" s="228">
        <v>34.799999999999997</v>
      </c>
      <c r="DK192" s="228">
        <v>2.77</v>
      </c>
      <c r="DL192" s="228">
        <v>2.77</v>
      </c>
      <c r="DM192" s="228">
        <v>37.74</v>
      </c>
      <c r="DN192" s="228">
        <v>34.9</v>
      </c>
      <c r="DO192" s="228">
        <v>2.84</v>
      </c>
      <c r="DP192" s="228">
        <v>2.84</v>
      </c>
      <c r="DQ192" s="228">
        <v>0.56999999999999995</v>
      </c>
      <c r="DR192" s="228">
        <v>0.63</v>
      </c>
      <c r="DS192" s="228">
        <v>-0.06</v>
      </c>
      <c r="DT192" s="229">
        <v>-9.5200000000000007E-2</v>
      </c>
      <c r="DU192" s="231">
        <v>6000</v>
      </c>
      <c r="DV192" s="231">
        <v>5000</v>
      </c>
      <c r="DW192" s="228">
        <v>0.3</v>
      </c>
      <c r="DX192" s="228">
        <v>0.28999999999999998</v>
      </c>
      <c r="DY192" s="228">
        <v>0.01</v>
      </c>
      <c r="DZ192" s="229">
        <v>3.4500000000000003E-2</v>
      </c>
      <c r="EA192" s="229">
        <v>3.0200000000000001E-2</v>
      </c>
      <c r="EB192" s="230">
        <v>77600</v>
      </c>
      <c r="EC192" s="229">
        <v>-8.3999999999999995E-3</v>
      </c>
      <c r="ED192" s="229">
        <v>3.0200000000000001E-2</v>
      </c>
      <c r="EE192" s="228">
        <v>-52.3</v>
      </c>
      <c r="EF192" s="229">
        <v>-9.9000000000000008E-3</v>
      </c>
      <c r="EG192" s="230">
        <v>51866</v>
      </c>
      <c r="EH192" s="230">
        <v>61979</v>
      </c>
      <c r="EI192" s="229">
        <v>-0.16320000000000001</v>
      </c>
      <c r="EJ192" s="229">
        <v>0.2913</v>
      </c>
      <c r="EK192" s="228">
        <v>656.29</v>
      </c>
      <c r="EL192" s="228">
        <v>183.71</v>
      </c>
      <c r="EM192" s="228">
        <v>184.08</v>
      </c>
      <c r="EN192" s="228">
        <v>78.709999999999994</v>
      </c>
      <c r="EO192" s="231">
        <v>1024.08</v>
      </c>
      <c r="EP192" s="228">
        <v>835.21</v>
      </c>
      <c r="EQ192" s="228">
        <v>188.86</v>
      </c>
      <c r="ER192" s="229">
        <v>0.2261</v>
      </c>
      <c r="ES192" s="228">
        <v>346.74</v>
      </c>
      <c r="ET192" s="228">
        <v>179.49</v>
      </c>
      <c r="EU192" s="231">
        <v>1476.5</v>
      </c>
      <c r="EV192" s="231">
        <v>4309631</v>
      </c>
      <c r="EW192" s="231">
        <v>2002.73</v>
      </c>
      <c r="EX192" s="231">
        <v>1897.95</v>
      </c>
      <c r="EY192" s="228">
        <v>104.78</v>
      </c>
      <c r="EZ192" s="229">
        <v>5.5199999999999999E-2</v>
      </c>
      <c r="FA192" s="229">
        <v>0.86399999999999999</v>
      </c>
      <c r="FB192" s="227" t="s">
        <v>555</v>
      </c>
      <c r="FC192">
        <f t="shared" si="3"/>
        <v>0</v>
      </c>
    </row>
    <row r="193" spans="1:159" ht="17.25" thickBot="1" x14ac:dyDescent="0.3">
      <c r="A193" s="226">
        <v>45936</v>
      </c>
      <c r="B193" s="227" t="s">
        <v>162</v>
      </c>
      <c r="C193" s="227" t="s">
        <v>292</v>
      </c>
      <c r="D193" s="228">
        <v>800</v>
      </c>
      <c r="E193" s="228">
        <v>22</v>
      </c>
      <c r="F193" s="228">
        <v>714.85</v>
      </c>
      <c r="G193" s="228">
        <v>719.45</v>
      </c>
      <c r="H193" s="228">
        <v>-4.5999999999999996</v>
      </c>
      <c r="I193" s="229">
        <v>-6.4000000000000003E-3</v>
      </c>
      <c r="J193" s="228">
        <v>712.65</v>
      </c>
      <c r="K193" s="228">
        <v>716.1</v>
      </c>
      <c r="L193" s="228">
        <v>-3.45</v>
      </c>
      <c r="M193" s="229">
        <v>-4.7999999999999996E-3</v>
      </c>
      <c r="N193" s="228">
        <v>714.85</v>
      </c>
      <c r="O193" s="228">
        <v>719.45</v>
      </c>
      <c r="P193" s="228">
        <v>-4.5999999999999996</v>
      </c>
      <c r="Q193" s="229">
        <v>-6.4000000000000003E-3</v>
      </c>
      <c r="R193" s="228">
        <v>714.7</v>
      </c>
      <c r="S193" s="228">
        <v>719.4</v>
      </c>
      <c r="T193" s="228">
        <v>-4.7</v>
      </c>
      <c r="U193" s="229">
        <v>-6.4999999999999997E-3</v>
      </c>
      <c r="V193" s="228">
        <v>715</v>
      </c>
      <c r="W193" s="228">
        <v>719.85</v>
      </c>
      <c r="X193" s="228">
        <v>-4.8499999999999996</v>
      </c>
      <c r="Y193" s="229">
        <v>-6.7000000000000002E-3</v>
      </c>
      <c r="Z193" s="228">
        <v>2.2000000000000002</v>
      </c>
      <c r="AA193" s="228">
        <v>3.35</v>
      </c>
      <c r="AB193" s="228">
        <v>-1.1499999999999999</v>
      </c>
      <c r="AC193" s="229">
        <v>3.0999999999999999E-3</v>
      </c>
      <c r="AD193" s="228">
        <v>2.2000000000000002</v>
      </c>
      <c r="AE193" s="228">
        <v>3.35</v>
      </c>
      <c r="AF193" s="228">
        <v>-1.1499999999999999</v>
      </c>
      <c r="AG193" s="229">
        <v>3.0999999999999999E-3</v>
      </c>
      <c r="AH193" s="228">
        <v>2.0499999999999998</v>
      </c>
      <c r="AI193" s="228">
        <v>3.3</v>
      </c>
      <c r="AJ193" s="228">
        <v>-1.25</v>
      </c>
      <c r="AK193" s="229">
        <v>2.8999999999999998E-3</v>
      </c>
      <c r="AL193" s="228">
        <v>2.35</v>
      </c>
      <c r="AM193" s="228">
        <v>3.75</v>
      </c>
      <c r="AN193" s="228">
        <v>-1.4</v>
      </c>
      <c r="AO193" s="229">
        <v>3.3E-3</v>
      </c>
      <c r="AP193" s="228">
        <v>712.53</v>
      </c>
      <c r="AQ193" s="228">
        <v>712.37</v>
      </c>
      <c r="AR193" s="228">
        <v>0</v>
      </c>
      <c r="AS193" s="230">
        <v>1114</v>
      </c>
      <c r="AT193" s="230">
        <v>2305</v>
      </c>
      <c r="AU193" s="230">
        <v>-1191</v>
      </c>
      <c r="AV193" s="229">
        <v>-0.51670000000000005</v>
      </c>
      <c r="AW193" s="228">
        <v>999</v>
      </c>
      <c r="AX193" s="230">
        <v>2083</v>
      </c>
      <c r="AY193" s="230">
        <v>-1084</v>
      </c>
      <c r="AZ193" s="229">
        <v>-0.52059999999999995</v>
      </c>
      <c r="BA193" s="228">
        <v>103</v>
      </c>
      <c r="BB193" s="228">
        <v>192</v>
      </c>
      <c r="BC193" s="228">
        <v>-89</v>
      </c>
      <c r="BD193" s="229">
        <v>-0.46400000000000002</v>
      </c>
      <c r="BE193" s="228">
        <v>13</v>
      </c>
      <c r="BF193" s="228">
        <v>31</v>
      </c>
      <c r="BG193" s="228">
        <v>-18</v>
      </c>
      <c r="BH193" s="229">
        <v>-0.5877</v>
      </c>
      <c r="BI193" s="230">
        <v>10797</v>
      </c>
      <c r="BJ193" s="230">
        <v>16233</v>
      </c>
      <c r="BK193" s="230">
        <v>-5437</v>
      </c>
      <c r="BL193" s="229">
        <v>-0.33489999999999998</v>
      </c>
      <c r="BM193" s="230">
        <v>4999</v>
      </c>
      <c r="BN193" s="230">
        <v>9189</v>
      </c>
      <c r="BO193" s="230">
        <v>-4190</v>
      </c>
      <c r="BP193" s="229">
        <v>-0.45600000000000002</v>
      </c>
      <c r="BQ193" s="230">
        <v>16910</v>
      </c>
      <c r="BR193" s="230">
        <v>27728</v>
      </c>
      <c r="BS193" s="230">
        <v>-10818</v>
      </c>
      <c r="BT193" s="229">
        <v>-0.39019999999999999</v>
      </c>
      <c r="BU193" s="230">
        <v>10880662</v>
      </c>
      <c r="BV193" s="230">
        <v>29717866</v>
      </c>
      <c r="BW193" s="230">
        <v>-18837204</v>
      </c>
      <c r="BX193" s="229">
        <v>-0.63390000000000002</v>
      </c>
      <c r="BY193" s="230">
        <v>4274</v>
      </c>
      <c r="BZ193" s="230">
        <v>4451</v>
      </c>
      <c r="CA193" s="228">
        <v>-177</v>
      </c>
      <c r="CB193" s="229">
        <v>-3.9800000000000002E-2</v>
      </c>
      <c r="CC193" s="230">
        <v>3898</v>
      </c>
      <c r="CD193" s="230">
        <v>4073</v>
      </c>
      <c r="CE193" s="228">
        <v>-175</v>
      </c>
      <c r="CF193" s="229">
        <v>-4.2999999999999997E-2</v>
      </c>
      <c r="CG193" s="228">
        <v>349</v>
      </c>
      <c r="CH193" s="228">
        <v>354</v>
      </c>
      <c r="CI193" s="228">
        <v>-4</v>
      </c>
      <c r="CJ193" s="229">
        <v>-1.2E-2</v>
      </c>
      <c r="CK193" s="228">
        <v>26</v>
      </c>
      <c r="CL193" s="228">
        <v>24</v>
      </c>
      <c r="CM193" s="228">
        <v>2</v>
      </c>
      <c r="CN193" s="229">
        <v>9.69E-2</v>
      </c>
      <c r="CO193" s="230">
        <v>6181</v>
      </c>
      <c r="CP193" s="230">
        <v>5187</v>
      </c>
      <c r="CQ193" s="228">
        <v>994</v>
      </c>
      <c r="CR193" s="229">
        <v>0.19159999999999999</v>
      </c>
      <c r="CS193" s="230">
        <v>3301</v>
      </c>
      <c r="CT193" s="230">
        <v>3291</v>
      </c>
      <c r="CU193" s="228">
        <v>9</v>
      </c>
      <c r="CV193" s="229">
        <v>2.8E-3</v>
      </c>
      <c r="CW193" s="230">
        <v>13755</v>
      </c>
      <c r="CX193" s="230">
        <v>12929</v>
      </c>
      <c r="CY193" s="228">
        <v>826</v>
      </c>
      <c r="CZ193" s="229">
        <v>6.3899999999999998E-2</v>
      </c>
      <c r="DA193" s="228">
        <v>22.22</v>
      </c>
      <c r="DB193" s="228">
        <v>23.64</v>
      </c>
      <c r="DC193" s="228">
        <v>-1.42</v>
      </c>
      <c r="DD193" s="228">
        <v>-1.42</v>
      </c>
      <c r="DE193" s="228">
        <v>35.86</v>
      </c>
      <c r="DF193" s="228">
        <v>35.94</v>
      </c>
      <c r="DG193" s="228">
        <v>-13.64</v>
      </c>
      <c r="DH193" s="228">
        <v>-0.08</v>
      </c>
      <c r="DI193" s="228">
        <v>22.29</v>
      </c>
      <c r="DJ193" s="228">
        <v>23.79</v>
      </c>
      <c r="DK193" s="228">
        <v>-1.5</v>
      </c>
      <c r="DL193" s="228">
        <v>-1.5</v>
      </c>
      <c r="DM193" s="228">
        <v>22.07</v>
      </c>
      <c r="DN193" s="228">
        <v>23.38</v>
      </c>
      <c r="DO193" s="228">
        <v>-1.31</v>
      </c>
      <c r="DP193" s="228">
        <v>-1.31</v>
      </c>
      <c r="DQ193" s="228">
        <v>0.53</v>
      </c>
      <c r="DR193" s="228">
        <v>0.63</v>
      </c>
      <c r="DS193" s="228">
        <v>-0.1</v>
      </c>
      <c r="DT193" s="229">
        <v>-0.15870000000000001</v>
      </c>
      <c r="DU193" s="228">
        <v>800</v>
      </c>
      <c r="DV193" s="228">
        <v>700</v>
      </c>
      <c r="DW193" s="228">
        <v>0.46</v>
      </c>
      <c r="DX193" s="228">
        <v>0.56999999999999995</v>
      </c>
      <c r="DY193" s="228">
        <v>-0.11</v>
      </c>
      <c r="DZ193" s="229">
        <v>-0.193</v>
      </c>
      <c r="EA193" s="229">
        <v>8.7800000000000003E-2</v>
      </c>
      <c r="EB193" s="230">
        <v>5278400</v>
      </c>
      <c r="EC193" s="229">
        <v>-2.0000000000000001E-4</v>
      </c>
      <c r="ED193" s="229">
        <v>8.7800000000000003E-2</v>
      </c>
      <c r="EE193" s="228">
        <v>-0.16</v>
      </c>
      <c r="EF193" s="229">
        <v>-2.0000000000000001E-4</v>
      </c>
      <c r="EG193" s="230">
        <v>4627804</v>
      </c>
      <c r="EH193" s="230">
        <v>10035671</v>
      </c>
      <c r="EI193" s="229">
        <v>-0.53890000000000005</v>
      </c>
      <c r="EJ193" s="229">
        <v>0.42530000000000001</v>
      </c>
      <c r="EK193" s="231">
        <v>11443.11</v>
      </c>
      <c r="EL193" s="231">
        <v>4851.29</v>
      </c>
      <c r="EM193" s="231">
        <v>1110.5</v>
      </c>
      <c r="EN193" s="228">
        <v>533.16999999999996</v>
      </c>
      <c r="EO193" s="231">
        <v>17404.900000000001</v>
      </c>
      <c r="EP193" s="231">
        <v>28800.959999999999</v>
      </c>
      <c r="EQ193" s="231">
        <v>-11396.05</v>
      </c>
      <c r="ER193" s="229">
        <v>-0.3957</v>
      </c>
      <c r="ES193" s="231">
        <v>6525.31</v>
      </c>
      <c r="ET193" s="231">
        <v>3161.17</v>
      </c>
      <c r="EU193" s="231">
        <v>4273.71</v>
      </c>
      <c r="EV193" s="231">
        <v>284575867</v>
      </c>
      <c r="EW193" s="231">
        <v>13960.19</v>
      </c>
      <c r="EX193" s="231">
        <v>13115.52</v>
      </c>
      <c r="EY193" s="228">
        <v>844.67</v>
      </c>
      <c r="EZ193" s="229">
        <v>6.4399999999999999E-2</v>
      </c>
      <c r="FA193" s="229">
        <v>0.67620000000000002</v>
      </c>
      <c r="FB193" s="227" t="s">
        <v>568</v>
      </c>
      <c r="FC193">
        <f t="shared" si="3"/>
        <v>0</v>
      </c>
    </row>
    <row r="194" spans="1:159" ht="17.25" thickBot="1" x14ac:dyDescent="0.3">
      <c r="A194" s="226">
        <v>45936</v>
      </c>
      <c r="B194" s="227" t="s">
        <v>161</v>
      </c>
      <c r="C194" s="227" t="s">
        <v>293</v>
      </c>
      <c r="D194" s="228">
        <v>1450</v>
      </c>
      <c r="E194" s="228">
        <v>22</v>
      </c>
      <c r="F194" s="228">
        <v>396.9</v>
      </c>
      <c r="G194" s="228">
        <v>396.6</v>
      </c>
      <c r="H194" s="228">
        <v>0.3</v>
      </c>
      <c r="I194" s="229">
        <v>8.0000000000000004E-4</v>
      </c>
      <c r="J194" s="228">
        <v>395.55</v>
      </c>
      <c r="K194" s="228">
        <v>394.9</v>
      </c>
      <c r="L194" s="228">
        <v>0.65</v>
      </c>
      <c r="M194" s="229">
        <v>1.6000000000000001E-3</v>
      </c>
      <c r="N194" s="228">
        <v>396.9</v>
      </c>
      <c r="O194" s="228">
        <v>396.6</v>
      </c>
      <c r="P194" s="228">
        <v>0.3</v>
      </c>
      <c r="Q194" s="229">
        <v>8.0000000000000004E-4</v>
      </c>
      <c r="R194" s="228">
        <v>398.95</v>
      </c>
      <c r="S194" s="228">
        <v>398.75</v>
      </c>
      <c r="T194" s="228">
        <v>0.2</v>
      </c>
      <c r="U194" s="229">
        <v>5.0000000000000001E-4</v>
      </c>
      <c r="V194" s="228">
        <v>401</v>
      </c>
      <c r="W194" s="228">
        <v>400.6</v>
      </c>
      <c r="X194" s="228">
        <v>0.4</v>
      </c>
      <c r="Y194" s="229">
        <v>1E-3</v>
      </c>
      <c r="Z194" s="228">
        <v>1.35</v>
      </c>
      <c r="AA194" s="228">
        <v>1.7</v>
      </c>
      <c r="AB194" s="228">
        <v>-0.35</v>
      </c>
      <c r="AC194" s="229">
        <v>3.3999999999999998E-3</v>
      </c>
      <c r="AD194" s="228">
        <v>1.35</v>
      </c>
      <c r="AE194" s="228">
        <v>1.7</v>
      </c>
      <c r="AF194" s="228">
        <v>-0.35</v>
      </c>
      <c r="AG194" s="229">
        <v>3.3999999999999998E-3</v>
      </c>
      <c r="AH194" s="228">
        <v>3.4</v>
      </c>
      <c r="AI194" s="228">
        <v>3.85</v>
      </c>
      <c r="AJ194" s="228">
        <v>-0.45</v>
      </c>
      <c r="AK194" s="229">
        <v>8.6E-3</v>
      </c>
      <c r="AL194" s="228">
        <v>5.45</v>
      </c>
      <c r="AM194" s="228">
        <v>5.7</v>
      </c>
      <c r="AN194" s="228">
        <v>-0.25</v>
      </c>
      <c r="AO194" s="229">
        <v>1.38E-2</v>
      </c>
      <c r="AP194" s="228">
        <v>394.56</v>
      </c>
      <c r="AQ194" s="228">
        <v>396.37</v>
      </c>
      <c r="AR194" s="228">
        <v>0</v>
      </c>
      <c r="AS194" s="228">
        <v>187</v>
      </c>
      <c r="AT194" s="228">
        <v>201</v>
      </c>
      <c r="AU194" s="228">
        <v>-14</v>
      </c>
      <c r="AV194" s="229">
        <v>-7.17E-2</v>
      </c>
      <c r="AW194" s="228">
        <v>172</v>
      </c>
      <c r="AX194" s="228">
        <v>189</v>
      </c>
      <c r="AY194" s="228">
        <v>-17</v>
      </c>
      <c r="AZ194" s="229">
        <v>-8.9599999999999999E-2</v>
      </c>
      <c r="BA194" s="228">
        <v>14</v>
      </c>
      <c r="BB194" s="228">
        <v>11</v>
      </c>
      <c r="BC194" s="228">
        <v>3</v>
      </c>
      <c r="BD194" s="229">
        <v>0.2296</v>
      </c>
      <c r="BE194" s="228">
        <v>1</v>
      </c>
      <c r="BF194" s="228">
        <v>1</v>
      </c>
      <c r="BG194" s="228">
        <v>0</v>
      </c>
      <c r="BH194" s="229">
        <v>-0.1</v>
      </c>
      <c r="BI194" s="228">
        <v>736</v>
      </c>
      <c r="BJ194" s="228">
        <v>860</v>
      </c>
      <c r="BK194" s="228">
        <v>-125</v>
      </c>
      <c r="BL194" s="229">
        <v>-0.1449</v>
      </c>
      <c r="BM194" s="228">
        <v>354</v>
      </c>
      <c r="BN194" s="228">
        <v>406</v>
      </c>
      <c r="BO194" s="228">
        <v>-52</v>
      </c>
      <c r="BP194" s="229">
        <v>-0.1273</v>
      </c>
      <c r="BQ194" s="230">
        <v>1277</v>
      </c>
      <c r="BR194" s="230">
        <v>1468</v>
      </c>
      <c r="BS194" s="228">
        <v>-191</v>
      </c>
      <c r="BT194" s="229">
        <v>-0.13</v>
      </c>
      <c r="BU194" s="230">
        <v>5054161</v>
      </c>
      <c r="BV194" s="230">
        <v>4375675</v>
      </c>
      <c r="BW194" s="230">
        <v>678486</v>
      </c>
      <c r="BX194" s="229">
        <v>0.15509999999999999</v>
      </c>
      <c r="BY194" s="230">
        <v>2354</v>
      </c>
      <c r="BZ194" s="230">
        <v>2346</v>
      </c>
      <c r="CA194" s="228">
        <v>8</v>
      </c>
      <c r="CB194" s="229">
        <v>3.5000000000000001E-3</v>
      </c>
      <c r="CC194" s="230">
        <v>2307</v>
      </c>
      <c r="CD194" s="230">
        <v>2301</v>
      </c>
      <c r="CE194" s="228">
        <v>6</v>
      </c>
      <c r="CF194" s="229">
        <v>2.5999999999999999E-3</v>
      </c>
      <c r="CG194" s="228">
        <v>45</v>
      </c>
      <c r="CH194" s="228">
        <v>44</v>
      </c>
      <c r="CI194" s="228">
        <v>2</v>
      </c>
      <c r="CJ194" s="229">
        <v>3.8100000000000002E-2</v>
      </c>
      <c r="CK194" s="228">
        <v>1</v>
      </c>
      <c r="CL194" s="228">
        <v>1</v>
      </c>
      <c r="CM194" s="228">
        <v>1</v>
      </c>
      <c r="CN194" s="229">
        <v>0.6</v>
      </c>
      <c r="CO194" s="228">
        <v>841</v>
      </c>
      <c r="CP194" s="228">
        <v>803</v>
      </c>
      <c r="CQ194" s="228">
        <v>38</v>
      </c>
      <c r="CR194" s="229">
        <v>4.7E-2</v>
      </c>
      <c r="CS194" s="228">
        <v>764</v>
      </c>
      <c r="CT194" s="228">
        <v>759</v>
      </c>
      <c r="CU194" s="228">
        <v>6</v>
      </c>
      <c r="CV194" s="229">
        <v>7.4999999999999997E-3</v>
      </c>
      <c r="CW194" s="230">
        <v>3959</v>
      </c>
      <c r="CX194" s="230">
        <v>3908</v>
      </c>
      <c r="CY194" s="228">
        <v>52</v>
      </c>
      <c r="CZ194" s="229">
        <v>1.32E-2</v>
      </c>
      <c r="DA194" s="228">
        <v>20.71</v>
      </c>
      <c r="DB194" s="228">
        <v>20.29</v>
      </c>
      <c r="DC194" s="228">
        <v>0.42</v>
      </c>
      <c r="DD194" s="228">
        <v>0.42</v>
      </c>
      <c r="DE194" s="228">
        <v>33.68</v>
      </c>
      <c r="DF194" s="228">
        <v>33.76</v>
      </c>
      <c r="DG194" s="228">
        <v>-12.97</v>
      </c>
      <c r="DH194" s="228">
        <v>-0.08</v>
      </c>
      <c r="DI194" s="228">
        <v>20.49</v>
      </c>
      <c r="DJ194" s="228">
        <v>20.03</v>
      </c>
      <c r="DK194" s="228">
        <v>0.46</v>
      </c>
      <c r="DL194" s="228">
        <v>0.46</v>
      </c>
      <c r="DM194" s="228">
        <v>21.16</v>
      </c>
      <c r="DN194" s="228">
        <v>20.85</v>
      </c>
      <c r="DO194" s="228">
        <v>0.31</v>
      </c>
      <c r="DP194" s="228">
        <v>0.31</v>
      </c>
      <c r="DQ194" s="228">
        <v>0.91</v>
      </c>
      <c r="DR194" s="228">
        <v>0.94</v>
      </c>
      <c r="DS194" s="228">
        <v>-0.03</v>
      </c>
      <c r="DT194" s="229">
        <v>-3.1899999999999998E-2</v>
      </c>
      <c r="DU194" s="228">
        <v>400</v>
      </c>
      <c r="DV194" s="228">
        <v>390</v>
      </c>
      <c r="DW194" s="228">
        <v>0.48</v>
      </c>
      <c r="DX194" s="228">
        <v>0.47</v>
      </c>
      <c r="DY194" s="228">
        <v>0.01</v>
      </c>
      <c r="DZ194" s="229">
        <v>2.1299999999999999E-2</v>
      </c>
      <c r="EA194" s="229">
        <v>1.9900000000000001E-2</v>
      </c>
      <c r="EB194" s="230">
        <v>1125200</v>
      </c>
      <c r="EC194" s="229">
        <v>5.1999999999999998E-3</v>
      </c>
      <c r="ED194" s="229">
        <v>1.9900000000000001E-2</v>
      </c>
      <c r="EE194" s="228">
        <v>1.81</v>
      </c>
      <c r="EF194" s="229">
        <v>4.5999999999999999E-3</v>
      </c>
      <c r="EG194" s="230">
        <v>2535544</v>
      </c>
      <c r="EH194" s="230">
        <v>1768926</v>
      </c>
      <c r="EI194" s="229">
        <v>0.43340000000000001</v>
      </c>
      <c r="EJ194" s="229">
        <v>0.50170000000000003</v>
      </c>
      <c r="EK194" s="228">
        <v>757.37</v>
      </c>
      <c r="EL194" s="228">
        <v>349.07</v>
      </c>
      <c r="EM194" s="228">
        <v>185.9</v>
      </c>
      <c r="EN194" s="228">
        <v>122.25</v>
      </c>
      <c r="EO194" s="231">
        <v>1292.33</v>
      </c>
      <c r="EP194" s="231">
        <v>1484.26</v>
      </c>
      <c r="EQ194" s="228">
        <v>-191.94</v>
      </c>
      <c r="ER194" s="229">
        <v>-0.1293</v>
      </c>
      <c r="ES194" s="228">
        <v>863.5</v>
      </c>
      <c r="ET194" s="228">
        <v>763.88</v>
      </c>
      <c r="EU194" s="231">
        <v>2353.9499999999998</v>
      </c>
      <c r="EV194" s="231">
        <v>169808198</v>
      </c>
      <c r="EW194" s="231">
        <v>3981.33</v>
      </c>
      <c r="EX194" s="231">
        <v>3927.75</v>
      </c>
      <c r="EY194" s="228">
        <v>53.58</v>
      </c>
      <c r="EZ194" s="229">
        <v>1.3599999999999999E-2</v>
      </c>
      <c r="FA194" s="229">
        <v>0.58740000000000003</v>
      </c>
      <c r="FB194" s="227" t="s">
        <v>555</v>
      </c>
      <c r="FC194">
        <f t="shared" si="3"/>
        <v>0</v>
      </c>
    </row>
    <row r="195" spans="1:159" ht="17.25" thickBot="1" x14ac:dyDescent="0.3">
      <c r="A195" s="226">
        <v>45936</v>
      </c>
      <c r="B195" s="227" t="s">
        <v>227</v>
      </c>
      <c r="C195" s="227" t="s">
        <v>294</v>
      </c>
      <c r="D195" s="228">
        <v>5500</v>
      </c>
      <c r="E195" s="228">
        <v>22</v>
      </c>
      <c r="F195" s="228">
        <v>171.07</v>
      </c>
      <c r="G195" s="228">
        <v>174.33</v>
      </c>
      <c r="H195" s="228">
        <v>-3.26</v>
      </c>
      <c r="I195" s="229">
        <v>-1.8700000000000001E-2</v>
      </c>
      <c r="J195" s="228">
        <v>170.06</v>
      </c>
      <c r="K195" s="228">
        <v>173.21</v>
      </c>
      <c r="L195" s="228">
        <v>-3.15</v>
      </c>
      <c r="M195" s="229">
        <v>-1.8200000000000001E-2</v>
      </c>
      <c r="N195" s="228">
        <v>171.07</v>
      </c>
      <c r="O195" s="228">
        <v>174.33</v>
      </c>
      <c r="P195" s="228">
        <v>-3.26</v>
      </c>
      <c r="Q195" s="229">
        <v>-1.8700000000000001E-2</v>
      </c>
      <c r="R195" s="228">
        <v>172.02</v>
      </c>
      <c r="S195" s="228">
        <v>175.23</v>
      </c>
      <c r="T195" s="228">
        <v>-3.21</v>
      </c>
      <c r="U195" s="229">
        <v>-1.83E-2</v>
      </c>
      <c r="V195" s="228">
        <v>172.93</v>
      </c>
      <c r="W195" s="228">
        <v>176.11</v>
      </c>
      <c r="X195" s="228">
        <v>-3.18</v>
      </c>
      <c r="Y195" s="229">
        <v>-1.8100000000000002E-2</v>
      </c>
      <c r="Z195" s="228">
        <v>1.01</v>
      </c>
      <c r="AA195" s="228">
        <v>1.1200000000000001</v>
      </c>
      <c r="AB195" s="228">
        <v>-0.11</v>
      </c>
      <c r="AC195" s="229">
        <v>5.8999999999999999E-3</v>
      </c>
      <c r="AD195" s="228">
        <v>1.01</v>
      </c>
      <c r="AE195" s="228">
        <v>1.1200000000000001</v>
      </c>
      <c r="AF195" s="228">
        <v>-0.11</v>
      </c>
      <c r="AG195" s="229">
        <v>5.8999999999999999E-3</v>
      </c>
      <c r="AH195" s="228">
        <v>1.96</v>
      </c>
      <c r="AI195" s="228">
        <v>2.02</v>
      </c>
      <c r="AJ195" s="228">
        <v>-0.06</v>
      </c>
      <c r="AK195" s="229">
        <v>1.15E-2</v>
      </c>
      <c r="AL195" s="228">
        <v>2.87</v>
      </c>
      <c r="AM195" s="228">
        <v>2.9</v>
      </c>
      <c r="AN195" s="228">
        <v>-0.03</v>
      </c>
      <c r="AO195" s="229">
        <v>1.6899999999999998E-2</v>
      </c>
      <c r="AP195" s="228">
        <v>171.64</v>
      </c>
      <c r="AQ195" s="228">
        <v>172.54</v>
      </c>
      <c r="AR195" s="228">
        <v>0</v>
      </c>
      <c r="AS195" s="228">
        <v>783</v>
      </c>
      <c r="AT195" s="230">
        <v>1371</v>
      </c>
      <c r="AU195" s="228">
        <v>-588</v>
      </c>
      <c r="AV195" s="229">
        <v>-0.42899999999999999</v>
      </c>
      <c r="AW195" s="228">
        <v>719</v>
      </c>
      <c r="AX195" s="230">
        <v>1291</v>
      </c>
      <c r="AY195" s="228">
        <v>-573</v>
      </c>
      <c r="AZ195" s="229">
        <v>-0.44350000000000001</v>
      </c>
      <c r="BA195" s="228">
        <v>55</v>
      </c>
      <c r="BB195" s="228">
        <v>69</v>
      </c>
      <c r="BC195" s="228">
        <v>-13</v>
      </c>
      <c r="BD195" s="229">
        <v>-0.1943</v>
      </c>
      <c r="BE195" s="228">
        <v>9</v>
      </c>
      <c r="BF195" s="228">
        <v>11</v>
      </c>
      <c r="BG195" s="228">
        <v>-2</v>
      </c>
      <c r="BH195" s="229">
        <v>-0.2034</v>
      </c>
      <c r="BI195" s="230">
        <v>3175</v>
      </c>
      <c r="BJ195" s="230">
        <v>6157</v>
      </c>
      <c r="BK195" s="230">
        <v>-2982</v>
      </c>
      <c r="BL195" s="229">
        <v>-0.48430000000000001</v>
      </c>
      <c r="BM195" s="230">
        <v>1780</v>
      </c>
      <c r="BN195" s="230">
        <v>2965</v>
      </c>
      <c r="BO195" s="230">
        <v>-1184</v>
      </c>
      <c r="BP195" s="229">
        <v>-0.39950000000000002</v>
      </c>
      <c r="BQ195" s="230">
        <v>5738</v>
      </c>
      <c r="BR195" s="230">
        <v>10493</v>
      </c>
      <c r="BS195" s="230">
        <v>-4755</v>
      </c>
      <c r="BT195" s="229">
        <v>-0.4531</v>
      </c>
      <c r="BU195" s="230">
        <v>23294745</v>
      </c>
      <c r="BV195" s="230">
        <v>58109817</v>
      </c>
      <c r="BW195" s="230">
        <v>-34815072</v>
      </c>
      <c r="BX195" s="229">
        <v>-0.59909999999999997</v>
      </c>
      <c r="BY195" s="230">
        <v>3163</v>
      </c>
      <c r="BZ195" s="230">
        <v>3177</v>
      </c>
      <c r="CA195" s="228">
        <v>-14</v>
      </c>
      <c r="CB195" s="229">
        <v>-4.4000000000000003E-3</v>
      </c>
      <c r="CC195" s="230">
        <v>3080</v>
      </c>
      <c r="CD195" s="230">
        <v>3106</v>
      </c>
      <c r="CE195" s="228">
        <v>-26</v>
      </c>
      <c r="CF195" s="229">
        <v>-8.3000000000000001E-3</v>
      </c>
      <c r="CG195" s="228">
        <v>75</v>
      </c>
      <c r="CH195" s="228">
        <v>65</v>
      </c>
      <c r="CI195" s="228">
        <v>10</v>
      </c>
      <c r="CJ195" s="229">
        <v>0.14940000000000001</v>
      </c>
      <c r="CK195" s="228">
        <v>7</v>
      </c>
      <c r="CL195" s="228">
        <v>5</v>
      </c>
      <c r="CM195" s="228">
        <v>2</v>
      </c>
      <c r="CN195" s="229">
        <v>0.42309999999999998</v>
      </c>
      <c r="CO195" s="230">
        <v>1749</v>
      </c>
      <c r="CP195" s="230">
        <v>1443</v>
      </c>
      <c r="CQ195" s="228">
        <v>306</v>
      </c>
      <c r="CR195" s="229">
        <v>0.21240000000000001</v>
      </c>
      <c r="CS195" s="230">
        <v>1102</v>
      </c>
      <c r="CT195" s="230">
        <v>1071</v>
      </c>
      <c r="CU195" s="228">
        <v>30</v>
      </c>
      <c r="CV195" s="229">
        <v>2.8299999999999999E-2</v>
      </c>
      <c r="CW195" s="230">
        <v>6013</v>
      </c>
      <c r="CX195" s="230">
        <v>5691</v>
      </c>
      <c r="CY195" s="228">
        <v>323</v>
      </c>
      <c r="CZ195" s="229">
        <v>5.67E-2</v>
      </c>
      <c r="DA195" s="228">
        <v>24.94</v>
      </c>
      <c r="DB195" s="228">
        <v>24.23</v>
      </c>
      <c r="DC195" s="228">
        <v>0.71</v>
      </c>
      <c r="DD195" s="228">
        <v>0.71</v>
      </c>
      <c r="DE195" s="228">
        <v>34.64</v>
      </c>
      <c r="DF195" s="228">
        <v>34.630000000000003</v>
      </c>
      <c r="DG195" s="228">
        <v>-9.6999999999999993</v>
      </c>
      <c r="DH195" s="228">
        <v>0.01</v>
      </c>
      <c r="DI195" s="228">
        <v>25.22</v>
      </c>
      <c r="DJ195" s="228">
        <v>23.9</v>
      </c>
      <c r="DK195" s="228">
        <v>1.32</v>
      </c>
      <c r="DL195" s="228">
        <v>1.32</v>
      </c>
      <c r="DM195" s="228">
        <v>24.44</v>
      </c>
      <c r="DN195" s="228">
        <v>24.92</v>
      </c>
      <c r="DO195" s="228">
        <v>-0.48</v>
      </c>
      <c r="DP195" s="228">
        <v>-0.48</v>
      </c>
      <c r="DQ195" s="228">
        <v>0.63</v>
      </c>
      <c r="DR195" s="228">
        <v>0.74</v>
      </c>
      <c r="DS195" s="228">
        <v>-0.11</v>
      </c>
      <c r="DT195" s="229">
        <v>-0.14860000000000001</v>
      </c>
      <c r="DU195" s="228">
        <v>180</v>
      </c>
      <c r="DV195" s="228">
        <v>165</v>
      </c>
      <c r="DW195" s="228">
        <v>0.56000000000000005</v>
      </c>
      <c r="DX195" s="228">
        <v>0.48</v>
      </c>
      <c r="DY195" s="228">
        <v>0.08</v>
      </c>
      <c r="DZ195" s="229">
        <v>0.16669999999999999</v>
      </c>
      <c r="EA195" s="229">
        <v>2.5999999999999999E-2</v>
      </c>
      <c r="EB195" s="230">
        <v>4114000</v>
      </c>
      <c r="EC195" s="229">
        <v>5.5999999999999999E-3</v>
      </c>
      <c r="ED195" s="229">
        <v>2.5999999999999999E-2</v>
      </c>
      <c r="EE195" s="228">
        <v>0.9</v>
      </c>
      <c r="EF195" s="229">
        <v>5.1999999999999998E-3</v>
      </c>
      <c r="EG195" s="230">
        <v>10436461</v>
      </c>
      <c r="EH195" s="230">
        <v>24470738</v>
      </c>
      <c r="EI195" s="229">
        <v>-0.57350000000000001</v>
      </c>
      <c r="EJ195" s="229">
        <v>0.44800000000000001</v>
      </c>
      <c r="EK195" s="231">
        <v>3359.91</v>
      </c>
      <c r="EL195" s="231">
        <v>1760.8</v>
      </c>
      <c r="EM195" s="228">
        <v>785.92</v>
      </c>
      <c r="EN195" s="228">
        <v>151.62</v>
      </c>
      <c r="EO195" s="231">
        <v>5906.63</v>
      </c>
      <c r="EP195" s="231">
        <v>10886.04</v>
      </c>
      <c r="EQ195" s="231">
        <v>-4979.41</v>
      </c>
      <c r="ER195" s="229">
        <v>-0.45739999999999997</v>
      </c>
      <c r="ES195" s="231">
        <v>1823.68</v>
      </c>
      <c r="ET195" s="231">
        <v>1056.6600000000001</v>
      </c>
      <c r="EU195" s="231">
        <v>3163.18</v>
      </c>
      <c r="EV195" s="231">
        <v>833987639</v>
      </c>
      <c r="EW195" s="231">
        <v>6043.53</v>
      </c>
      <c r="EX195" s="231">
        <v>5775.97</v>
      </c>
      <c r="EY195" s="228">
        <v>267.56</v>
      </c>
      <c r="EZ195" s="229">
        <v>4.6300000000000001E-2</v>
      </c>
      <c r="FA195" s="229">
        <v>0.42149999999999999</v>
      </c>
      <c r="FB195" s="227" t="s">
        <v>568</v>
      </c>
      <c r="FC195">
        <f t="shared" ref="FC195:FC258" si="4">BY262-CC262</f>
        <v>0</v>
      </c>
    </row>
    <row r="196" spans="1:159" ht="17.25" thickBot="1" x14ac:dyDescent="0.3">
      <c r="A196" s="226">
        <v>45936</v>
      </c>
      <c r="B196" s="227" t="s">
        <v>221</v>
      </c>
      <c r="C196" s="227" t="s">
        <v>665</v>
      </c>
      <c r="D196" s="228">
        <v>800</v>
      </c>
      <c r="E196" s="228">
        <v>22</v>
      </c>
      <c r="F196" s="228">
        <v>714.75</v>
      </c>
      <c r="G196" s="228">
        <v>708.1</v>
      </c>
      <c r="H196" s="228">
        <v>6.65</v>
      </c>
      <c r="I196" s="229">
        <v>9.4000000000000004E-3</v>
      </c>
      <c r="J196" s="228">
        <v>710.85</v>
      </c>
      <c r="K196" s="228">
        <v>707.05</v>
      </c>
      <c r="L196" s="228">
        <v>3.8</v>
      </c>
      <c r="M196" s="229">
        <v>5.4000000000000003E-3</v>
      </c>
      <c r="N196" s="228">
        <v>714.75</v>
      </c>
      <c r="O196" s="228">
        <v>708.1</v>
      </c>
      <c r="P196" s="228">
        <v>6.65</v>
      </c>
      <c r="Q196" s="229">
        <v>9.4000000000000004E-3</v>
      </c>
      <c r="R196" s="228">
        <v>715.95</v>
      </c>
      <c r="S196" s="228">
        <v>709.2</v>
      </c>
      <c r="T196" s="228">
        <v>6.75</v>
      </c>
      <c r="U196" s="229">
        <v>9.4999999999999998E-3</v>
      </c>
      <c r="V196" s="228">
        <v>718</v>
      </c>
      <c r="W196" s="228">
        <v>709</v>
      </c>
      <c r="X196" s="228">
        <v>9</v>
      </c>
      <c r="Y196" s="229">
        <v>1.2699999999999999E-2</v>
      </c>
      <c r="Z196" s="228">
        <v>3.9</v>
      </c>
      <c r="AA196" s="228">
        <v>1.05</v>
      </c>
      <c r="AB196" s="228">
        <v>2.85</v>
      </c>
      <c r="AC196" s="229">
        <v>5.4999999999999997E-3</v>
      </c>
      <c r="AD196" s="228">
        <v>3.9</v>
      </c>
      <c r="AE196" s="228">
        <v>1.05</v>
      </c>
      <c r="AF196" s="228">
        <v>2.85</v>
      </c>
      <c r="AG196" s="229">
        <v>5.4999999999999997E-3</v>
      </c>
      <c r="AH196" s="228">
        <v>5.0999999999999996</v>
      </c>
      <c r="AI196" s="228">
        <v>2.15</v>
      </c>
      <c r="AJ196" s="228">
        <v>2.95</v>
      </c>
      <c r="AK196" s="229">
        <v>7.1999999999999998E-3</v>
      </c>
      <c r="AL196" s="228">
        <v>7.15</v>
      </c>
      <c r="AM196" s="228">
        <v>1.95</v>
      </c>
      <c r="AN196" s="228">
        <v>5.2</v>
      </c>
      <c r="AO196" s="229">
        <v>1.01E-2</v>
      </c>
      <c r="AP196" s="228">
        <v>713.05</v>
      </c>
      <c r="AQ196" s="228">
        <v>714.1</v>
      </c>
      <c r="AR196" s="228">
        <v>0</v>
      </c>
      <c r="AS196" s="228">
        <v>141</v>
      </c>
      <c r="AT196" s="228">
        <v>220</v>
      </c>
      <c r="AU196" s="228">
        <v>-79</v>
      </c>
      <c r="AV196" s="229">
        <v>-0.36070000000000002</v>
      </c>
      <c r="AW196" s="228">
        <v>130</v>
      </c>
      <c r="AX196" s="228">
        <v>199</v>
      </c>
      <c r="AY196" s="228">
        <v>-69</v>
      </c>
      <c r="AZ196" s="229">
        <v>-0.34560000000000002</v>
      </c>
      <c r="BA196" s="228">
        <v>9</v>
      </c>
      <c r="BB196" s="228">
        <v>19</v>
      </c>
      <c r="BC196" s="228">
        <v>-9</v>
      </c>
      <c r="BD196" s="229">
        <v>-0.50149999999999995</v>
      </c>
      <c r="BE196" s="228">
        <v>1</v>
      </c>
      <c r="BF196" s="228">
        <v>2</v>
      </c>
      <c r="BG196" s="228">
        <v>-1</v>
      </c>
      <c r="BH196" s="229">
        <v>-0.54290000000000005</v>
      </c>
      <c r="BI196" s="228">
        <v>355</v>
      </c>
      <c r="BJ196" s="228">
        <v>740</v>
      </c>
      <c r="BK196" s="228">
        <v>-385</v>
      </c>
      <c r="BL196" s="229">
        <v>-0.52049999999999996</v>
      </c>
      <c r="BM196" s="228">
        <v>126</v>
      </c>
      <c r="BN196" s="228">
        <v>202</v>
      </c>
      <c r="BO196" s="228">
        <v>-76</v>
      </c>
      <c r="BP196" s="229">
        <v>-0.37540000000000001</v>
      </c>
      <c r="BQ196" s="228">
        <v>622</v>
      </c>
      <c r="BR196" s="230">
        <v>1163</v>
      </c>
      <c r="BS196" s="228">
        <v>-541</v>
      </c>
      <c r="BT196" s="229">
        <v>-0.46500000000000002</v>
      </c>
      <c r="BU196" s="230">
        <v>1117800</v>
      </c>
      <c r="BV196" s="230">
        <v>1373640</v>
      </c>
      <c r="BW196" s="230">
        <v>-255840</v>
      </c>
      <c r="BX196" s="229">
        <v>-0.1862</v>
      </c>
      <c r="BY196" s="228">
        <v>674</v>
      </c>
      <c r="BZ196" s="228">
        <v>686</v>
      </c>
      <c r="CA196" s="228">
        <v>-12</v>
      </c>
      <c r="CB196" s="229">
        <v>-1.77E-2</v>
      </c>
      <c r="CC196" s="228">
        <v>625</v>
      </c>
      <c r="CD196" s="228">
        <v>638</v>
      </c>
      <c r="CE196" s="228">
        <v>-13</v>
      </c>
      <c r="CF196" s="229">
        <v>-2.01E-2</v>
      </c>
      <c r="CG196" s="228">
        <v>47</v>
      </c>
      <c r="CH196" s="228">
        <v>46</v>
      </c>
      <c r="CI196" s="228">
        <v>0</v>
      </c>
      <c r="CJ196" s="229">
        <v>2.5000000000000001E-3</v>
      </c>
      <c r="CK196" s="228">
        <v>3</v>
      </c>
      <c r="CL196" s="228">
        <v>2</v>
      </c>
      <c r="CM196" s="228">
        <v>1</v>
      </c>
      <c r="CN196" s="229">
        <v>0.23080000000000001</v>
      </c>
      <c r="CO196" s="228">
        <v>261</v>
      </c>
      <c r="CP196" s="228">
        <v>280</v>
      </c>
      <c r="CQ196" s="228">
        <v>-20</v>
      </c>
      <c r="CR196" s="229">
        <v>-7.0000000000000007E-2</v>
      </c>
      <c r="CS196" s="228">
        <v>182</v>
      </c>
      <c r="CT196" s="228">
        <v>182</v>
      </c>
      <c r="CU196" s="228">
        <v>0</v>
      </c>
      <c r="CV196" s="229">
        <v>-5.9999999999999995E-4</v>
      </c>
      <c r="CW196" s="230">
        <v>1117</v>
      </c>
      <c r="CX196" s="230">
        <v>1149</v>
      </c>
      <c r="CY196" s="228">
        <v>-32</v>
      </c>
      <c r="CZ196" s="229">
        <v>-2.7799999999999998E-2</v>
      </c>
      <c r="DA196" s="228">
        <v>25.93</v>
      </c>
      <c r="DB196" s="228">
        <v>26.22</v>
      </c>
      <c r="DC196" s="228">
        <v>-0.28999999999999998</v>
      </c>
      <c r="DD196" s="228">
        <v>-0.28999999999999998</v>
      </c>
      <c r="DE196" s="228">
        <v>31.81</v>
      </c>
      <c r="DF196" s="228">
        <v>31.86</v>
      </c>
      <c r="DG196" s="228">
        <v>-5.88</v>
      </c>
      <c r="DH196" s="228">
        <v>-0.05</v>
      </c>
      <c r="DI196" s="228">
        <v>25.84</v>
      </c>
      <c r="DJ196" s="228">
        <v>26.27</v>
      </c>
      <c r="DK196" s="228">
        <v>-0.43</v>
      </c>
      <c r="DL196" s="228">
        <v>-0.43</v>
      </c>
      <c r="DM196" s="228">
        <v>26.17</v>
      </c>
      <c r="DN196" s="228">
        <v>26.07</v>
      </c>
      <c r="DO196" s="228">
        <v>0.1</v>
      </c>
      <c r="DP196" s="228">
        <v>0.1</v>
      </c>
      <c r="DQ196" s="228">
        <v>0.7</v>
      </c>
      <c r="DR196" s="228">
        <v>0.65</v>
      </c>
      <c r="DS196" s="228">
        <v>0.05</v>
      </c>
      <c r="DT196" s="229">
        <v>7.6899999999999996E-2</v>
      </c>
      <c r="DU196" s="228">
        <v>750</v>
      </c>
      <c r="DV196" s="228">
        <v>700</v>
      </c>
      <c r="DW196" s="228">
        <v>0.36</v>
      </c>
      <c r="DX196" s="228">
        <v>0.27</v>
      </c>
      <c r="DY196" s="228">
        <v>0.09</v>
      </c>
      <c r="DZ196" s="229">
        <v>0.33329999999999999</v>
      </c>
      <c r="EA196" s="229">
        <v>7.3099999999999998E-2</v>
      </c>
      <c r="EB196" s="230">
        <v>680800</v>
      </c>
      <c r="EC196" s="229">
        <v>1.6999999999999999E-3</v>
      </c>
      <c r="ED196" s="229">
        <v>7.3099999999999998E-2</v>
      </c>
      <c r="EE196" s="228">
        <v>1.05</v>
      </c>
      <c r="EF196" s="229">
        <v>1.5E-3</v>
      </c>
      <c r="EG196" s="230">
        <v>516424</v>
      </c>
      <c r="EH196" s="230">
        <v>594637</v>
      </c>
      <c r="EI196" s="229">
        <v>-0.13150000000000001</v>
      </c>
      <c r="EJ196" s="229">
        <v>0.46200000000000002</v>
      </c>
      <c r="EK196" s="228">
        <v>370.02</v>
      </c>
      <c r="EL196" s="228">
        <v>122.68</v>
      </c>
      <c r="EM196" s="228">
        <v>140.46</v>
      </c>
      <c r="EN196" s="228">
        <v>62.64</v>
      </c>
      <c r="EO196" s="228">
        <v>633.16</v>
      </c>
      <c r="EP196" s="231">
        <v>1174.1300000000001</v>
      </c>
      <c r="EQ196" s="228">
        <v>-540.97</v>
      </c>
      <c r="ER196" s="229">
        <v>-0.4607</v>
      </c>
      <c r="ES196" s="228">
        <v>267.29000000000002</v>
      </c>
      <c r="ET196" s="228">
        <v>172.61</v>
      </c>
      <c r="EU196" s="228">
        <v>674.36</v>
      </c>
      <c r="EV196" s="231">
        <v>27246569</v>
      </c>
      <c r="EW196" s="231">
        <v>1114.25</v>
      </c>
      <c r="EX196" s="231">
        <v>1139.23</v>
      </c>
      <c r="EY196" s="228">
        <v>-24.98</v>
      </c>
      <c r="EZ196" s="229">
        <v>-2.1899999999999999E-2</v>
      </c>
      <c r="FA196" s="229">
        <v>0.57369999999999999</v>
      </c>
      <c r="FB196" s="227" t="s">
        <v>556</v>
      </c>
      <c r="FC196">
        <f t="shared" si="4"/>
        <v>0</v>
      </c>
    </row>
    <row r="197" spans="1:159" ht="17.25" thickBot="1" x14ac:dyDescent="0.3">
      <c r="A197" s="226">
        <v>45936</v>
      </c>
      <c r="B197" s="227" t="s">
        <v>221</v>
      </c>
      <c r="C197" s="227" t="s">
        <v>295</v>
      </c>
      <c r="D197" s="228">
        <v>175</v>
      </c>
      <c r="E197" s="228">
        <v>22</v>
      </c>
      <c r="F197" s="231">
        <v>2993</v>
      </c>
      <c r="G197" s="231">
        <v>2909.7</v>
      </c>
      <c r="H197" s="228">
        <v>83.3</v>
      </c>
      <c r="I197" s="229">
        <v>2.86E-2</v>
      </c>
      <c r="J197" s="231">
        <v>2988.4</v>
      </c>
      <c r="K197" s="231">
        <v>2901.9</v>
      </c>
      <c r="L197" s="228">
        <v>86.5</v>
      </c>
      <c r="M197" s="229">
        <v>2.98E-2</v>
      </c>
      <c r="N197" s="231">
        <v>2993</v>
      </c>
      <c r="O197" s="231">
        <v>2909.7</v>
      </c>
      <c r="P197" s="228">
        <v>83.3</v>
      </c>
      <c r="Q197" s="229">
        <v>2.86E-2</v>
      </c>
      <c r="R197" s="231">
        <v>3009</v>
      </c>
      <c r="S197" s="231">
        <v>2925.4</v>
      </c>
      <c r="T197" s="228">
        <v>83.6</v>
      </c>
      <c r="U197" s="229">
        <v>2.86E-2</v>
      </c>
      <c r="V197" s="231">
        <v>3025.4</v>
      </c>
      <c r="W197" s="231">
        <v>2943.4</v>
      </c>
      <c r="X197" s="228">
        <v>82</v>
      </c>
      <c r="Y197" s="229">
        <v>2.7900000000000001E-2</v>
      </c>
      <c r="Z197" s="228">
        <v>4.5999999999999996</v>
      </c>
      <c r="AA197" s="228">
        <v>7.8</v>
      </c>
      <c r="AB197" s="228">
        <v>-3.2</v>
      </c>
      <c r="AC197" s="229">
        <v>1.5E-3</v>
      </c>
      <c r="AD197" s="228">
        <v>4.5999999999999996</v>
      </c>
      <c r="AE197" s="228">
        <v>7.8</v>
      </c>
      <c r="AF197" s="228">
        <v>-3.2</v>
      </c>
      <c r="AG197" s="229">
        <v>1.5E-3</v>
      </c>
      <c r="AH197" s="228">
        <v>20.6</v>
      </c>
      <c r="AI197" s="228">
        <v>23.5</v>
      </c>
      <c r="AJ197" s="228">
        <v>-2.9</v>
      </c>
      <c r="AK197" s="229">
        <v>6.8999999999999999E-3</v>
      </c>
      <c r="AL197" s="228">
        <v>37</v>
      </c>
      <c r="AM197" s="228">
        <v>41.5</v>
      </c>
      <c r="AN197" s="228">
        <v>-4.5</v>
      </c>
      <c r="AO197" s="229">
        <v>1.24E-2</v>
      </c>
      <c r="AP197" s="231">
        <v>2961.02</v>
      </c>
      <c r="AQ197" s="231">
        <v>2978.71</v>
      </c>
      <c r="AR197" s="228">
        <v>0</v>
      </c>
      <c r="AS197" s="230">
        <v>1815</v>
      </c>
      <c r="AT197" s="228">
        <v>816</v>
      </c>
      <c r="AU197" s="228">
        <v>999</v>
      </c>
      <c r="AV197" s="229">
        <v>1.2254</v>
      </c>
      <c r="AW197" s="230">
        <v>1702</v>
      </c>
      <c r="AX197" s="228">
        <v>753</v>
      </c>
      <c r="AY197" s="228">
        <v>948</v>
      </c>
      <c r="AZ197" s="229">
        <v>1.2591000000000001</v>
      </c>
      <c r="BA197" s="228">
        <v>93</v>
      </c>
      <c r="BB197" s="228">
        <v>51</v>
      </c>
      <c r="BC197" s="228">
        <v>42</v>
      </c>
      <c r="BD197" s="229">
        <v>0.82040000000000002</v>
      </c>
      <c r="BE197" s="228">
        <v>20</v>
      </c>
      <c r="BF197" s="228">
        <v>11</v>
      </c>
      <c r="BG197" s="228">
        <v>9</v>
      </c>
      <c r="BH197" s="229">
        <v>0.80479999999999996</v>
      </c>
      <c r="BI197" s="230">
        <v>8586</v>
      </c>
      <c r="BJ197" s="230">
        <v>2793</v>
      </c>
      <c r="BK197" s="230">
        <v>5793</v>
      </c>
      <c r="BL197" s="229">
        <v>2.0739000000000001</v>
      </c>
      <c r="BM197" s="230">
        <v>3821</v>
      </c>
      <c r="BN197" s="230">
        <v>1594</v>
      </c>
      <c r="BO197" s="230">
        <v>2226</v>
      </c>
      <c r="BP197" s="229">
        <v>1.3964000000000001</v>
      </c>
      <c r="BQ197" s="230">
        <v>14222</v>
      </c>
      <c r="BR197" s="230">
        <v>5203</v>
      </c>
      <c r="BS197" s="230">
        <v>9019</v>
      </c>
      <c r="BT197" s="229">
        <v>1.7333000000000001</v>
      </c>
      <c r="BU197" s="230">
        <v>2303601</v>
      </c>
      <c r="BV197" s="230">
        <v>2980244</v>
      </c>
      <c r="BW197" s="230">
        <v>-676643</v>
      </c>
      <c r="BX197" s="229">
        <v>-0.22700000000000001</v>
      </c>
      <c r="BY197" s="230">
        <v>9578</v>
      </c>
      <c r="BZ197" s="230">
        <v>9384</v>
      </c>
      <c r="CA197" s="228">
        <v>194</v>
      </c>
      <c r="CB197" s="229">
        <v>2.07E-2</v>
      </c>
      <c r="CC197" s="230">
        <v>9143</v>
      </c>
      <c r="CD197" s="230">
        <v>8939</v>
      </c>
      <c r="CE197" s="228">
        <v>204</v>
      </c>
      <c r="CF197" s="229">
        <v>2.2800000000000001E-2</v>
      </c>
      <c r="CG197" s="228">
        <v>415</v>
      </c>
      <c r="CH197" s="228">
        <v>428</v>
      </c>
      <c r="CI197" s="228">
        <v>-13</v>
      </c>
      <c r="CJ197" s="229">
        <v>-3.0099999999999998E-2</v>
      </c>
      <c r="CK197" s="228">
        <v>20</v>
      </c>
      <c r="CL197" s="228">
        <v>17</v>
      </c>
      <c r="CM197" s="228">
        <v>3</v>
      </c>
      <c r="CN197" s="229">
        <v>0.16980000000000001</v>
      </c>
      <c r="CO197" s="230">
        <v>4287</v>
      </c>
      <c r="CP197" s="230">
        <v>4058</v>
      </c>
      <c r="CQ197" s="228">
        <v>229</v>
      </c>
      <c r="CR197" s="229">
        <v>5.6399999999999999E-2</v>
      </c>
      <c r="CS197" s="230">
        <v>3243</v>
      </c>
      <c r="CT197" s="230">
        <v>3123</v>
      </c>
      <c r="CU197" s="228">
        <v>120</v>
      </c>
      <c r="CV197" s="229">
        <v>3.8300000000000001E-2</v>
      </c>
      <c r="CW197" s="230">
        <v>17108</v>
      </c>
      <c r="CX197" s="230">
        <v>16565</v>
      </c>
      <c r="CY197" s="228">
        <v>543</v>
      </c>
      <c r="CZ197" s="229">
        <v>3.2800000000000003E-2</v>
      </c>
      <c r="DA197" s="228">
        <v>24.34</v>
      </c>
      <c r="DB197" s="228">
        <v>23.84</v>
      </c>
      <c r="DC197" s="228">
        <v>0.5</v>
      </c>
      <c r="DD197" s="228">
        <v>0.5</v>
      </c>
      <c r="DE197" s="228">
        <v>24.68</v>
      </c>
      <c r="DF197" s="228">
        <v>24.42</v>
      </c>
      <c r="DG197" s="228">
        <v>-0.34</v>
      </c>
      <c r="DH197" s="228">
        <v>0.26</v>
      </c>
      <c r="DI197" s="228">
        <v>24.07</v>
      </c>
      <c r="DJ197" s="228">
        <v>23.83</v>
      </c>
      <c r="DK197" s="228">
        <v>0.24</v>
      </c>
      <c r="DL197" s="228">
        <v>0.24</v>
      </c>
      <c r="DM197" s="228">
        <v>24.95</v>
      </c>
      <c r="DN197" s="228">
        <v>23.86</v>
      </c>
      <c r="DO197" s="228">
        <v>1.0900000000000001</v>
      </c>
      <c r="DP197" s="228">
        <v>1.0900000000000001</v>
      </c>
      <c r="DQ197" s="228">
        <v>0.76</v>
      </c>
      <c r="DR197" s="228">
        <v>0.77</v>
      </c>
      <c r="DS197" s="228">
        <v>-0.01</v>
      </c>
      <c r="DT197" s="229">
        <v>-1.2999999999999999E-2</v>
      </c>
      <c r="DU197" s="231">
        <v>3000</v>
      </c>
      <c r="DV197" s="231">
        <v>2900</v>
      </c>
      <c r="DW197" s="228">
        <v>0.44</v>
      </c>
      <c r="DX197" s="228">
        <v>0.56999999999999995</v>
      </c>
      <c r="DY197" s="228">
        <v>-0.13</v>
      </c>
      <c r="DZ197" s="229">
        <v>-0.2281</v>
      </c>
      <c r="EA197" s="229">
        <v>4.5400000000000003E-2</v>
      </c>
      <c r="EB197" s="230">
        <v>1486625</v>
      </c>
      <c r="EC197" s="229">
        <v>5.3E-3</v>
      </c>
      <c r="ED197" s="229">
        <v>4.5400000000000003E-2</v>
      </c>
      <c r="EE197" s="228">
        <v>17.690000000000001</v>
      </c>
      <c r="EF197" s="229">
        <v>6.0000000000000001E-3</v>
      </c>
      <c r="EG197" s="230">
        <v>966973</v>
      </c>
      <c r="EH197" s="230">
        <v>2149136</v>
      </c>
      <c r="EI197" s="229">
        <v>-0.55010000000000003</v>
      </c>
      <c r="EJ197" s="229">
        <v>0.41980000000000001</v>
      </c>
      <c r="EK197" s="231">
        <v>8874.25</v>
      </c>
      <c r="EL197" s="231">
        <v>3721.16</v>
      </c>
      <c r="EM197" s="231">
        <v>1796.32</v>
      </c>
      <c r="EN197" s="228">
        <v>441.04</v>
      </c>
      <c r="EO197" s="231">
        <v>14391.74</v>
      </c>
      <c r="EP197" s="231">
        <v>5182.18</v>
      </c>
      <c r="EQ197" s="231">
        <v>9209.56</v>
      </c>
      <c r="ER197" s="229">
        <v>1.7771999999999999</v>
      </c>
      <c r="ES197" s="231">
        <v>4436.21</v>
      </c>
      <c r="ET197" s="231">
        <v>3191.01</v>
      </c>
      <c r="EU197" s="231">
        <v>9580.7099999999991</v>
      </c>
      <c r="EV197" s="231">
        <v>123298271</v>
      </c>
      <c r="EW197" s="231">
        <v>17207.93</v>
      </c>
      <c r="EX197" s="231">
        <v>16376</v>
      </c>
      <c r="EY197" s="228">
        <v>831.93</v>
      </c>
      <c r="EZ197" s="229">
        <v>5.0799999999999998E-2</v>
      </c>
      <c r="FA197" s="229">
        <v>0.46360000000000001</v>
      </c>
      <c r="FB197" s="227" t="s">
        <v>555</v>
      </c>
      <c r="FC197">
        <f t="shared" si="4"/>
        <v>0</v>
      </c>
    </row>
    <row r="198" spans="1:159" ht="17.25" thickBot="1" x14ac:dyDescent="0.3">
      <c r="A198" s="226">
        <v>45936</v>
      </c>
      <c r="B198" s="227" t="s">
        <v>221</v>
      </c>
      <c r="C198" s="227" t="s">
        <v>296</v>
      </c>
      <c r="D198" s="228">
        <v>600</v>
      </c>
      <c r="E198" s="228">
        <v>22</v>
      </c>
      <c r="F198" s="231">
        <v>1438.8</v>
      </c>
      <c r="G198" s="231">
        <v>1399.7</v>
      </c>
      <c r="H198" s="228">
        <v>39.1</v>
      </c>
      <c r="I198" s="229">
        <v>2.7900000000000001E-2</v>
      </c>
      <c r="J198" s="231">
        <v>1439.3</v>
      </c>
      <c r="K198" s="231">
        <v>1400.6</v>
      </c>
      <c r="L198" s="228">
        <v>38.700000000000003</v>
      </c>
      <c r="M198" s="229">
        <v>2.76E-2</v>
      </c>
      <c r="N198" s="231">
        <v>1438.8</v>
      </c>
      <c r="O198" s="231">
        <v>1399.7</v>
      </c>
      <c r="P198" s="228">
        <v>39.1</v>
      </c>
      <c r="Q198" s="229">
        <v>2.7900000000000001E-2</v>
      </c>
      <c r="R198" s="231">
        <v>1438.5</v>
      </c>
      <c r="S198" s="231">
        <v>1401.9</v>
      </c>
      <c r="T198" s="228">
        <v>36.6</v>
      </c>
      <c r="U198" s="229">
        <v>2.6100000000000002E-2</v>
      </c>
      <c r="V198" s="231">
        <v>1443.9</v>
      </c>
      <c r="W198" s="231">
        <v>1408.8</v>
      </c>
      <c r="X198" s="228">
        <v>35.1</v>
      </c>
      <c r="Y198" s="229">
        <v>2.4899999999999999E-2</v>
      </c>
      <c r="Z198" s="228">
        <v>-0.5</v>
      </c>
      <c r="AA198" s="228">
        <v>-0.9</v>
      </c>
      <c r="AB198" s="228">
        <v>0.4</v>
      </c>
      <c r="AC198" s="229">
        <v>-2.9999999999999997E-4</v>
      </c>
      <c r="AD198" s="228">
        <v>-0.5</v>
      </c>
      <c r="AE198" s="228">
        <v>-0.9</v>
      </c>
      <c r="AF198" s="228">
        <v>0.4</v>
      </c>
      <c r="AG198" s="229">
        <v>-2.9999999999999997E-4</v>
      </c>
      <c r="AH198" s="228">
        <v>-0.8</v>
      </c>
      <c r="AI198" s="228">
        <v>1.3</v>
      </c>
      <c r="AJ198" s="228">
        <v>-2.1</v>
      </c>
      <c r="AK198" s="229">
        <v>-5.9999999999999995E-4</v>
      </c>
      <c r="AL198" s="228">
        <v>4.5999999999999996</v>
      </c>
      <c r="AM198" s="228">
        <v>8.1999999999999993</v>
      </c>
      <c r="AN198" s="228">
        <v>-3.6</v>
      </c>
      <c r="AO198" s="229">
        <v>3.2000000000000002E-3</v>
      </c>
      <c r="AP198" s="231">
        <v>1417.41</v>
      </c>
      <c r="AQ198" s="231">
        <v>1419.98</v>
      </c>
      <c r="AR198" s="228">
        <v>0</v>
      </c>
      <c r="AS198" s="228">
        <v>582</v>
      </c>
      <c r="AT198" s="228">
        <v>435</v>
      </c>
      <c r="AU198" s="228">
        <v>147</v>
      </c>
      <c r="AV198" s="229">
        <v>0.33779999999999999</v>
      </c>
      <c r="AW198" s="228">
        <v>541</v>
      </c>
      <c r="AX198" s="228">
        <v>419</v>
      </c>
      <c r="AY198" s="228">
        <v>122</v>
      </c>
      <c r="AZ198" s="229">
        <v>0.29010000000000002</v>
      </c>
      <c r="BA198" s="228">
        <v>40</v>
      </c>
      <c r="BB198" s="228">
        <v>15</v>
      </c>
      <c r="BC198" s="228">
        <v>25</v>
      </c>
      <c r="BD198" s="229">
        <v>1.7035</v>
      </c>
      <c r="BE198" s="228">
        <v>2</v>
      </c>
      <c r="BF198" s="228">
        <v>1</v>
      </c>
      <c r="BG198" s="228">
        <v>0</v>
      </c>
      <c r="BH198" s="229">
        <v>0.125</v>
      </c>
      <c r="BI198" s="230">
        <v>1501</v>
      </c>
      <c r="BJ198" s="228">
        <v>683</v>
      </c>
      <c r="BK198" s="228">
        <v>819</v>
      </c>
      <c r="BL198" s="229">
        <v>1.1987000000000001</v>
      </c>
      <c r="BM198" s="228">
        <v>711</v>
      </c>
      <c r="BN198" s="228">
        <v>406</v>
      </c>
      <c r="BO198" s="228">
        <v>305</v>
      </c>
      <c r="BP198" s="229">
        <v>0.75209999999999999</v>
      </c>
      <c r="BQ198" s="230">
        <v>2795</v>
      </c>
      <c r="BR198" s="230">
        <v>1524</v>
      </c>
      <c r="BS198" s="230">
        <v>1271</v>
      </c>
      <c r="BT198" s="229">
        <v>0.83389999999999997</v>
      </c>
      <c r="BU198" s="230">
        <v>3097922</v>
      </c>
      <c r="BV198" s="230">
        <v>2592503</v>
      </c>
      <c r="BW198" s="230">
        <v>505419</v>
      </c>
      <c r="BX198" s="229">
        <v>0.19500000000000001</v>
      </c>
      <c r="BY198" s="230">
        <v>2329</v>
      </c>
      <c r="BZ198" s="230">
        <v>2277</v>
      </c>
      <c r="CA198" s="228">
        <v>52</v>
      </c>
      <c r="CB198" s="229">
        <v>2.3E-2</v>
      </c>
      <c r="CC198" s="230">
        <v>2120</v>
      </c>
      <c r="CD198" s="230">
        <v>2081</v>
      </c>
      <c r="CE198" s="228">
        <v>39</v>
      </c>
      <c r="CF198" s="229">
        <v>1.9E-2</v>
      </c>
      <c r="CG198" s="228">
        <v>207</v>
      </c>
      <c r="CH198" s="228">
        <v>194</v>
      </c>
      <c r="CI198" s="228">
        <v>13</v>
      </c>
      <c r="CJ198" s="229">
        <v>6.6199999999999995E-2</v>
      </c>
      <c r="CK198" s="228">
        <v>1</v>
      </c>
      <c r="CL198" s="228">
        <v>1</v>
      </c>
      <c r="CM198" s="228">
        <v>0</v>
      </c>
      <c r="CN198" s="229">
        <v>0</v>
      </c>
      <c r="CO198" s="228">
        <v>605</v>
      </c>
      <c r="CP198" s="228">
        <v>576</v>
      </c>
      <c r="CQ198" s="228">
        <v>28</v>
      </c>
      <c r="CR198" s="229">
        <v>4.9099999999999998E-2</v>
      </c>
      <c r="CS198" s="228">
        <v>614</v>
      </c>
      <c r="CT198" s="228">
        <v>563</v>
      </c>
      <c r="CU198" s="228">
        <v>51</v>
      </c>
      <c r="CV198" s="229">
        <v>9.1399999999999995E-2</v>
      </c>
      <c r="CW198" s="230">
        <v>3548</v>
      </c>
      <c r="CX198" s="230">
        <v>3416</v>
      </c>
      <c r="CY198" s="228">
        <v>132</v>
      </c>
      <c r="CZ198" s="229">
        <v>3.8699999999999998E-2</v>
      </c>
      <c r="DA198" s="228">
        <v>29.14</v>
      </c>
      <c r="DB198" s="228">
        <v>28.43</v>
      </c>
      <c r="DC198" s="228">
        <v>0.71</v>
      </c>
      <c r="DD198" s="228">
        <v>0.71</v>
      </c>
      <c r="DE198" s="228">
        <v>30.43</v>
      </c>
      <c r="DF198" s="228">
        <v>30.28</v>
      </c>
      <c r="DG198" s="228">
        <v>-1.29</v>
      </c>
      <c r="DH198" s="228">
        <v>0.15</v>
      </c>
      <c r="DI198" s="228">
        <v>28.75</v>
      </c>
      <c r="DJ198" s="228">
        <v>28.39</v>
      </c>
      <c r="DK198" s="228">
        <v>0.36</v>
      </c>
      <c r="DL198" s="228">
        <v>0.36</v>
      </c>
      <c r="DM198" s="228">
        <v>29.95</v>
      </c>
      <c r="DN198" s="228">
        <v>28.51</v>
      </c>
      <c r="DO198" s="228">
        <v>1.44</v>
      </c>
      <c r="DP198" s="228">
        <v>1.44</v>
      </c>
      <c r="DQ198" s="228">
        <v>1.02</v>
      </c>
      <c r="DR198" s="228">
        <v>0.98</v>
      </c>
      <c r="DS198" s="228">
        <v>0.04</v>
      </c>
      <c r="DT198" s="229">
        <v>4.0800000000000003E-2</v>
      </c>
      <c r="DU198" s="231">
        <v>1500</v>
      </c>
      <c r="DV198" s="231">
        <v>1400</v>
      </c>
      <c r="DW198" s="228">
        <v>0.47</v>
      </c>
      <c r="DX198" s="228">
        <v>0.59</v>
      </c>
      <c r="DY198" s="228">
        <v>-0.12</v>
      </c>
      <c r="DZ198" s="229">
        <v>-0.2034</v>
      </c>
      <c r="EA198" s="229">
        <v>8.9499999999999996E-2</v>
      </c>
      <c r="EB198" s="230">
        <v>1359600</v>
      </c>
      <c r="EC198" s="229">
        <v>-2.0000000000000001E-4</v>
      </c>
      <c r="ED198" s="229">
        <v>8.9499999999999996E-2</v>
      </c>
      <c r="EE198" s="228">
        <v>2.57</v>
      </c>
      <c r="EF198" s="229">
        <v>1.8E-3</v>
      </c>
      <c r="EG198" s="230">
        <v>2029596</v>
      </c>
      <c r="EH198" s="230">
        <v>1954077</v>
      </c>
      <c r="EI198" s="229">
        <v>3.8600000000000002E-2</v>
      </c>
      <c r="EJ198" s="229">
        <v>0.65510000000000002</v>
      </c>
      <c r="EK198" s="231">
        <v>1556.56</v>
      </c>
      <c r="EL198" s="228">
        <v>691.03</v>
      </c>
      <c r="EM198" s="228">
        <v>573.71</v>
      </c>
      <c r="EN198" s="228">
        <v>123.54</v>
      </c>
      <c r="EO198" s="231">
        <v>2821.3</v>
      </c>
      <c r="EP198" s="231">
        <v>1515.92</v>
      </c>
      <c r="EQ198" s="231">
        <v>1305.3800000000001</v>
      </c>
      <c r="ER198" s="229">
        <v>0.86109999999999998</v>
      </c>
      <c r="ES198" s="228">
        <v>636.78</v>
      </c>
      <c r="ET198" s="228">
        <v>591.80999999999995</v>
      </c>
      <c r="EU198" s="231">
        <v>2328.92</v>
      </c>
      <c r="EV198" s="231">
        <v>76137451</v>
      </c>
      <c r="EW198" s="231">
        <v>3557.5</v>
      </c>
      <c r="EX198" s="231">
        <v>3361.12</v>
      </c>
      <c r="EY198" s="228">
        <v>196.38</v>
      </c>
      <c r="EZ198" s="229">
        <v>5.8400000000000001E-2</v>
      </c>
      <c r="FA198" s="229">
        <v>0.32390000000000002</v>
      </c>
      <c r="FB198" s="227" t="s">
        <v>555</v>
      </c>
      <c r="FC198">
        <f t="shared" si="4"/>
        <v>0</v>
      </c>
    </row>
    <row r="199" spans="1:159" ht="17.25" thickBot="1" x14ac:dyDescent="0.3">
      <c r="A199" s="226">
        <v>45936</v>
      </c>
      <c r="B199" s="227" t="s">
        <v>184</v>
      </c>
      <c r="C199" s="227" t="s">
        <v>596</v>
      </c>
      <c r="D199" s="228">
        <v>200</v>
      </c>
      <c r="E199" s="228">
        <v>22</v>
      </c>
      <c r="F199" s="231">
        <v>3169.1</v>
      </c>
      <c r="G199" s="231">
        <v>3147.4</v>
      </c>
      <c r="H199" s="228">
        <v>21.7</v>
      </c>
      <c r="I199" s="229">
        <v>6.8999999999999999E-3</v>
      </c>
      <c r="J199" s="231">
        <v>3150.2</v>
      </c>
      <c r="K199" s="231">
        <v>3136.1</v>
      </c>
      <c r="L199" s="228">
        <v>14.1</v>
      </c>
      <c r="M199" s="229">
        <v>4.4999999999999997E-3</v>
      </c>
      <c r="N199" s="231">
        <v>3169.1</v>
      </c>
      <c r="O199" s="231">
        <v>3147.4</v>
      </c>
      <c r="P199" s="228">
        <v>21.7</v>
      </c>
      <c r="Q199" s="229">
        <v>6.8999999999999999E-3</v>
      </c>
      <c r="R199" s="231">
        <v>3189.7</v>
      </c>
      <c r="S199" s="231">
        <v>3165.2</v>
      </c>
      <c r="T199" s="228">
        <v>24.5</v>
      </c>
      <c r="U199" s="229">
        <v>7.7000000000000002E-3</v>
      </c>
      <c r="V199" s="231">
        <v>3197</v>
      </c>
      <c r="W199" s="231">
        <v>3144.6</v>
      </c>
      <c r="X199" s="228">
        <v>52.4</v>
      </c>
      <c r="Y199" s="229">
        <v>1.67E-2</v>
      </c>
      <c r="Z199" s="228">
        <v>18.899999999999999</v>
      </c>
      <c r="AA199" s="228">
        <v>11.3</v>
      </c>
      <c r="AB199" s="228">
        <v>7.6</v>
      </c>
      <c r="AC199" s="229">
        <v>6.0000000000000001E-3</v>
      </c>
      <c r="AD199" s="228">
        <v>18.899999999999999</v>
      </c>
      <c r="AE199" s="228">
        <v>11.3</v>
      </c>
      <c r="AF199" s="228">
        <v>7.6</v>
      </c>
      <c r="AG199" s="229">
        <v>6.0000000000000001E-3</v>
      </c>
      <c r="AH199" s="228">
        <v>39.5</v>
      </c>
      <c r="AI199" s="228">
        <v>29.1</v>
      </c>
      <c r="AJ199" s="228">
        <v>10.4</v>
      </c>
      <c r="AK199" s="229">
        <v>1.2500000000000001E-2</v>
      </c>
      <c r="AL199" s="228">
        <v>46.8</v>
      </c>
      <c r="AM199" s="228">
        <v>8.5</v>
      </c>
      <c r="AN199" s="228">
        <v>38.299999999999997</v>
      </c>
      <c r="AO199" s="229">
        <v>1.49E-2</v>
      </c>
      <c r="AP199" s="231">
        <v>3159.95</v>
      </c>
      <c r="AQ199" s="231">
        <v>3172.64</v>
      </c>
      <c r="AR199" s="228">
        <v>0</v>
      </c>
      <c r="AS199" s="228">
        <v>70</v>
      </c>
      <c r="AT199" s="228">
        <v>86</v>
      </c>
      <c r="AU199" s="228">
        <v>-16</v>
      </c>
      <c r="AV199" s="229">
        <v>-0.189</v>
      </c>
      <c r="AW199" s="228">
        <v>66</v>
      </c>
      <c r="AX199" s="228">
        <v>83</v>
      </c>
      <c r="AY199" s="228">
        <v>-17</v>
      </c>
      <c r="AZ199" s="229">
        <v>-0.20200000000000001</v>
      </c>
      <c r="BA199" s="228">
        <v>3</v>
      </c>
      <c r="BB199" s="228">
        <v>3</v>
      </c>
      <c r="BC199" s="228">
        <v>1</v>
      </c>
      <c r="BD199" s="229">
        <v>0.19570000000000001</v>
      </c>
      <c r="BE199" s="228">
        <v>0</v>
      </c>
      <c r="BF199" s="228">
        <v>0</v>
      </c>
      <c r="BG199" s="228">
        <v>0</v>
      </c>
      <c r="BH199" s="229">
        <v>-0.5</v>
      </c>
      <c r="BI199" s="228">
        <v>133</v>
      </c>
      <c r="BJ199" s="228">
        <v>100</v>
      </c>
      <c r="BK199" s="228">
        <v>33</v>
      </c>
      <c r="BL199" s="229">
        <v>0.3276</v>
      </c>
      <c r="BM199" s="228">
        <v>35</v>
      </c>
      <c r="BN199" s="228">
        <v>17</v>
      </c>
      <c r="BO199" s="228">
        <v>18</v>
      </c>
      <c r="BP199" s="229">
        <v>1.0335000000000001</v>
      </c>
      <c r="BQ199" s="228">
        <v>238</v>
      </c>
      <c r="BR199" s="228">
        <v>203</v>
      </c>
      <c r="BS199" s="228">
        <v>34</v>
      </c>
      <c r="BT199" s="229">
        <v>0.16789999999999999</v>
      </c>
      <c r="BU199" s="230">
        <v>152011</v>
      </c>
      <c r="BV199" s="230">
        <v>250670</v>
      </c>
      <c r="BW199" s="230">
        <v>-98659</v>
      </c>
      <c r="BX199" s="229">
        <v>-0.39360000000000001</v>
      </c>
      <c r="BY199" s="228">
        <v>641</v>
      </c>
      <c r="BZ199" s="228">
        <v>640</v>
      </c>
      <c r="CA199" s="228">
        <v>1</v>
      </c>
      <c r="CB199" s="229">
        <v>1.6999999999999999E-3</v>
      </c>
      <c r="CC199" s="228">
        <v>636</v>
      </c>
      <c r="CD199" s="228">
        <v>636</v>
      </c>
      <c r="CE199" s="228">
        <v>1</v>
      </c>
      <c r="CF199" s="229">
        <v>1.1000000000000001E-3</v>
      </c>
      <c r="CG199" s="228">
        <v>4</v>
      </c>
      <c r="CH199" s="228">
        <v>4</v>
      </c>
      <c r="CI199" s="228">
        <v>0</v>
      </c>
      <c r="CJ199" s="229">
        <v>0.1129</v>
      </c>
      <c r="CK199" s="228">
        <v>0</v>
      </c>
      <c r="CL199" s="228">
        <v>0</v>
      </c>
      <c r="CM199" s="228">
        <v>0</v>
      </c>
      <c r="CN199" s="229">
        <v>-0.25</v>
      </c>
      <c r="CO199" s="228">
        <v>97</v>
      </c>
      <c r="CP199" s="228">
        <v>79</v>
      </c>
      <c r="CQ199" s="228">
        <v>18</v>
      </c>
      <c r="CR199" s="229">
        <v>0.2276</v>
      </c>
      <c r="CS199" s="228">
        <v>49</v>
      </c>
      <c r="CT199" s="228">
        <v>39</v>
      </c>
      <c r="CU199" s="228">
        <v>10</v>
      </c>
      <c r="CV199" s="229">
        <v>0.25900000000000001</v>
      </c>
      <c r="CW199" s="228">
        <v>787</v>
      </c>
      <c r="CX199" s="228">
        <v>758</v>
      </c>
      <c r="CY199" s="228">
        <v>29</v>
      </c>
      <c r="CZ199" s="229">
        <v>3.85E-2</v>
      </c>
      <c r="DA199" s="228">
        <v>30.68</v>
      </c>
      <c r="DB199" s="228">
        <v>29.93</v>
      </c>
      <c r="DC199" s="228">
        <v>0.75</v>
      </c>
      <c r="DD199" s="228">
        <v>0.75</v>
      </c>
      <c r="DE199" s="228">
        <v>43.26</v>
      </c>
      <c r="DF199" s="228">
        <v>43.36</v>
      </c>
      <c r="DG199" s="228">
        <v>-12.58</v>
      </c>
      <c r="DH199" s="228">
        <v>-0.1</v>
      </c>
      <c r="DI199" s="228">
        <v>30.57</v>
      </c>
      <c r="DJ199" s="228">
        <v>29.97</v>
      </c>
      <c r="DK199" s="228">
        <v>0.6</v>
      </c>
      <c r="DL199" s="228">
        <v>0.6</v>
      </c>
      <c r="DM199" s="228">
        <v>31.11</v>
      </c>
      <c r="DN199" s="228">
        <v>29.69</v>
      </c>
      <c r="DO199" s="228">
        <v>1.42</v>
      </c>
      <c r="DP199" s="228">
        <v>1.42</v>
      </c>
      <c r="DQ199" s="228">
        <v>0.5</v>
      </c>
      <c r="DR199" s="228">
        <v>0.49</v>
      </c>
      <c r="DS199" s="228">
        <v>0.01</v>
      </c>
      <c r="DT199" s="229">
        <v>2.0400000000000001E-2</v>
      </c>
      <c r="DU199" s="231">
        <v>3200</v>
      </c>
      <c r="DV199" s="231">
        <v>3100</v>
      </c>
      <c r="DW199" s="228">
        <v>0.26</v>
      </c>
      <c r="DX199" s="228">
        <v>0.17</v>
      </c>
      <c r="DY199" s="228">
        <v>0.09</v>
      </c>
      <c r="DZ199" s="229">
        <v>0.52939999999999998</v>
      </c>
      <c r="EA199" s="229">
        <v>7.1000000000000004E-3</v>
      </c>
      <c r="EB199" s="230">
        <v>13200</v>
      </c>
      <c r="EC199" s="229">
        <v>6.4999999999999997E-3</v>
      </c>
      <c r="ED199" s="229">
        <v>7.1000000000000004E-3</v>
      </c>
      <c r="EE199" s="228">
        <v>12.69</v>
      </c>
      <c r="EF199" s="229">
        <v>4.0000000000000001E-3</v>
      </c>
      <c r="EG199" s="230">
        <v>78591</v>
      </c>
      <c r="EH199" s="230">
        <v>149622</v>
      </c>
      <c r="EI199" s="229">
        <v>-0.47470000000000001</v>
      </c>
      <c r="EJ199" s="229">
        <v>0.51700000000000002</v>
      </c>
      <c r="EK199" s="228">
        <v>139.16</v>
      </c>
      <c r="EL199" s="228">
        <v>33.42</v>
      </c>
      <c r="EM199" s="228">
        <v>69.72</v>
      </c>
      <c r="EN199" s="228">
        <v>38.840000000000003</v>
      </c>
      <c r="EO199" s="228">
        <v>242.3</v>
      </c>
      <c r="EP199" s="228">
        <v>206.03</v>
      </c>
      <c r="EQ199" s="228">
        <v>36.270000000000003</v>
      </c>
      <c r="ER199" s="229">
        <v>0.17610000000000001</v>
      </c>
      <c r="ES199" s="228">
        <v>101.8</v>
      </c>
      <c r="ET199" s="228">
        <v>47.89</v>
      </c>
      <c r="EU199" s="228">
        <v>641.01</v>
      </c>
      <c r="EV199" s="231">
        <v>14039249</v>
      </c>
      <c r="EW199" s="228">
        <v>790.69</v>
      </c>
      <c r="EX199" s="228">
        <v>756.88</v>
      </c>
      <c r="EY199" s="228">
        <v>33.81</v>
      </c>
      <c r="EZ199" s="229">
        <v>4.4699999999999997E-2</v>
      </c>
      <c r="FA199" s="229">
        <v>0.1769</v>
      </c>
      <c r="FB199" s="227" t="s">
        <v>555</v>
      </c>
      <c r="FC199">
        <f t="shared" si="4"/>
        <v>0</v>
      </c>
    </row>
    <row r="200" spans="1:159" ht="17.25" thickBot="1" x14ac:dyDescent="0.3">
      <c r="A200" s="226">
        <v>45936</v>
      </c>
      <c r="B200" s="227" t="s">
        <v>184</v>
      </c>
      <c r="C200" s="227" t="s">
        <v>664</v>
      </c>
      <c r="D200" s="228">
        <v>725</v>
      </c>
      <c r="E200" s="228">
        <v>22</v>
      </c>
      <c r="F200" s="228">
        <v>901.35</v>
      </c>
      <c r="G200" s="228">
        <v>890</v>
      </c>
      <c r="H200" s="228">
        <v>11.35</v>
      </c>
      <c r="I200" s="229">
        <v>1.2800000000000001E-2</v>
      </c>
      <c r="J200" s="228">
        <v>898.85</v>
      </c>
      <c r="K200" s="228">
        <v>887.55</v>
      </c>
      <c r="L200" s="228">
        <v>11.3</v>
      </c>
      <c r="M200" s="229">
        <v>1.2699999999999999E-2</v>
      </c>
      <c r="N200" s="228">
        <v>901.35</v>
      </c>
      <c r="O200" s="228">
        <v>890</v>
      </c>
      <c r="P200" s="228">
        <v>11.35</v>
      </c>
      <c r="Q200" s="229">
        <v>1.2800000000000001E-2</v>
      </c>
      <c r="R200" s="228">
        <v>905.9</v>
      </c>
      <c r="S200" s="228">
        <v>893.95</v>
      </c>
      <c r="T200" s="228">
        <v>11.95</v>
      </c>
      <c r="U200" s="229">
        <v>1.34E-2</v>
      </c>
      <c r="V200" s="228">
        <v>0</v>
      </c>
      <c r="W200" s="228">
        <v>0</v>
      </c>
      <c r="X200" s="228">
        <v>0</v>
      </c>
      <c r="Y200" s="229">
        <v>0</v>
      </c>
      <c r="Z200" s="228">
        <v>2.5</v>
      </c>
      <c r="AA200" s="228">
        <v>2.4500000000000002</v>
      </c>
      <c r="AB200" s="228">
        <v>0.05</v>
      </c>
      <c r="AC200" s="229">
        <v>2.8E-3</v>
      </c>
      <c r="AD200" s="228">
        <v>2.5</v>
      </c>
      <c r="AE200" s="228">
        <v>2.4500000000000002</v>
      </c>
      <c r="AF200" s="228">
        <v>0.05</v>
      </c>
      <c r="AG200" s="229">
        <v>2.8E-3</v>
      </c>
      <c r="AH200" s="228">
        <v>7.05</v>
      </c>
      <c r="AI200" s="228">
        <v>6.4</v>
      </c>
      <c r="AJ200" s="228">
        <v>0.65</v>
      </c>
      <c r="AK200" s="229">
        <v>7.7999999999999996E-3</v>
      </c>
      <c r="AL200" s="228">
        <v>0</v>
      </c>
      <c r="AM200" s="228">
        <v>0</v>
      </c>
      <c r="AN200" s="228">
        <v>0</v>
      </c>
      <c r="AO200" s="229">
        <v>0</v>
      </c>
      <c r="AP200" s="228">
        <v>892.81</v>
      </c>
      <c r="AQ200" s="228">
        <v>894</v>
      </c>
      <c r="AR200" s="228">
        <v>0</v>
      </c>
      <c r="AS200" s="228">
        <v>98</v>
      </c>
      <c r="AT200" s="228">
        <v>79</v>
      </c>
      <c r="AU200" s="228">
        <v>19</v>
      </c>
      <c r="AV200" s="229">
        <v>0.2397</v>
      </c>
      <c r="AW200" s="228">
        <v>90</v>
      </c>
      <c r="AX200" s="228">
        <v>73</v>
      </c>
      <c r="AY200" s="228">
        <v>17</v>
      </c>
      <c r="AZ200" s="229">
        <v>0.23469999999999999</v>
      </c>
      <c r="BA200" s="228">
        <v>9</v>
      </c>
      <c r="BB200" s="228">
        <v>7</v>
      </c>
      <c r="BC200" s="228">
        <v>2</v>
      </c>
      <c r="BD200" s="229">
        <v>0.29409999999999997</v>
      </c>
      <c r="BE200" s="228">
        <v>0</v>
      </c>
      <c r="BF200" s="228">
        <v>0</v>
      </c>
      <c r="BG200" s="228">
        <v>0</v>
      </c>
      <c r="BH200" s="229">
        <v>0</v>
      </c>
      <c r="BI200" s="228">
        <v>244</v>
      </c>
      <c r="BJ200" s="228">
        <v>129</v>
      </c>
      <c r="BK200" s="228">
        <v>115</v>
      </c>
      <c r="BL200" s="229">
        <v>0.88839999999999997</v>
      </c>
      <c r="BM200" s="228">
        <v>40</v>
      </c>
      <c r="BN200" s="228">
        <v>43</v>
      </c>
      <c r="BO200" s="228">
        <v>-3</v>
      </c>
      <c r="BP200" s="229">
        <v>-6.0900000000000003E-2</v>
      </c>
      <c r="BQ200" s="228">
        <v>383</v>
      </c>
      <c r="BR200" s="228">
        <v>252</v>
      </c>
      <c r="BS200" s="228">
        <v>131</v>
      </c>
      <c r="BT200" s="229">
        <v>0.52190000000000003</v>
      </c>
      <c r="BU200" s="230">
        <v>727797</v>
      </c>
      <c r="BV200" s="230">
        <v>874143</v>
      </c>
      <c r="BW200" s="230">
        <v>-146346</v>
      </c>
      <c r="BX200" s="229">
        <v>-0.16739999999999999</v>
      </c>
      <c r="BY200" s="228">
        <v>564</v>
      </c>
      <c r="BZ200" s="228">
        <v>556</v>
      </c>
      <c r="CA200" s="228">
        <v>8</v>
      </c>
      <c r="CB200" s="229">
        <v>1.43E-2</v>
      </c>
      <c r="CC200" s="228">
        <v>545</v>
      </c>
      <c r="CD200" s="228">
        <v>539</v>
      </c>
      <c r="CE200" s="228">
        <v>6</v>
      </c>
      <c r="CF200" s="229">
        <v>1.1599999999999999E-2</v>
      </c>
      <c r="CG200" s="228">
        <v>19</v>
      </c>
      <c r="CH200" s="228">
        <v>17</v>
      </c>
      <c r="CI200" s="228">
        <v>2</v>
      </c>
      <c r="CJ200" s="229">
        <v>9.8900000000000002E-2</v>
      </c>
      <c r="CK200" s="228">
        <v>0</v>
      </c>
      <c r="CL200" s="228">
        <v>0</v>
      </c>
      <c r="CM200" s="228">
        <v>0</v>
      </c>
      <c r="CN200" s="229">
        <v>0</v>
      </c>
      <c r="CO200" s="228">
        <v>164</v>
      </c>
      <c r="CP200" s="228">
        <v>126</v>
      </c>
      <c r="CQ200" s="228">
        <v>38</v>
      </c>
      <c r="CR200" s="229">
        <v>0.30180000000000001</v>
      </c>
      <c r="CS200" s="228">
        <v>81</v>
      </c>
      <c r="CT200" s="228">
        <v>72</v>
      </c>
      <c r="CU200" s="228">
        <v>9</v>
      </c>
      <c r="CV200" s="229">
        <v>0.12330000000000001</v>
      </c>
      <c r="CW200" s="228">
        <v>809</v>
      </c>
      <c r="CX200" s="228">
        <v>754</v>
      </c>
      <c r="CY200" s="228">
        <v>55</v>
      </c>
      <c r="CZ200" s="229">
        <v>7.2900000000000006E-2</v>
      </c>
      <c r="DA200" s="228">
        <v>36.299999999999997</v>
      </c>
      <c r="DB200" s="228">
        <v>33.79</v>
      </c>
      <c r="DC200" s="228">
        <v>2.5099999999999998</v>
      </c>
      <c r="DD200" s="228">
        <v>2.5099999999999998</v>
      </c>
      <c r="DE200" s="228">
        <v>56.35</v>
      </c>
      <c r="DF200" s="228">
        <v>56.47</v>
      </c>
      <c r="DG200" s="228">
        <v>-20.05</v>
      </c>
      <c r="DH200" s="228">
        <v>-0.12</v>
      </c>
      <c r="DI200" s="228">
        <v>36.21</v>
      </c>
      <c r="DJ200" s="228">
        <v>33.729999999999997</v>
      </c>
      <c r="DK200" s="228">
        <v>2.48</v>
      </c>
      <c r="DL200" s="228">
        <v>2.48</v>
      </c>
      <c r="DM200" s="228">
        <v>36.83</v>
      </c>
      <c r="DN200" s="228">
        <v>33.979999999999997</v>
      </c>
      <c r="DO200" s="228">
        <v>2.85</v>
      </c>
      <c r="DP200" s="228">
        <v>2.85</v>
      </c>
      <c r="DQ200" s="228">
        <v>0.49</v>
      </c>
      <c r="DR200" s="228">
        <v>0.56999999999999995</v>
      </c>
      <c r="DS200" s="228">
        <v>-0.08</v>
      </c>
      <c r="DT200" s="229">
        <v>-0.1404</v>
      </c>
      <c r="DU200" s="228">
        <v>900</v>
      </c>
      <c r="DV200" s="228">
        <v>900</v>
      </c>
      <c r="DW200" s="228">
        <v>0.17</v>
      </c>
      <c r="DX200" s="228">
        <v>0.33</v>
      </c>
      <c r="DY200" s="228">
        <v>-0.16</v>
      </c>
      <c r="DZ200" s="229">
        <v>-0.48480000000000001</v>
      </c>
      <c r="EA200" s="229">
        <v>3.3500000000000002E-2</v>
      </c>
      <c r="EB200" s="230">
        <v>190675</v>
      </c>
      <c r="EC200" s="229">
        <v>5.0000000000000001E-3</v>
      </c>
      <c r="ED200" s="229">
        <v>3.3500000000000002E-2</v>
      </c>
      <c r="EE200" s="228">
        <v>1.19</v>
      </c>
      <c r="EF200" s="229">
        <v>1.2999999999999999E-3</v>
      </c>
      <c r="EG200" s="230">
        <v>223034</v>
      </c>
      <c r="EH200" s="230">
        <v>296793</v>
      </c>
      <c r="EI200" s="229">
        <v>-0.2485</v>
      </c>
      <c r="EJ200" s="229">
        <v>0.30649999999999999</v>
      </c>
      <c r="EK200" s="228">
        <v>257.20999999999998</v>
      </c>
      <c r="EL200" s="228">
        <v>39.200000000000003</v>
      </c>
      <c r="EM200" s="228">
        <v>97.43</v>
      </c>
      <c r="EN200" s="228">
        <v>34.380000000000003</v>
      </c>
      <c r="EO200" s="228">
        <v>393.84</v>
      </c>
      <c r="EP200" s="228">
        <v>255.22</v>
      </c>
      <c r="EQ200" s="228">
        <v>138.61000000000001</v>
      </c>
      <c r="ER200" s="229">
        <v>0.54310000000000003</v>
      </c>
      <c r="ES200" s="228">
        <v>172.31</v>
      </c>
      <c r="ET200" s="228">
        <v>77.7</v>
      </c>
      <c r="EU200" s="228">
        <v>563.91999999999996</v>
      </c>
      <c r="EV200" s="231">
        <v>12028036</v>
      </c>
      <c r="EW200" s="228">
        <v>813.92</v>
      </c>
      <c r="EX200" s="228">
        <v>751.02</v>
      </c>
      <c r="EY200" s="228">
        <v>62.9</v>
      </c>
      <c r="EZ200" s="229">
        <v>8.3799999999999999E-2</v>
      </c>
      <c r="FA200" s="229">
        <v>0.74629999999999996</v>
      </c>
      <c r="FB200" s="227" t="s">
        <v>555</v>
      </c>
      <c r="FC200">
        <f t="shared" si="4"/>
        <v>0</v>
      </c>
    </row>
    <row r="201" spans="1:159" ht="17.25" thickBot="1" x14ac:dyDescent="0.3">
      <c r="A201" s="226">
        <v>45936</v>
      </c>
      <c r="B201" s="227" t="s">
        <v>168</v>
      </c>
      <c r="C201" s="227" t="s">
        <v>297</v>
      </c>
      <c r="D201" s="228">
        <v>175</v>
      </c>
      <c r="E201" s="228">
        <v>22</v>
      </c>
      <c r="F201" s="231">
        <v>3443.8</v>
      </c>
      <c r="G201" s="231">
        <v>3466.1</v>
      </c>
      <c r="H201" s="228">
        <v>-22.3</v>
      </c>
      <c r="I201" s="229">
        <v>-6.4000000000000003E-3</v>
      </c>
      <c r="J201" s="231">
        <v>3425.4</v>
      </c>
      <c r="K201" s="231">
        <v>3453.3</v>
      </c>
      <c r="L201" s="228">
        <v>-27.9</v>
      </c>
      <c r="M201" s="229">
        <v>-8.0999999999999996E-3</v>
      </c>
      <c r="N201" s="231">
        <v>3443.8</v>
      </c>
      <c r="O201" s="231">
        <v>3466.1</v>
      </c>
      <c r="P201" s="228">
        <v>-22.3</v>
      </c>
      <c r="Q201" s="229">
        <v>-6.4000000000000003E-3</v>
      </c>
      <c r="R201" s="231">
        <v>3463.3</v>
      </c>
      <c r="S201" s="231">
        <v>3484.2</v>
      </c>
      <c r="T201" s="228">
        <v>-20.9</v>
      </c>
      <c r="U201" s="229">
        <v>-6.0000000000000001E-3</v>
      </c>
      <c r="V201" s="231">
        <v>3488.7</v>
      </c>
      <c r="W201" s="231">
        <v>3500.3</v>
      </c>
      <c r="X201" s="228">
        <v>-11.6</v>
      </c>
      <c r="Y201" s="229">
        <v>-3.3E-3</v>
      </c>
      <c r="Z201" s="228">
        <v>18.399999999999999</v>
      </c>
      <c r="AA201" s="228">
        <v>12.8</v>
      </c>
      <c r="AB201" s="228">
        <v>5.6</v>
      </c>
      <c r="AC201" s="229">
        <v>5.4000000000000003E-3</v>
      </c>
      <c r="AD201" s="228">
        <v>18.399999999999999</v>
      </c>
      <c r="AE201" s="228">
        <v>12.8</v>
      </c>
      <c r="AF201" s="228">
        <v>5.6</v>
      </c>
      <c r="AG201" s="229">
        <v>5.4000000000000003E-3</v>
      </c>
      <c r="AH201" s="228">
        <v>37.9</v>
      </c>
      <c r="AI201" s="228">
        <v>30.9</v>
      </c>
      <c r="AJ201" s="228">
        <v>7</v>
      </c>
      <c r="AK201" s="229">
        <v>1.11E-2</v>
      </c>
      <c r="AL201" s="228">
        <v>63.3</v>
      </c>
      <c r="AM201" s="228">
        <v>47</v>
      </c>
      <c r="AN201" s="228">
        <v>16.3</v>
      </c>
      <c r="AO201" s="229">
        <v>1.8499999999999999E-2</v>
      </c>
      <c r="AP201" s="231">
        <v>3441.23</v>
      </c>
      <c r="AQ201" s="231">
        <v>3463.36</v>
      </c>
      <c r="AR201" s="228">
        <v>0</v>
      </c>
      <c r="AS201" s="228">
        <v>459</v>
      </c>
      <c r="AT201" s="228">
        <v>724</v>
      </c>
      <c r="AU201" s="228">
        <v>-265</v>
      </c>
      <c r="AV201" s="229">
        <v>-0.3659</v>
      </c>
      <c r="AW201" s="228">
        <v>437</v>
      </c>
      <c r="AX201" s="228">
        <v>697</v>
      </c>
      <c r="AY201" s="228">
        <v>-260</v>
      </c>
      <c r="AZ201" s="229">
        <v>-0.37309999999999999</v>
      </c>
      <c r="BA201" s="228">
        <v>20</v>
      </c>
      <c r="BB201" s="228">
        <v>24</v>
      </c>
      <c r="BC201" s="228">
        <v>-4</v>
      </c>
      <c r="BD201" s="229">
        <v>-0.16370000000000001</v>
      </c>
      <c r="BE201" s="228">
        <v>2</v>
      </c>
      <c r="BF201" s="228">
        <v>3</v>
      </c>
      <c r="BG201" s="228">
        <v>-1</v>
      </c>
      <c r="BH201" s="229">
        <v>-0.31580000000000003</v>
      </c>
      <c r="BI201" s="230">
        <v>1628</v>
      </c>
      <c r="BJ201" s="230">
        <v>1751</v>
      </c>
      <c r="BK201" s="228">
        <v>-123</v>
      </c>
      <c r="BL201" s="229">
        <v>-7.0199999999999999E-2</v>
      </c>
      <c r="BM201" s="228">
        <v>955</v>
      </c>
      <c r="BN201" s="228">
        <v>896</v>
      </c>
      <c r="BO201" s="228">
        <v>59</v>
      </c>
      <c r="BP201" s="229">
        <v>6.6000000000000003E-2</v>
      </c>
      <c r="BQ201" s="230">
        <v>3042</v>
      </c>
      <c r="BR201" s="230">
        <v>3371</v>
      </c>
      <c r="BS201" s="228">
        <v>-329</v>
      </c>
      <c r="BT201" s="229">
        <v>-9.7500000000000003E-2</v>
      </c>
      <c r="BU201" s="230">
        <v>1241847</v>
      </c>
      <c r="BV201" s="230">
        <v>1671164</v>
      </c>
      <c r="BW201" s="230">
        <v>-429317</v>
      </c>
      <c r="BX201" s="229">
        <v>-0.25690000000000002</v>
      </c>
      <c r="BY201" s="230">
        <v>4098</v>
      </c>
      <c r="BZ201" s="230">
        <v>4098</v>
      </c>
      <c r="CA201" s="228">
        <v>0</v>
      </c>
      <c r="CB201" s="229">
        <v>0</v>
      </c>
      <c r="CC201" s="230">
        <v>4035</v>
      </c>
      <c r="CD201" s="230">
        <v>4041</v>
      </c>
      <c r="CE201" s="228">
        <v>-6</v>
      </c>
      <c r="CF201" s="229">
        <v>-1.4E-3</v>
      </c>
      <c r="CG201" s="228">
        <v>61</v>
      </c>
      <c r="CH201" s="228">
        <v>56</v>
      </c>
      <c r="CI201" s="228">
        <v>5</v>
      </c>
      <c r="CJ201" s="229">
        <v>8.77E-2</v>
      </c>
      <c r="CK201" s="228">
        <v>2</v>
      </c>
      <c r="CL201" s="228">
        <v>2</v>
      </c>
      <c r="CM201" s="228">
        <v>1</v>
      </c>
      <c r="CN201" s="229">
        <v>0.3448</v>
      </c>
      <c r="CO201" s="230">
        <v>1264</v>
      </c>
      <c r="CP201" s="230">
        <v>1038</v>
      </c>
      <c r="CQ201" s="228">
        <v>226</v>
      </c>
      <c r="CR201" s="229">
        <v>0.21729999999999999</v>
      </c>
      <c r="CS201" s="228">
        <v>821</v>
      </c>
      <c r="CT201" s="228">
        <v>708</v>
      </c>
      <c r="CU201" s="228">
        <v>113</v>
      </c>
      <c r="CV201" s="229">
        <v>0.15959999999999999</v>
      </c>
      <c r="CW201" s="230">
        <v>6183</v>
      </c>
      <c r="CX201" s="230">
        <v>5844</v>
      </c>
      <c r="CY201" s="228">
        <v>338</v>
      </c>
      <c r="CZ201" s="229">
        <v>5.79E-2</v>
      </c>
      <c r="DA201" s="228">
        <v>22.16</v>
      </c>
      <c r="DB201" s="228">
        <v>21.73</v>
      </c>
      <c r="DC201" s="228">
        <v>0.43</v>
      </c>
      <c r="DD201" s="228">
        <v>0.43</v>
      </c>
      <c r="DE201" s="228">
        <v>25.79</v>
      </c>
      <c r="DF201" s="228">
        <v>25.84</v>
      </c>
      <c r="DG201" s="228">
        <v>-3.63</v>
      </c>
      <c r="DH201" s="228">
        <v>-0.05</v>
      </c>
      <c r="DI201" s="228">
        <v>21.96</v>
      </c>
      <c r="DJ201" s="228">
        <v>21.54</v>
      </c>
      <c r="DK201" s="228">
        <v>0.42</v>
      </c>
      <c r="DL201" s="228">
        <v>0.42</v>
      </c>
      <c r="DM201" s="228">
        <v>22.49</v>
      </c>
      <c r="DN201" s="228">
        <v>22.1</v>
      </c>
      <c r="DO201" s="228">
        <v>0.39</v>
      </c>
      <c r="DP201" s="228">
        <v>0.39</v>
      </c>
      <c r="DQ201" s="228">
        <v>0.65</v>
      </c>
      <c r="DR201" s="228">
        <v>0.68</v>
      </c>
      <c r="DS201" s="228">
        <v>-0.03</v>
      </c>
      <c r="DT201" s="229">
        <v>-4.41E-2</v>
      </c>
      <c r="DU201" s="231">
        <v>3500</v>
      </c>
      <c r="DV201" s="231">
        <v>3400</v>
      </c>
      <c r="DW201" s="228">
        <v>0.59</v>
      </c>
      <c r="DX201" s="228">
        <v>0.51</v>
      </c>
      <c r="DY201" s="228">
        <v>0.08</v>
      </c>
      <c r="DZ201" s="229">
        <v>0.15690000000000001</v>
      </c>
      <c r="EA201" s="229">
        <v>1.54E-2</v>
      </c>
      <c r="EB201" s="230">
        <v>166775</v>
      </c>
      <c r="EC201" s="229">
        <v>5.7000000000000002E-3</v>
      </c>
      <c r="ED201" s="229">
        <v>1.54E-2</v>
      </c>
      <c r="EE201" s="228">
        <v>22.13</v>
      </c>
      <c r="EF201" s="229">
        <v>6.4000000000000003E-3</v>
      </c>
      <c r="EG201" s="230">
        <v>820410</v>
      </c>
      <c r="EH201" s="230">
        <v>1102162</v>
      </c>
      <c r="EI201" s="229">
        <v>-0.25559999999999999</v>
      </c>
      <c r="EJ201" s="229">
        <v>0.66059999999999997</v>
      </c>
      <c r="EK201" s="231">
        <v>1688.5</v>
      </c>
      <c r="EL201" s="228">
        <v>941.44</v>
      </c>
      <c r="EM201" s="228">
        <v>458.86</v>
      </c>
      <c r="EN201" s="228">
        <v>237.21</v>
      </c>
      <c r="EO201" s="231">
        <v>3088.81</v>
      </c>
      <c r="EP201" s="231">
        <v>3426.62</v>
      </c>
      <c r="EQ201" s="228">
        <v>-337.82</v>
      </c>
      <c r="ER201" s="229">
        <v>-9.8599999999999993E-2</v>
      </c>
      <c r="ES201" s="231">
        <v>1307.53</v>
      </c>
      <c r="ET201" s="228">
        <v>799.63</v>
      </c>
      <c r="EU201" s="231">
        <v>4098.5600000000004</v>
      </c>
      <c r="EV201" s="231">
        <v>41744334</v>
      </c>
      <c r="EW201" s="231">
        <v>6205.72</v>
      </c>
      <c r="EX201" s="231">
        <v>5891.8</v>
      </c>
      <c r="EY201" s="228">
        <v>313.92</v>
      </c>
      <c r="EZ201" s="229">
        <v>5.33E-2</v>
      </c>
      <c r="FA201" s="229">
        <v>0.43009999999999998</v>
      </c>
      <c r="FB201" s="227" t="s">
        <v>237</v>
      </c>
      <c r="FC201">
        <f t="shared" si="4"/>
        <v>0</v>
      </c>
    </row>
    <row r="202" spans="1:159" ht="17.25" thickBot="1" x14ac:dyDescent="0.3">
      <c r="A202" s="226">
        <v>45936</v>
      </c>
      <c r="B202" s="227" t="s">
        <v>170</v>
      </c>
      <c r="C202" s="227" t="s">
        <v>298</v>
      </c>
      <c r="D202" s="228">
        <v>250</v>
      </c>
      <c r="E202" s="228">
        <v>22</v>
      </c>
      <c r="F202" s="231">
        <v>3538.8</v>
      </c>
      <c r="G202" s="231">
        <v>3536.6</v>
      </c>
      <c r="H202" s="228">
        <v>2.2000000000000002</v>
      </c>
      <c r="I202" s="229">
        <v>5.9999999999999995E-4</v>
      </c>
      <c r="J202" s="231">
        <v>3526</v>
      </c>
      <c r="K202" s="231">
        <v>3514.7</v>
      </c>
      <c r="L202" s="228">
        <v>11.3</v>
      </c>
      <c r="M202" s="229">
        <v>3.2000000000000002E-3</v>
      </c>
      <c r="N202" s="231">
        <v>3538.8</v>
      </c>
      <c r="O202" s="231">
        <v>3536.6</v>
      </c>
      <c r="P202" s="228">
        <v>2.2000000000000002</v>
      </c>
      <c r="Q202" s="229">
        <v>5.9999999999999995E-4</v>
      </c>
      <c r="R202" s="231">
        <v>3559.3</v>
      </c>
      <c r="S202" s="231">
        <v>3554</v>
      </c>
      <c r="T202" s="228">
        <v>5.3</v>
      </c>
      <c r="U202" s="229">
        <v>1.5E-3</v>
      </c>
      <c r="V202" s="231">
        <v>3540</v>
      </c>
      <c r="W202" s="228">
        <v>0</v>
      </c>
      <c r="X202" s="231">
        <v>3540</v>
      </c>
      <c r="Y202" s="229">
        <v>0</v>
      </c>
      <c r="Z202" s="228">
        <v>12.8</v>
      </c>
      <c r="AA202" s="228">
        <v>21.9</v>
      </c>
      <c r="AB202" s="228">
        <v>-9.1</v>
      </c>
      <c r="AC202" s="229">
        <v>3.5999999999999999E-3</v>
      </c>
      <c r="AD202" s="228">
        <v>12.8</v>
      </c>
      <c r="AE202" s="228">
        <v>21.9</v>
      </c>
      <c r="AF202" s="228">
        <v>-9.1</v>
      </c>
      <c r="AG202" s="229">
        <v>3.5999999999999999E-3</v>
      </c>
      <c r="AH202" s="228">
        <v>33.299999999999997</v>
      </c>
      <c r="AI202" s="228">
        <v>39.299999999999997</v>
      </c>
      <c r="AJ202" s="228">
        <v>-6</v>
      </c>
      <c r="AK202" s="229">
        <v>9.4000000000000004E-3</v>
      </c>
      <c r="AL202" s="228">
        <v>14</v>
      </c>
      <c r="AM202" s="228">
        <v>0</v>
      </c>
      <c r="AN202" s="228">
        <v>14</v>
      </c>
      <c r="AO202" s="229">
        <v>4.0000000000000001E-3</v>
      </c>
      <c r="AP202" s="231">
        <v>3521.78</v>
      </c>
      <c r="AQ202" s="231">
        <v>3538.17</v>
      </c>
      <c r="AR202" s="228">
        <v>0</v>
      </c>
      <c r="AS202" s="228">
        <v>115</v>
      </c>
      <c r="AT202" s="228">
        <v>98</v>
      </c>
      <c r="AU202" s="228">
        <v>17</v>
      </c>
      <c r="AV202" s="229">
        <v>0.17</v>
      </c>
      <c r="AW202" s="228">
        <v>113</v>
      </c>
      <c r="AX202" s="228">
        <v>97</v>
      </c>
      <c r="AY202" s="228">
        <v>16</v>
      </c>
      <c r="AZ202" s="229">
        <v>0.16109999999999999</v>
      </c>
      <c r="BA202" s="228">
        <v>2</v>
      </c>
      <c r="BB202" s="228">
        <v>1</v>
      </c>
      <c r="BC202" s="228">
        <v>1</v>
      </c>
      <c r="BD202" s="229">
        <v>0.84619999999999995</v>
      </c>
      <c r="BE202" s="228">
        <v>0</v>
      </c>
      <c r="BF202" s="228">
        <v>0</v>
      </c>
      <c r="BG202" s="228">
        <v>0</v>
      </c>
      <c r="BH202" s="229">
        <v>0</v>
      </c>
      <c r="BI202" s="228">
        <v>156</v>
      </c>
      <c r="BJ202" s="228">
        <v>135</v>
      </c>
      <c r="BK202" s="228">
        <v>21</v>
      </c>
      <c r="BL202" s="229">
        <v>0.15509999999999999</v>
      </c>
      <c r="BM202" s="228">
        <v>53</v>
      </c>
      <c r="BN202" s="228">
        <v>90</v>
      </c>
      <c r="BO202" s="228">
        <v>-37</v>
      </c>
      <c r="BP202" s="229">
        <v>-0.40649999999999997</v>
      </c>
      <c r="BQ202" s="228">
        <v>325</v>
      </c>
      <c r="BR202" s="228">
        <v>323</v>
      </c>
      <c r="BS202" s="228">
        <v>1</v>
      </c>
      <c r="BT202" s="229">
        <v>3.5999999999999999E-3</v>
      </c>
      <c r="BU202" s="230">
        <v>378112</v>
      </c>
      <c r="BV202" s="230">
        <v>384322</v>
      </c>
      <c r="BW202" s="230">
        <v>-6210</v>
      </c>
      <c r="BX202" s="229">
        <v>-1.6199999999999999E-2</v>
      </c>
      <c r="BY202" s="228">
        <v>867</v>
      </c>
      <c r="BZ202" s="228">
        <v>851</v>
      </c>
      <c r="CA202" s="228">
        <v>16</v>
      </c>
      <c r="CB202" s="229">
        <v>1.9199999999999998E-2</v>
      </c>
      <c r="CC202" s="228">
        <v>863</v>
      </c>
      <c r="CD202" s="228">
        <v>847</v>
      </c>
      <c r="CE202" s="228">
        <v>15</v>
      </c>
      <c r="CF202" s="229">
        <v>1.8100000000000002E-2</v>
      </c>
      <c r="CG202" s="228">
        <v>5</v>
      </c>
      <c r="CH202" s="228">
        <v>4</v>
      </c>
      <c r="CI202" s="228">
        <v>1</v>
      </c>
      <c r="CJ202" s="229">
        <v>0.27500000000000002</v>
      </c>
      <c r="CK202" s="228">
        <v>0</v>
      </c>
      <c r="CL202" s="228">
        <v>0</v>
      </c>
      <c r="CM202" s="228">
        <v>0</v>
      </c>
      <c r="CN202" s="229">
        <v>0</v>
      </c>
      <c r="CO202" s="228">
        <v>176</v>
      </c>
      <c r="CP202" s="228">
        <v>173</v>
      </c>
      <c r="CQ202" s="228">
        <v>3</v>
      </c>
      <c r="CR202" s="229">
        <v>0.02</v>
      </c>
      <c r="CS202" s="228">
        <v>91</v>
      </c>
      <c r="CT202" s="228">
        <v>88</v>
      </c>
      <c r="CU202" s="228">
        <v>3</v>
      </c>
      <c r="CV202" s="229">
        <v>3.4299999999999997E-2</v>
      </c>
      <c r="CW202" s="230">
        <v>1134</v>
      </c>
      <c r="CX202" s="230">
        <v>1111</v>
      </c>
      <c r="CY202" s="228">
        <v>23</v>
      </c>
      <c r="CZ202" s="229">
        <v>2.0500000000000001E-2</v>
      </c>
      <c r="DA202" s="228">
        <v>20.43</v>
      </c>
      <c r="DB202" s="228">
        <v>19.78</v>
      </c>
      <c r="DC202" s="228">
        <v>0.65</v>
      </c>
      <c r="DD202" s="228">
        <v>0.65</v>
      </c>
      <c r="DE202" s="228">
        <v>26.19</v>
      </c>
      <c r="DF202" s="228">
        <v>26.25</v>
      </c>
      <c r="DG202" s="228">
        <v>-5.76</v>
      </c>
      <c r="DH202" s="228">
        <v>-0.06</v>
      </c>
      <c r="DI202" s="228">
        <v>20.75</v>
      </c>
      <c r="DJ202" s="228">
        <v>20.21</v>
      </c>
      <c r="DK202" s="228">
        <v>0.54</v>
      </c>
      <c r="DL202" s="228">
        <v>0.54</v>
      </c>
      <c r="DM202" s="228">
        <v>19.5</v>
      </c>
      <c r="DN202" s="228">
        <v>19.12</v>
      </c>
      <c r="DO202" s="228">
        <v>0.38</v>
      </c>
      <c r="DP202" s="228">
        <v>0.38</v>
      </c>
      <c r="DQ202" s="228">
        <v>0.51</v>
      </c>
      <c r="DR202" s="228">
        <v>0.51</v>
      </c>
      <c r="DS202" s="228">
        <v>0</v>
      </c>
      <c r="DT202" s="229">
        <v>0</v>
      </c>
      <c r="DU202" s="231">
        <v>3600</v>
      </c>
      <c r="DV202" s="231">
        <v>3400</v>
      </c>
      <c r="DW202" s="228">
        <v>0.34</v>
      </c>
      <c r="DX202" s="228">
        <v>0.66</v>
      </c>
      <c r="DY202" s="228">
        <v>-0.32</v>
      </c>
      <c r="DZ202" s="229">
        <v>-0.48480000000000001</v>
      </c>
      <c r="EA202" s="229">
        <v>5.3E-3</v>
      </c>
      <c r="EB202" s="230">
        <v>10000</v>
      </c>
      <c r="EC202" s="229">
        <v>5.7999999999999996E-3</v>
      </c>
      <c r="ED202" s="229">
        <v>5.3E-3</v>
      </c>
      <c r="EE202" s="228">
        <v>16.39</v>
      </c>
      <c r="EF202" s="229">
        <v>4.7000000000000002E-3</v>
      </c>
      <c r="EG202" s="230">
        <v>259546</v>
      </c>
      <c r="EH202" s="230">
        <v>255224</v>
      </c>
      <c r="EI202" s="229">
        <v>1.6899999999999998E-2</v>
      </c>
      <c r="EJ202" s="229">
        <v>0.68640000000000001</v>
      </c>
      <c r="EK202" s="228">
        <v>165.24</v>
      </c>
      <c r="EL202" s="228">
        <v>52.89</v>
      </c>
      <c r="EM202" s="228">
        <v>114.56</v>
      </c>
      <c r="EN202" s="228">
        <v>32.11</v>
      </c>
      <c r="EO202" s="228">
        <v>332.68</v>
      </c>
      <c r="EP202" s="228">
        <v>330.74</v>
      </c>
      <c r="EQ202" s="228">
        <v>1.94</v>
      </c>
      <c r="ER202" s="229">
        <v>5.8999999999999999E-3</v>
      </c>
      <c r="ES202" s="228">
        <v>184.27</v>
      </c>
      <c r="ET202" s="228">
        <v>90.71</v>
      </c>
      <c r="EU202" s="228">
        <v>867.39</v>
      </c>
      <c r="EV202" s="231">
        <v>16072672</v>
      </c>
      <c r="EW202" s="231">
        <v>1142.3699999999999</v>
      </c>
      <c r="EX202" s="231">
        <v>1119.55</v>
      </c>
      <c r="EY202" s="228">
        <v>22.82</v>
      </c>
      <c r="EZ202" s="229">
        <v>2.0400000000000001E-2</v>
      </c>
      <c r="FA202" s="229">
        <v>0.19939999999999999</v>
      </c>
      <c r="FB202" s="227" t="s">
        <v>555</v>
      </c>
      <c r="FC202">
        <f t="shared" si="4"/>
        <v>0</v>
      </c>
    </row>
    <row r="203" spans="1:159" ht="17.25" thickBot="1" x14ac:dyDescent="0.3">
      <c r="A203" s="226">
        <v>45936</v>
      </c>
      <c r="B203" s="227" t="s">
        <v>161</v>
      </c>
      <c r="C203" s="227" t="s">
        <v>299</v>
      </c>
      <c r="D203" s="228">
        <v>375</v>
      </c>
      <c r="E203" s="228">
        <v>22</v>
      </c>
      <c r="F203" s="231">
        <v>1209.2</v>
      </c>
      <c r="G203" s="231">
        <v>1229</v>
      </c>
      <c r="H203" s="228">
        <v>-19.8</v>
      </c>
      <c r="I203" s="229">
        <v>-1.61E-2</v>
      </c>
      <c r="J203" s="231">
        <v>1200</v>
      </c>
      <c r="K203" s="231">
        <v>1221.0999999999999</v>
      </c>
      <c r="L203" s="228">
        <v>-21.1</v>
      </c>
      <c r="M203" s="229">
        <v>-1.7299999999999999E-2</v>
      </c>
      <c r="N203" s="231">
        <v>1209.2</v>
      </c>
      <c r="O203" s="231">
        <v>1229</v>
      </c>
      <c r="P203" s="228">
        <v>-19.8</v>
      </c>
      <c r="Q203" s="229">
        <v>-1.61E-2</v>
      </c>
      <c r="R203" s="231">
        <v>1217</v>
      </c>
      <c r="S203" s="231">
        <v>1235.4000000000001</v>
      </c>
      <c r="T203" s="228">
        <v>-18.399999999999999</v>
      </c>
      <c r="U203" s="229">
        <v>-1.49E-2</v>
      </c>
      <c r="V203" s="231">
        <v>1225</v>
      </c>
      <c r="W203" s="231">
        <v>1239.5</v>
      </c>
      <c r="X203" s="228">
        <v>-14.5</v>
      </c>
      <c r="Y203" s="229">
        <v>-1.17E-2</v>
      </c>
      <c r="Z203" s="228">
        <v>9.1999999999999993</v>
      </c>
      <c r="AA203" s="228">
        <v>7.9</v>
      </c>
      <c r="AB203" s="228">
        <v>1.3</v>
      </c>
      <c r="AC203" s="229">
        <v>7.7000000000000002E-3</v>
      </c>
      <c r="AD203" s="228">
        <v>9.1999999999999993</v>
      </c>
      <c r="AE203" s="228">
        <v>7.9</v>
      </c>
      <c r="AF203" s="228">
        <v>1.3</v>
      </c>
      <c r="AG203" s="229">
        <v>7.7000000000000002E-3</v>
      </c>
      <c r="AH203" s="228">
        <v>17</v>
      </c>
      <c r="AI203" s="228">
        <v>14.3</v>
      </c>
      <c r="AJ203" s="228">
        <v>2.7</v>
      </c>
      <c r="AK203" s="229">
        <v>1.4200000000000001E-2</v>
      </c>
      <c r="AL203" s="228">
        <v>25</v>
      </c>
      <c r="AM203" s="228">
        <v>18.399999999999999</v>
      </c>
      <c r="AN203" s="228">
        <v>6.6</v>
      </c>
      <c r="AO203" s="229">
        <v>2.0799999999999999E-2</v>
      </c>
      <c r="AP203" s="231">
        <v>1208.5999999999999</v>
      </c>
      <c r="AQ203" s="231">
        <v>1213.3</v>
      </c>
      <c r="AR203" s="228">
        <v>0</v>
      </c>
      <c r="AS203" s="228">
        <v>118</v>
      </c>
      <c r="AT203" s="228">
        <v>82</v>
      </c>
      <c r="AU203" s="228">
        <v>36</v>
      </c>
      <c r="AV203" s="229">
        <v>0.43120000000000003</v>
      </c>
      <c r="AW203" s="228">
        <v>110</v>
      </c>
      <c r="AX203" s="228">
        <v>78</v>
      </c>
      <c r="AY203" s="228">
        <v>32</v>
      </c>
      <c r="AZ203" s="229">
        <v>0.4113</v>
      </c>
      <c r="BA203" s="228">
        <v>6</v>
      </c>
      <c r="BB203" s="228">
        <v>4</v>
      </c>
      <c r="BC203" s="228">
        <v>2</v>
      </c>
      <c r="BD203" s="229">
        <v>0.57140000000000002</v>
      </c>
      <c r="BE203" s="228">
        <v>1</v>
      </c>
      <c r="BF203" s="228">
        <v>0</v>
      </c>
      <c r="BG203" s="228">
        <v>1</v>
      </c>
      <c r="BH203" s="229">
        <v>22</v>
      </c>
      <c r="BI203" s="228">
        <v>214</v>
      </c>
      <c r="BJ203" s="228">
        <v>68</v>
      </c>
      <c r="BK203" s="228">
        <v>146</v>
      </c>
      <c r="BL203" s="229">
        <v>2.1615000000000002</v>
      </c>
      <c r="BM203" s="228">
        <v>79</v>
      </c>
      <c r="BN203" s="228">
        <v>24</v>
      </c>
      <c r="BO203" s="228">
        <v>56</v>
      </c>
      <c r="BP203" s="229">
        <v>2.3479999999999999</v>
      </c>
      <c r="BQ203" s="228">
        <v>411</v>
      </c>
      <c r="BR203" s="228">
        <v>174</v>
      </c>
      <c r="BS203" s="228">
        <v>237</v>
      </c>
      <c r="BT203" s="229">
        <v>1.3667</v>
      </c>
      <c r="BU203" s="230">
        <v>2770048</v>
      </c>
      <c r="BV203" s="230">
        <v>502800</v>
      </c>
      <c r="BW203" s="230">
        <v>2267248</v>
      </c>
      <c r="BX203" s="229">
        <v>4.5091999999999999</v>
      </c>
      <c r="BY203" s="228">
        <v>536</v>
      </c>
      <c r="BZ203" s="228">
        <v>501</v>
      </c>
      <c r="CA203" s="228">
        <v>35</v>
      </c>
      <c r="CB203" s="229">
        <v>7.0499999999999993E-2</v>
      </c>
      <c r="CC203" s="228">
        <v>524</v>
      </c>
      <c r="CD203" s="228">
        <v>492</v>
      </c>
      <c r="CE203" s="228">
        <v>32</v>
      </c>
      <c r="CF203" s="229">
        <v>6.4899999999999999E-2</v>
      </c>
      <c r="CG203" s="228">
        <v>11</v>
      </c>
      <c r="CH203" s="228">
        <v>8</v>
      </c>
      <c r="CI203" s="228">
        <v>2</v>
      </c>
      <c r="CJ203" s="229">
        <v>0.2888</v>
      </c>
      <c r="CK203" s="228">
        <v>1</v>
      </c>
      <c r="CL203" s="228">
        <v>0</v>
      </c>
      <c r="CM203" s="228">
        <v>1</v>
      </c>
      <c r="CN203" s="229">
        <v>6.6666999999999996</v>
      </c>
      <c r="CO203" s="228">
        <v>131</v>
      </c>
      <c r="CP203" s="228">
        <v>78</v>
      </c>
      <c r="CQ203" s="228">
        <v>53</v>
      </c>
      <c r="CR203" s="229">
        <v>0.67149999999999999</v>
      </c>
      <c r="CS203" s="228">
        <v>68</v>
      </c>
      <c r="CT203" s="228">
        <v>52</v>
      </c>
      <c r="CU203" s="228">
        <v>16</v>
      </c>
      <c r="CV203" s="229">
        <v>0.31269999999999998</v>
      </c>
      <c r="CW203" s="228">
        <v>735</v>
      </c>
      <c r="CX203" s="228">
        <v>631</v>
      </c>
      <c r="CY203" s="228">
        <v>104</v>
      </c>
      <c r="CZ203" s="229">
        <v>0.16500000000000001</v>
      </c>
      <c r="DA203" s="228">
        <v>30.65</v>
      </c>
      <c r="DB203" s="228">
        <v>30.21</v>
      </c>
      <c r="DC203" s="228">
        <v>0.44</v>
      </c>
      <c r="DD203" s="228">
        <v>0.44</v>
      </c>
      <c r="DE203" s="228">
        <v>42.31</v>
      </c>
      <c r="DF203" s="228">
        <v>42.36</v>
      </c>
      <c r="DG203" s="228">
        <v>-11.66</v>
      </c>
      <c r="DH203" s="228">
        <v>-0.05</v>
      </c>
      <c r="DI203" s="228">
        <v>30.72</v>
      </c>
      <c r="DJ203" s="228">
        <v>30.44</v>
      </c>
      <c r="DK203" s="228">
        <v>0.28000000000000003</v>
      </c>
      <c r="DL203" s="228">
        <v>0.28000000000000003</v>
      </c>
      <c r="DM203" s="228">
        <v>30.46</v>
      </c>
      <c r="DN203" s="228">
        <v>29.56</v>
      </c>
      <c r="DO203" s="228">
        <v>0.9</v>
      </c>
      <c r="DP203" s="228">
        <v>0.9</v>
      </c>
      <c r="DQ203" s="228">
        <v>0.52</v>
      </c>
      <c r="DR203" s="228">
        <v>0.66</v>
      </c>
      <c r="DS203" s="228">
        <v>-0.14000000000000001</v>
      </c>
      <c r="DT203" s="229">
        <v>-0.21210000000000001</v>
      </c>
      <c r="DU203" s="231">
        <v>1300</v>
      </c>
      <c r="DV203" s="231">
        <v>1300</v>
      </c>
      <c r="DW203" s="228">
        <v>0.37</v>
      </c>
      <c r="DX203" s="228">
        <v>0.35</v>
      </c>
      <c r="DY203" s="228">
        <v>0.02</v>
      </c>
      <c r="DZ203" s="229">
        <v>5.7099999999999998E-2</v>
      </c>
      <c r="EA203" s="229">
        <v>2.23E-2</v>
      </c>
      <c r="EB203" s="230">
        <v>71250</v>
      </c>
      <c r="EC203" s="229">
        <v>6.4999999999999997E-3</v>
      </c>
      <c r="ED203" s="229">
        <v>2.23E-2</v>
      </c>
      <c r="EE203" s="228">
        <v>4.7</v>
      </c>
      <c r="EF203" s="229">
        <v>3.8999999999999998E-3</v>
      </c>
      <c r="EG203" s="230">
        <v>2276813</v>
      </c>
      <c r="EH203" s="230">
        <v>301311</v>
      </c>
      <c r="EI203" s="229">
        <v>6.5564</v>
      </c>
      <c r="EJ203" s="229">
        <v>0.82189999999999996</v>
      </c>
      <c r="EK203" s="228">
        <v>225.98</v>
      </c>
      <c r="EL203" s="228">
        <v>79.8</v>
      </c>
      <c r="EM203" s="228">
        <v>117.83</v>
      </c>
      <c r="EN203" s="228">
        <v>40.11</v>
      </c>
      <c r="EO203" s="228">
        <v>423.61</v>
      </c>
      <c r="EP203" s="228">
        <v>180.48</v>
      </c>
      <c r="EQ203" s="228">
        <v>243.13</v>
      </c>
      <c r="ER203" s="229">
        <v>1.3471</v>
      </c>
      <c r="ES203" s="228">
        <v>139.47999999999999</v>
      </c>
      <c r="ET203" s="228">
        <v>68.59</v>
      </c>
      <c r="EU203" s="228">
        <v>535.92999999999995</v>
      </c>
      <c r="EV203" s="231">
        <v>24646022</v>
      </c>
      <c r="EW203" s="228">
        <v>743.99</v>
      </c>
      <c r="EX203" s="228">
        <v>646.55999999999995</v>
      </c>
      <c r="EY203" s="228">
        <v>97.43</v>
      </c>
      <c r="EZ203" s="229">
        <v>0.1507</v>
      </c>
      <c r="FA203" s="229">
        <v>0.24660000000000001</v>
      </c>
      <c r="FB203" s="227" t="s">
        <v>567</v>
      </c>
      <c r="FC203">
        <f t="shared" si="4"/>
        <v>0</v>
      </c>
    </row>
    <row r="204" spans="1:159" ht="17.25" thickBot="1" x14ac:dyDescent="0.3">
      <c r="A204" s="226">
        <v>45936</v>
      </c>
      <c r="B204" s="227" t="s">
        <v>197</v>
      </c>
      <c r="C204" s="227" t="s">
        <v>482</v>
      </c>
      <c r="D204" s="228">
        <v>100</v>
      </c>
      <c r="E204" s="228">
        <v>22</v>
      </c>
      <c r="F204" s="231">
        <v>4817.2</v>
      </c>
      <c r="G204" s="231">
        <v>4846.6000000000004</v>
      </c>
      <c r="H204" s="228">
        <v>-29.4</v>
      </c>
      <c r="I204" s="229">
        <v>-6.1000000000000004E-3</v>
      </c>
      <c r="J204" s="231">
        <v>4777.3</v>
      </c>
      <c r="K204" s="231">
        <v>4815.7</v>
      </c>
      <c r="L204" s="228">
        <v>-38.4</v>
      </c>
      <c r="M204" s="229">
        <v>-8.0000000000000002E-3</v>
      </c>
      <c r="N204" s="231">
        <v>4817.2</v>
      </c>
      <c r="O204" s="231">
        <v>4846.6000000000004</v>
      </c>
      <c r="P204" s="228">
        <v>-29.4</v>
      </c>
      <c r="Q204" s="229">
        <v>-6.1000000000000004E-3</v>
      </c>
      <c r="R204" s="231">
        <v>4830.7</v>
      </c>
      <c r="S204" s="231">
        <v>4873</v>
      </c>
      <c r="T204" s="228">
        <v>-42.3</v>
      </c>
      <c r="U204" s="229">
        <v>-8.6999999999999994E-3</v>
      </c>
      <c r="V204" s="231">
        <v>4856.3999999999996</v>
      </c>
      <c r="W204" s="231">
        <v>4902.3999999999996</v>
      </c>
      <c r="X204" s="228">
        <v>-46</v>
      </c>
      <c r="Y204" s="229">
        <v>-9.4000000000000004E-3</v>
      </c>
      <c r="Z204" s="228">
        <v>39.9</v>
      </c>
      <c r="AA204" s="228">
        <v>30.9</v>
      </c>
      <c r="AB204" s="228">
        <v>9</v>
      </c>
      <c r="AC204" s="229">
        <v>8.3999999999999995E-3</v>
      </c>
      <c r="AD204" s="228">
        <v>39.9</v>
      </c>
      <c r="AE204" s="228">
        <v>30.9</v>
      </c>
      <c r="AF204" s="228">
        <v>9</v>
      </c>
      <c r="AG204" s="229">
        <v>8.3999999999999995E-3</v>
      </c>
      <c r="AH204" s="228">
        <v>53.4</v>
      </c>
      <c r="AI204" s="228">
        <v>57.3</v>
      </c>
      <c r="AJ204" s="228">
        <v>-3.9</v>
      </c>
      <c r="AK204" s="229">
        <v>1.12E-2</v>
      </c>
      <c r="AL204" s="228">
        <v>79.099999999999994</v>
      </c>
      <c r="AM204" s="228">
        <v>86.7</v>
      </c>
      <c r="AN204" s="228">
        <v>-7.6</v>
      </c>
      <c r="AO204" s="229">
        <v>1.66E-2</v>
      </c>
      <c r="AP204" s="231">
        <v>4822.8599999999997</v>
      </c>
      <c r="AQ204" s="231">
        <v>4846.25</v>
      </c>
      <c r="AR204" s="228">
        <v>0</v>
      </c>
      <c r="AS204" s="230">
        <v>1141</v>
      </c>
      <c r="AT204" s="228">
        <v>648</v>
      </c>
      <c r="AU204" s="228">
        <v>493</v>
      </c>
      <c r="AV204" s="229">
        <v>0.76029999999999998</v>
      </c>
      <c r="AW204" s="230">
        <v>1077</v>
      </c>
      <c r="AX204" s="228">
        <v>606</v>
      </c>
      <c r="AY204" s="228">
        <v>472</v>
      </c>
      <c r="AZ204" s="229">
        <v>0.77929999999999999</v>
      </c>
      <c r="BA204" s="228">
        <v>55</v>
      </c>
      <c r="BB204" s="228">
        <v>36</v>
      </c>
      <c r="BC204" s="228">
        <v>19</v>
      </c>
      <c r="BD204" s="229">
        <v>0.51800000000000002</v>
      </c>
      <c r="BE204" s="228">
        <v>8</v>
      </c>
      <c r="BF204" s="228">
        <v>6</v>
      </c>
      <c r="BG204" s="228">
        <v>2</v>
      </c>
      <c r="BH204" s="229">
        <v>0.32579999999999998</v>
      </c>
      <c r="BI204" s="230">
        <v>4775</v>
      </c>
      <c r="BJ204" s="230">
        <v>2248</v>
      </c>
      <c r="BK204" s="230">
        <v>2527</v>
      </c>
      <c r="BL204" s="229">
        <v>1.1240000000000001</v>
      </c>
      <c r="BM204" s="230">
        <v>1903</v>
      </c>
      <c r="BN204" s="230">
        <v>1077</v>
      </c>
      <c r="BO204" s="228">
        <v>826</v>
      </c>
      <c r="BP204" s="229">
        <v>0.76700000000000002</v>
      </c>
      <c r="BQ204" s="230">
        <v>7818</v>
      </c>
      <c r="BR204" s="230">
        <v>3973</v>
      </c>
      <c r="BS204" s="230">
        <v>3845</v>
      </c>
      <c r="BT204" s="229">
        <v>0.96789999999999998</v>
      </c>
      <c r="BU204" s="230">
        <v>1103991</v>
      </c>
      <c r="BV204" s="230">
        <v>1142508</v>
      </c>
      <c r="BW204" s="230">
        <v>-38517</v>
      </c>
      <c r="BX204" s="229">
        <v>-3.3700000000000001E-2</v>
      </c>
      <c r="BY204" s="230">
        <v>4103</v>
      </c>
      <c r="BZ204" s="230">
        <v>3903</v>
      </c>
      <c r="CA204" s="228">
        <v>200</v>
      </c>
      <c r="CB204" s="229">
        <v>5.1299999999999998E-2</v>
      </c>
      <c r="CC204" s="230">
        <v>3928</v>
      </c>
      <c r="CD204" s="230">
        <v>3743</v>
      </c>
      <c r="CE204" s="228">
        <v>185</v>
      </c>
      <c r="CF204" s="229">
        <v>4.9500000000000002E-2</v>
      </c>
      <c r="CG204" s="228">
        <v>166</v>
      </c>
      <c r="CH204" s="228">
        <v>156</v>
      </c>
      <c r="CI204" s="228">
        <v>10</v>
      </c>
      <c r="CJ204" s="229">
        <v>6.4500000000000002E-2</v>
      </c>
      <c r="CK204" s="228">
        <v>10</v>
      </c>
      <c r="CL204" s="228">
        <v>5</v>
      </c>
      <c r="CM204" s="228">
        <v>5</v>
      </c>
      <c r="CN204" s="229">
        <v>1.0407999999999999</v>
      </c>
      <c r="CO204" s="230">
        <v>2321</v>
      </c>
      <c r="CP204" s="230">
        <v>1646</v>
      </c>
      <c r="CQ204" s="228">
        <v>675</v>
      </c>
      <c r="CR204" s="229">
        <v>0.41020000000000001</v>
      </c>
      <c r="CS204" s="230">
        <v>1191</v>
      </c>
      <c r="CT204" s="230">
        <v>1076</v>
      </c>
      <c r="CU204" s="228">
        <v>115</v>
      </c>
      <c r="CV204" s="229">
        <v>0.10680000000000001</v>
      </c>
      <c r="CW204" s="230">
        <v>7615</v>
      </c>
      <c r="CX204" s="230">
        <v>6625</v>
      </c>
      <c r="CY204" s="228">
        <v>990</v>
      </c>
      <c r="CZ204" s="229">
        <v>0.14949999999999999</v>
      </c>
      <c r="DA204" s="228">
        <v>35.68</v>
      </c>
      <c r="DB204" s="228">
        <v>32.18</v>
      </c>
      <c r="DC204" s="228">
        <v>3.5</v>
      </c>
      <c r="DD204" s="228">
        <v>3.5</v>
      </c>
      <c r="DE204" s="228">
        <v>45.63</v>
      </c>
      <c r="DF204" s="228">
        <v>45.73</v>
      </c>
      <c r="DG204" s="228">
        <v>-9.9499999999999993</v>
      </c>
      <c r="DH204" s="228">
        <v>-0.1</v>
      </c>
      <c r="DI204" s="228">
        <v>35.409999999999997</v>
      </c>
      <c r="DJ204" s="228">
        <v>32.19</v>
      </c>
      <c r="DK204" s="228">
        <v>3.22</v>
      </c>
      <c r="DL204" s="228">
        <v>3.22</v>
      </c>
      <c r="DM204" s="228">
        <v>36.369999999999997</v>
      </c>
      <c r="DN204" s="228">
        <v>32.17</v>
      </c>
      <c r="DO204" s="228">
        <v>4.2</v>
      </c>
      <c r="DP204" s="228">
        <v>4.2</v>
      </c>
      <c r="DQ204" s="228">
        <v>0.51</v>
      </c>
      <c r="DR204" s="228">
        <v>0.65</v>
      </c>
      <c r="DS204" s="228">
        <v>-0.14000000000000001</v>
      </c>
      <c r="DT204" s="229">
        <v>-0.21540000000000001</v>
      </c>
      <c r="DU204" s="231">
        <v>5500</v>
      </c>
      <c r="DV204" s="231">
        <v>4800</v>
      </c>
      <c r="DW204" s="228">
        <v>0.4</v>
      </c>
      <c r="DX204" s="228">
        <v>0.48</v>
      </c>
      <c r="DY204" s="228">
        <v>-0.08</v>
      </c>
      <c r="DZ204" s="229">
        <v>-0.16669999999999999</v>
      </c>
      <c r="EA204" s="229">
        <v>4.2799999999999998E-2</v>
      </c>
      <c r="EB204" s="230">
        <v>333700</v>
      </c>
      <c r="EC204" s="229">
        <v>2.8E-3</v>
      </c>
      <c r="ED204" s="229">
        <v>4.2799999999999998E-2</v>
      </c>
      <c r="EE204" s="228">
        <v>23.39</v>
      </c>
      <c r="EF204" s="229">
        <v>4.7999999999999996E-3</v>
      </c>
      <c r="EG204" s="230">
        <v>539855</v>
      </c>
      <c r="EH204" s="230">
        <v>592133</v>
      </c>
      <c r="EI204" s="229">
        <v>-8.8300000000000003E-2</v>
      </c>
      <c r="EJ204" s="229">
        <v>0.48899999999999999</v>
      </c>
      <c r="EK204" s="231">
        <v>5144.58</v>
      </c>
      <c r="EL204" s="231">
        <v>1862.42</v>
      </c>
      <c r="EM204" s="231">
        <v>1142.45</v>
      </c>
      <c r="EN204" s="228">
        <v>269.54000000000002</v>
      </c>
      <c r="EO204" s="231">
        <v>8149.44</v>
      </c>
      <c r="EP204" s="231">
        <v>4119.09</v>
      </c>
      <c r="EQ204" s="231">
        <v>4030.36</v>
      </c>
      <c r="ER204" s="229">
        <v>0.97850000000000004</v>
      </c>
      <c r="ES204" s="231">
        <v>2501.15</v>
      </c>
      <c r="ET204" s="231">
        <v>1175.81</v>
      </c>
      <c r="EU204" s="231">
        <v>4103.9799999999996</v>
      </c>
      <c r="EV204" s="231">
        <v>33590487</v>
      </c>
      <c r="EW204" s="231">
        <v>7780.95</v>
      </c>
      <c r="EX204" s="231">
        <v>6765.43</v>
      </c>
      <c r="EY204" s="231">
        <v>1015.52</v>
      </c>
      <c r="EZ204" s="229">
        <v>0.15010000000000001</v>
      </c>
      <c r="FA204" s="229">
        <v>0.47060000000000002</v>
      </c>
      <c r="FB204" s="227" t="s">
        <v>567</v>
      </c>
      <c r="FC204">
        <f t="shared" si="4"/>
        <v>0</v>
      </c>
    </row>
    <row r="205" spans="1:159" ht="17.25" thickBot="1" x14ac:dyDescent="0.3">
      <c r="A205" s="226">
        <v>45936</v>
      </c>
      <c r="B205" s="227" t="s">
        <v>162</v>
      </c>
      <c r="C205" s="227" t="s">
        <v>300</v>
      </c>
      <c r="D205" s="228">
        <v>350</v>
      </c>
      <c r="E205" s="228">
        <v>22</v>
      </c>
      <c r="F205" s="231">
        <v>3523</v>
      </c>
      <c r="G205" s="231">
        <v>3468.2</v>
      </c>
      <c r="H205" s="228">
        <v>54.8</v>
      </c>
      <c r="I205" s="229">
        <v>1.5800000000000002E-2</v>
      </c>
      <c r="J205" s="231">
        <v>3510.9</v>
      </c>
      <c r="K205" s="231">
        <v>3456.1</v>
      </c>
      <c r="L205" s="228">
        <v>54.8</v>
      </c>
      <c r="M205" s="229">
        <v>1.5900000000000001E-2</v>
      </c>
      <c r="N205" s="231">
        <v>3523</v>
      </c>
      <c r="O205" s="231">
        <v>3468.2</v>
      </c>
      <c r="P205" s="228">
        <v>54.8</v>
      </c>
      <c r="Q205" s="229">
        <v>1.5800000000000002E-2</v>
      </c>
      <c r="R205" s="231">
        <v>3538</v>
      </c>
      <c r="S205" s="231">
        <v>3484</v>
      </c>
      <c r="T205" s="228">
        <v>54</v>
      </c>
      <c r="U205" s="229">
        <v>1.55E-2</v>
      </c>
      <c r="V205" s="231">
        <v>3555</v>
      </c>
      <c r="W205" s="231">
        <v>3498</v>
      </c>
      <c r="X205" s="228">
        <v>57</v>
      </c>
      <c r="Y205" s="229">
        <v>1.6299999999999999E-2</v>
      </c>
      <c r="Z205" s="228">
        <v>12.1</v>
      </c>
      <c r="AA205" s="228">
        <v>12.1</v>
      </c>
      <c r="AB205" s="228">
        <v>0</v>
      </c>
      <c r="AC205" s="229">
        <v>3.3999999999999998E-3</v>
      </c>
      <c r="AD205" s="228">
        <v>12.1</v>
      </c>
      <c r="AE205" s="228">
        <v>12.1</v>
      </c>
      <c r="AF205" s="228">
        <v>0</v>
      </c>
      <c r="AG205" s="229">
        <v>3.3999999999999998E-3</v>
      </c>
      <c r="AH205" s="228">
        <v>27.1</v>
      </c>
      <c r="AI205" s="228">
        <v>27.9</v>
      </c>
      <c r="AJ205" s="228">
        <v>-0.8</v>
      </c>
      <c r="AK205" s="229">
        <v>7.7000000000000002E-3</v>
      </c>
      <c r="AL205" s="228">
        <v>44.1</v>
      </c>
      <c r="AM205" s="228">
        <v>41.9</v>
      </c>
      <c r="AN205" s="228">
        <v>2.2000000000000002</v>
      </c>
      <c r="AO205" s="229">
        <v>1.26E-2</v>
      </c>
      <c r="AP205" s="231">
        <v>3508.44</v>
      </c>
      <c r="AQ205" s="231">
        <v>3523.71</v>
      </c>
      <c r="AR205" s="228">
        <v>0</v>
      </c>
      <c r="AS205" s="228">
        <v>422</v>
      </c>
      <c r="AT205" s="228">
        <v>400</v>
      </c>
      <c r="AU205" s="228">
        <v>22</v>
      </c>
      <c r="AV205" s="229">
        <v>5.4199999999999998E-2</v>
      </c>
      <c r="AW205" s="228">
        <v>401</v>
      </c>
      <c r="AX205" s="228">
        <v>387</v>
      </c>
      <c r="AY205" s="228">
        <v>15</v>
      </c>
      <c r="AZ205" s="229">
        <v>3.8300000000000001E-2</v>
      </c>
      <c r="BA205" s="228">
        <v>17</v>
      </c>
      <c r="BB205" s="228">
        <v>12</v>
      </c>
      <c r="BC205" s="228">
        <v>6</v>
      </c>
      <c r="BD205" s="229">
        <v>0.46879999999999999</v>
      </c>
      <c r="BE205" s="228">
        <v>3</v>
      </c>
      <c r="BF205" s="228">
        <v>2</v>
      </c>
      <c r="BG205" s="228">
        <v>1</v>
      </c>
      <c r="BH205" s="229">
        <v>0.73329999999999995</v>
      </c>
      <c r="BI205" s="230">
        <v>1603</v>
      </c>
      <c r="BJ205" s="230">
        <v>1297</v>
      </c>
      <c r="BK205" s="228">
        <v>307</v>
      </c>
      <c r="BL205" s="229">
        <v>0.2364</v>
      </c>
      <c r="BM205" s="228">
        <v>596</v>
      </c>
      <c r="BN205" s="228">
        <v>810</v>
      </c>
      <c r="BO205" s="228">
        <v>-214</v>
      </c>
      <c r="BP205" s="229">
        <v>-0.26390000000000002</v>
      </c>
      <c r="BQ205" s="230">
        <v>2621</v>
      </c>
      <c r="BR205" s="230">
        <v>2507</v>
      </c>
      <c r="BS205" s="228">
        <v>115</v>
      </c>
      <c r="BT205" s="229">
        <v>4.5699999999999998E-2</v>
      </c>
      <c r="BU205" s="230">
        <v>834615</v>
      </c>
      <c r="BV205" s="230">
        <v>528213</v>
      </c>
      <c r="BW205" s="230">
        <v>306402</v>
      </c>
      <c r="BX205" s="229">
        <v>0.58009999999999995</v>
      </c>
      <c r="BY205" s="230">
        <v>3423</v>
      </c>
      <c r="BZ205" s="230">
        <v>3448</v>
      </c>
      <c r="CA205" s="228">
        <v>-25</v>
      </c>
      <c r="CB205" s="229">
        <v>-7.1999999999999998E-3</v>
      </c>
      <c r="CC205" s="230">
        <v>3386</v>
      </c>
      <c r="CD205" s="230">
        <v>3414</v>
      </c>
      <c r="CE205" s="228">
        <v>-29</v>
      </c>
      <c r="CF205" s="229">
        <v>-8.5000000000000006E-3</v>
      </c>
      <c r="CG205" s="228">
        <v>34</v>
      </c>
      <c r="CH205" s="228">
        <v>32</v>
      </c>
      <c r="CI205" s="228">
        <v>1</v>
      </c>
      <c r="CJ205" s="229">
        <v>3.4200000000000001E-2</v>
      </c>
      <c r="CK205" s="228">
        <v>4</v>
      </c>
      <c r="CL205" s="228">
        <v>1</v>
      </c>
      <c r="CM205" s="228">
        <v>3</v>
      </c>
      <c r="CN205" s="229">
        <v>2.2999999999999998</v>
      </c>
      <c r="CO205" s="228">
        <v>670</v>
      </c>
      <c r="CP205" s="228">
        <v>759</v>
      </c>
      <c r="CQ205" s="228">
        <v>-89</v>
      </c>
      <c r="CR205" s="229">
        <v>-0.1174</v>
      </c>
      <c r="CS205" s="228">
        <v>485</v>
      </c>
      <c r="CT205" s="228">
        <v>496</v>
      </c>
      <c r="CU205" s="228">
        <v>-11</v>
      </c>
      <c r="CV205" s="229">
        <v>-2.2599999999999999E-2</v>
      </c>
      <c r="CW205" s="230">
        <v>4578</v>
      </c>
      <c r="CX205" s="230">
        <v>4704</v>
      </c>
      <c r="CY205" s="228">
        <v>-125</v>
      </c>
      <c r="CZ205" s="229">
        <v>-2.6599999999999999E-2</v>
      </c>
      <c r="DA205" s="228">
        <v>26.19</v>
      </c>
      <c r="DB205" s="228">
        <v>26.52</v>
      </c>
      <c r="DC205" s="228">
        <v>-0.33</v>
      </c>
      <c r="DD205" s="228">
        <v>-0.33</v>
      </c>
      <c r="DE205" s="228">
        <v>31.63</v>
      </c>
      <c r="DF205" s="228">
        <v>31.64</v>
      </c>
      <c r="DG205" s="228">
        <v>-5.44</v>
      </c>
      <c r="DH205" s="228">
        <v>-0.01</v>
      </c>
      <c r="DI205" s="228">
        <v>25.89</v>
      </c>
      <c r="DJ205" s="228">
        <v>26.33</v>
      </c>
      <c r="DK205" s="228">
        <v>-0.44</v>
      </c>
      <c r="DL205" s="228">
        <v>-0.44</v>
      </c>
      <c r="DM205" s="228">
        <v>26.99</v>
      </c>
      <c r="DN205" s="228">
        <v>26.83</v>
      </c>
      <c r="DO205" s="228">
        <v>0.16</v>
      </c>
      <c r="DP205" s="228">
        <v>0.16</v>
      </c>
      <c r="DQ205" s="228">
        <v>0.72</v>
      </c>
      <c r="DR205" s="228">
        <v>0.65</v>
      </c>
      <c r="DS205" s="228">
        <v>7.0000000000000007E-2</v>
      </c>
      <c r="DT205" s="229">
        <v>0.1077</v>
      </c>
      <c r="DU205" s="231">
        <v>3500</v>
      </c>
      <c r="DV205" s="231">
        <v>3400</v>
      </c>
      <c r="DW205" s="228">
        <v>0.37</v>
      </c>
      <c r="DX205" s="228">
        <v>0.62</v>
      </c>
      <c r="DY205" s="228">
        <v>-0.25</v>
      </c>
      <c r="DZ205" s="229">
        <v>-0.4032</v>
      </c>
      <c r="EA205" s="229">
        <v>1.0999999999999999E-2</v>
      </c>
      <c r="EB205" s="230">
        <v>95550</v>
      </c>
      <c r="EC205" s="229">
        <v>4.3E-3</v>
      </c>
      <c r="ED205" s="229">
        <v>1.0999999999999999E-2</v>
      </c>
      <c r="EE205" s="228">
        <v>15.27</v>
      </c>
      <c r="EF205" s="229">
        <v>4.4000000000000003E-3</v>
      </c>
      <c r="EG205" s="230">
        <v>505327</v>
      </c>
      <c r="EH205" s="230">
        <v>232669</v>
      </c>
      <c r="EI205" s="229">
        <v>1.1718999999999999</v>
      </c>
      <c r="EJ205" s="229">
        <v>0.60550000000000004</v>
      </c>
      <c r="EK205" s="231">
        <v>1667.68</v>
      </c>
      <c r="EL205" s="228">
        <v>572.41</v>
      </c>
      <c r="EM205" s="228">
        <v>420.32</v>
      </c>
      <c r="EN205" s="228">
        <v>84.84</v>
      </c>
      <c r="EO205" s="231">
        <v>2660.41</v>
      </c>
      <c r="EP205" s="231">
        <v>2498.73</v>
      </c>
      <c r="EQ205" s="228">
        <v>161.68</v>
      </c>
      <c r="ER205" s="229">
        <v>6.4699999999999994E-2</v>
      </c>
      <c r="ES205" s="228">
        <v>685.16</v>
      </c>
      <c r="ET205" s="228">
        <v>456.01</v>
      </c>
      <c r="EU205" s="231">
        <v>3423.37</v>
      </c>
      <c r="EV205" s="231">
        <v>35369445</v>
      </c>
      <c r="EW205" s="231">
        <v>4564.55</v>
      </c>
      <c r="EX205" s="231">
        <v>4634.0200000000004</v>
      </c>
      <c r="EY205" s="228">
        <v>-69.47</v>
      </c>
      <c r="EZ205" s="229">
        <v>-1.4999999999999999E-2</v>
      </c>
      <c r="FA205" s="229">
        <v>0.3674</v>
      </c>
      <c r="FB205" s="227" t="s">
        <v>556</v>
      </c>
      <c r="FC205">
        <f t="shared" si="4"/>
        <v>0</v>
      </c>
    </row>
    <row r="206" spans="1:159" ht="17.25" thickBot="1" x14ac:dyDescent="0.3">
      <c r="A206" s="226">
        <v>45936</v>
      </c>
      <c r="B206" s="227" t="s">
        <v>157</v>
      </c>
      <c r="C206" s="227" t="s">
        <v>302</v>
      </c>
      <c r="D206" s="228">
        <v>50</v>
      </c>
      <c r="E206" s="228">
        <v>22</v>
      </c>
      <c r="F206" s="231">
        <v>12097</v>
      </c>
      <c r="G206" s="231">
        <v>12096</v>
      </c>
      <c r="H206" s="228">
        <v>1</v>
      </c>
      <c r="I206" s="229">
        <v>1E-4</v>
      </c>
      <c r="J206" s="231">
        <v>12055</v>
      </c>
      <c r="K206" s="231">
        <v>12019</v>
      </c>
      <c r="L206" s="228">
        <v>36</v>
      </c>
      <c r="M206" s="229">
        <v>3.0000000000000001E-3</v>
      </c>
      <c r="N206" s="231">
        <v>12097</v>
      </c>
      <c r="O206" s="231">
        <v>12096</v>
      </c>
      <c r="P206" s="228">
        <v>1</v>
      </c>
      <c r="Q206" s="229">
        <v>1E-4</v>
      </c>
      <c r="R206" s="231">
        <v>12173</v>
      </c>
      <c r="S206" s="231">
        <v>12155</v>
      </c>
      <c r="T206" s="228">
        <v>18</v>
      </c>
      <c r="U206" s="229">
        <v>1.5E-3</v>
      </c>
      <c r="V206" s="231">
        <v>12250</v>
      </c>
      <c r="W206" s="231">
        <v>12228</v>
      </c>
      <c r="X206" s="228">
        <v>22</v>
      </c>
      <c r="Y206" s="229">
        <v>1.8E-3</v>
      </c>
      <c r="Z206" s="228">
        <v>42</v>
      </c>
      <c r="AA206" s="228">
        <v>77</v>
      </c>
      <c r="AB206" s="228">
        <v>-35</v>
      </c>
      <c r="AC206" s="229">
        <v>3.5000000000000001E-3</v>
      </c>
      <c r="AD206" s="228">
        <v>42</v>
      </c>
      <c r="AE206" s="228">
        <v>77</v>
      </c>
      <c r="AF206" s="228">
        <v>-35</v>
      </c>
      <c r="AG206" s="229">
        <v>3.5000000000000001E-3</v>
      </c>
      <c r="AH206" s="228">
        <v>118</v>
      </c>
      <c r="AI206" s="228">
        <v>136</v>
      </c>
      <c r="AJ206" s="228">
        <v>-18</v>
      </c>
      <c r="AK206" s="229">
        <v>9.7999999999999997E-3</v>
      </c>
      <c r="AL206" s="228">
        <v>195</v>
      </c>
      <c r="AM206" s="228">
        <v>209</v>
      </c>
      <c r="AN206" s="228">
        <v>-14</v>
      </c>
      <c r="AO206" s="229">
        <v>1.6199999999999999E-2</v>
      </c>
      <c r="AP206" s="231">
        <v>12105.84</v>
      </c>
      <c r="AQ206" s="231">
        <v>12167.33</v>
      </c>
      <c r="AR206" s="228">
        <v>0</v>
      </c>
      <c r="AS206" s="228">
        <v>202</v>
      </c>
      <c r="AT206" s="228">
        <v>326</v>
      </c>
      <c r="AU206" s="228">
        <v>-124</v>
      </c>
      <c r="AV206" s="229">
        <v>-0.37980000000000003</v>
      </c>
      <c r="AW206" s="228">
        <v>199</v>
      </c>
      <c r="AX206" s="228">
        <v>316</v>
      </c>
      <c r="AY206" s="228">
        <v>-118</v>
      </c>
      <c r="AZ206" s="229">
        <v>-0.372</v>
      </c>
      <c r="BA206" s="228">
        <v>4</v>
      </c>
      <c r="BB206" s="228">
        <v>9</v>
      </c>
      <c r="BC206" s="228">
        <v>-6</v>
      </c>
      <c r="BD206" s="229">
        <v>-0.60260000000000002</v>
      </c>
      <c r="BE206" s="228">
        <v>0</v>
      </c>
      <c r="BF206" s="228">
        <v>1</v>
      </c>
      <c r="BG206" s="228">
        <v>-1</v>
      </c>
      <c r="BH206" s="229">
        <v>-0.8125</v>
      </c>
      <c r="BI206" s="228">
        <v>816</v>
      </c>
      <c r="BJ206" s="228">
        <v>973</v>
      </c>
      <c r="BK206" s="228">
        <v>-157</v>
      </c>
      <c r="BL206" s="229">
        <v>-0.16159999999999999</v>
      </c>
      <c r="BM206" s="228">
        <v>352</v>
      </c>
      <c r="BN206" s="228">
        <v>590</v>
      </c>
      <c r="BO206" s="228">
        <v>-238</v>
      </c>
      <c r="BP206" s="229">
        <v>-0.40310000000000001</v>
      </c>
      <c r="BQ206" s="230">
        <v>1370</v>
      </c>
      <c r="BR206" s="230">
        <v>1889</v>
      </c>
      <c r="BS206" s="228">
        <v>-519</v>
      </c>
      <c r="BT206" s="229">
        <v>-0.2747</v>
      </c>
      <c r="BU206" s="230">
        <v>109091</v>
      </c>
      <c r="BV206" s="230">
        <v>263963</v>
      </c>
      <c r="BW206" s="230">
        <v>-154872</v>
      </c>
      <c r="BX206" s="229">
        <v>-0.5867</v>
      </c>
      <c r="BY206" s="230">
        <v>2957</v>
      </c>
      <c r="BZ206" s="230">
        <v>2982</v>
      </c>
      <c r="CA206" s="228">
        <v>-26</v>
      </c>
      <c r="CB206" s="229">
        <v>-8.6E-3</v>
      </c>
      <c r="CC206" s="230">
        <v>2935</v>
      </c>
      <c r="CD206" s="230">
        <v>2960</v>
      </c>
      <c r="CE206" s="228">
        <v>-26</v>
      </c>
      <c r="CF206" s="229">
        <v>-8.6E-3</v>
      </c>
      <c r="CG206" s="228">
        <v>21</v>
      </c>
      <c r="CH206" s="228">
        <v>21</v>
      </c>
      <c r="CI206" s="228">
        <v>0</v>
      </c>
      <c r="CJ206" s="229">
        <v>-5.7000000000000002E-3</v>
      </c>
      <c r="CK206" s="228">
        <v>1</v>
      </c>
      <c r="CL206" s="228">
        <v>1</v>
      </c>
      <c r="CM206" s="228">
        <v>0</v>
      </c>
      <c r="CN206" s="229">
        <v>0.125</v>
      </c>
      <c r="CO206" s="228">
        <v>737</v>
      </c>
      <c r="CP206" s="228">
        <v>671</v>
      </c>
      <c r="CQ206" s="228">
        <v>66</v>
      </c>
      <c r="CR206" s="229">
        <v>9.7600000000000006E-2</v>
      </c>
      <c r="CS206" s="228">
        <v>434</v>
      </c>
      <c r="CT206" s="228">
        <v>421</v>
      </c>
      <c r="CU206" s="228">
        <v>13</v>
      </c>
      <c r="CV206" s="229">
        <v>3.0800000000000001E-2</v>
      </c>
      <c r="CW206" s="230">
        <v>4127</v>
      </c>
      <c r="CX206" s="230">
        <v>4074</v>
      </c>
      <c r="CY206" s="228">
        <v>53</v>
      </c>
      <c r="CZ206" s="229">
        <v>1.2999999999999999E-2</v>
      </c>
      <c r="DA206" s="228">
        <v>21.13</v>
      </c>
      <c r="DB206" s="228">
        <v>20.8</v>
      </c>
      <c r="DC206" s="228">
        <v>0.33</v>
      </c>
      <c r="DD206" s="228">
        <v>0.33</v>
      </c>
      <c r="DE206" s="228">
        <v>25.49</v>
      </c>
      <c r="DF206" s="228">
        <v>25.56</v>
      </c>
      <c r="DG206" s="228">
        <v>-4.3600000000000003</v>
      </c>
      <c r="DH206" s="228">
        <v>-7.0000000000000007E-2</v>
      </c>
      <c r="DI206" s="228">
        <v>21.31</v>
      </c>
      <c r="DJ206" s="228">
        <v>20.71</v>
      </c>
      <c r="DK206" s="228">
        <v>0.6</v>
      </c>
      <c r="DL206" s="228">
        <v>0.6</v>
      </c>
      <c r="DM206" s="228">
        <v>20.7</v>
      </c>
      <c r="DN206" s="228">
        <v>20.95</v>
      </c>
      <c r="DO206" s="228">
        <v>-0.25</v>
      </c>
      <c r="DP206" s="228">
        <v>-0.25</v>
      </c>
      <c r="DQ206" s="228">
        <v>0.59</v>
      </c>
      <c r="DR206" s="228">
        <v>0.63</v>
      </c>
      <c r="DS206" s="228">
        <v>-0.04</v>
      </c>
      <c r="DT206" s="229">
        <v>-6.3500000000000001E-2</v>
      </c>
      <c r="DU206" s="231">
        <v>13000</v>
      </c>
      <c r="DV206" s="231">
        <v>12000</v>
      </c>
      <c r="DW206" s="228">
        <v>0.43</v>
      </c>
      <c r="DX206" s="228">
        <v>0.61</v>
      </c>
      <c r="DY206" s="228">
        <v>-0.18</v>
      </c>
      <c r="DZ206" s="229">
        <v>-0.29509999999999997</v>
      </c>
      <c r="EA206" s="229">
        <v>7.4999999999999997E-3</v>
      </c>
      <c r="EB206" s="230">
        <v>18350</v>
      </c>
      <c r="EC206" s="229">
        <v>6.3E-3</v>
      </c>
      <c r="ED206" s="229">
        <v>7.4999999999999997E-3</v>
      </c>
      <c r="EE206" s="228">
        <v>61.49</v>
      </c>
      <c r="EF206" s="229">
        <v>5.1000000000000004E-3</v>
      </c>
      <c r="EG206" s="230">
        <v>64144</v>
      </c>
      <c r="EH206" s="230">
        <v>187463</v>
      </c>
      <c r="EI206" s="229">
        <v>-0.65780000000000005</v>
      </c>
      <c r="EJ206" s="229">
        <v>0.58799999999999997</v>
      </c>
      <c r="EK206" s="228">
        <v>848.76</v>
      </c>
      <c r="EL206" s="228">
        <v>351.57</v>
      </c>
      <c r="EM206" s="228">
        <v>202.49</v>
      </c>
      <c r="EN206" s="228">
        <v>126.21</v>
      </c>
      <c r="EO206" s="231">
        <v>1402.82</v>
      </c>
      <c r="EP206" s="231">
        <v>1916.54</v>
      </c>
      <c r="EQ206" s="228">
        <v>-513.72</v>
      </c>
      <c r="ER206" s="229">
        <v>-0.26800000000000002</v>
      </c>
      <c r="ES206" s="228">
        <v>775.4</v>
      </c>
      <c r="ET206" s="228">
        <v>422.07</v>
      </c>
      <c r="EU206" s="231">
        <v>2957.02</v>
      </c>
      <c r="EV206" s="231">
        <v>11962066</v>
      </c>
      <c r="EW206" s="231">
        <v>4154.4799999999996</v>
      </c>
      <c r="EX206" s="231">
        <v>4098.7700000000004</v>
      </c>
      <c r="EY206" s="228">
        <v>55.71</v>
      </c>
      <c r="EZ206" s="229">
        <v>1.3599999999999999E-2</v>
      </c>
      <c r="FA206" s="229">
        <v>0.28520000000000001</v>
      </c>
      <c r="FB206" s="227" t="s">
        <v>556</v>
      </c>
      <c r="FC206">
        <f t="shared" si="4"/>
        <v>0</v>
      </c>
    </row>
    <row r="207" spans="1:159" ht="17.25" thickBot="1" x14ac:dyDescent="0.3">
      <c r="A207" s="226">
        <v>45936</v>
      </c>
      <c r="B207" s="227" t="s">
        <v>172</v>
      </c>
      <c r="C207" s="227" t="s">
        <v>594</v>
      </c>
      <c r="D207" s="228">
        <v>4425</v>
      </c>
      <c r="E207" s="228">
        <v>22</v>
      </c>
      <c r="F207" s="228">
        <v>137.21</v>
      </c>
      <c r="G207" s="228">
        <v>138.25</v>
      </c>
      <c r="H207" s="228">
        <v>-1.04</v>
      </c>
      <c r="I207" s="229">
        <v>-7.4999999999999997E-3</v>
      </c>
      <c r="J207" s="228">
        <v>136.68</v>
      </c>
      <c r="K207" s="228">
        <v>137.71</v>
      </c>
      <c r="L207" s="228">
        <v>-1.03</v>
      </c>
      <c r="M207" s="229">
        <v>-7.4999999999999997E-3</v>
      </c>
      <c r="N207" s="228">
        <v>137.21</v>
      </c>
      <c r="O207" s="228">
        <v>138.25</v>
      </c>
      <c r="P207" s="228">
        <v>-1.04</v>
      </c>
      <c r="Q207" s="229">
        <v>-7.4999999999999997E-3</v>
      </c>
      <c r="R207" s="228">
        <v>137.9</v>
      </c>
      <c r="S207" s="228">
        <v>139</v>
      </c>
      <c r="T207" s="228">
        <v>-1.1000000000000001</v>
      </c>
      <c r="U207" s="229">
        <v>-7.9000000000000008E-3</v>
      </c>
      <c r="V207" s="228">
        <v>138.82</v>
      </c>
      <c r="W207" s="228">
        <v>139.80000000000001</v>
      </c>
      <c r="X207" s="228">
        <v>-0.98</v>
      </c>
      <c r="Y207" s="229">
        <v>-7.0000000000000001E-3</v>
      </c>
      <c r="Z207" s="228">
        <v>0.53</v>
      </c>
      <c r="AA207" s="228">
        <v>0.54</v>
      </c>
      <c r="AB207" s="228">
        <v>-0.01</v>
      </c>
      <c r="AC207" s="229">
        <v>3.8999999999999998E-3</v>
      </c>
      <c r="AD207" s="228">
        <v>0.53</v>
      </c>
      <c r="AE207" s="228">
        <v>0.54</v>
      </c>
      <c r="AF207" s="228">
        <v>-0.01</v>
      </c>
      <c r="AG207" s="229">
        <v>3.8999999999999998E-3</v>
      </c>
      <c r="AH207" s="228">
        <v>1.22</v>
      </c>
      <c r="AI207" s="228">
        <v>1.29</v>
      </c>
      <c r="AJ207" s="228">
        <v>-7.0000000000000007E-2</v>
      </c>
      <c r="AK207" s="229">
        <v>8.8999999999999999E-3</v>
      </c>
      <c r="AL207" s="228">
        <v>2.14</v>
      </c>
      <c r="AM207" s="228">
        <v>2.09</v>
      </c>
      <c r="AN207" s="228">
        <v>0.05</v>
      </c>
      <c r="AO207" s="229">
        <v>1.5699999999999999E-2</v>
      </c>
      <c r="AP207" s="228">
        <v>136.88999999999999</v>
      </c>
      <c r="AQ207" s="228">
        <v>137.91</v>
      </c>
      <c r="AR207" s="228">
        <v>0</v>
      </c>
      <c r="AS207" s="228">
        <v>263</v>
      </c>
      <c r="AT207" s="228">
        <v>396</v>
      </c>
      <c r="AU207" s="228">
        <v>-133</v>
      </c>
      <c r="AV207" s="229">
        <v>-0.33610000000000001</v>
      </c>
      <c r="AW207" s="228">
        <v>247</v>
      </c>
      <c r="AX207" s="228">
        <v>374</v>
      </c>
      <c r="AY207" s="228">
        <v>-127</v>
      </c>
      <c r="AZ207" s="229">
        <v>-0.33929999999999999</v>
      </c>
      <c r="BA207" s="228">
        <v>15</v>
      </c>
      <c r="BB207" s="228">
        <v>20</v>
      </c>
      <c r="BC207" s="228">
        <v>-5</v>
      </c>
      <c r="BD207" s="229">
        <v>-0.25829999999999997</v>
      </c>
      <c r="BE207" s="228">
        <v>1</v>
      </c>
      <c r="BF207" s="228">
        <v>2</v>
      </c>
      <c r="BG207" s="228">
        <v>-1</v>
      </c>
      <c r="BH207" s="229">
        <v>-0.5484</v>
      </c>
      <c r="BI207" s="228">
        <v>410</v>
      </c>
      <c r="BJ207" s="228">
        <v>714</v>
      </c>
      <c r="BK207" s="228">
        <v>-304</v>
      </c>
      <c r="BL207" s="229">
        <v>-0.4259</v>
      </c>
      <c r="BM207" s="228">
        <v>157</v>
      </c>
      <c r="BN207" s="228">
        <v>357</v>
      </c>
      <c r="BO207" s="228">
        <v>-200</v>
      </c>
      <c r="BP207" s="229">
        <v>-0.56069999999999998</v>
      </c>
      <c r="BQ207" s="228">
        <v>830</v>
      </c>
      <c r="BR207" s="230">
        <v>1467</v>
      </c>
      <c r="BS207" s="228">
        <v>-637</v>
      </c>
      <c r="BT207" s="229">
        <v>-0.43440000000000001</v>
      </c>
      <c r="BU207" s="230">
        <v>10523361</v>
      </c>
      <c r="BV207" s="230">
        <v>12799213</v>
      </c>
      <c r="BW207" s="230">
        <v>-2275852</v>
      </c>
      <c r="BX207" s="229">
        <v>-0.17780000000000001</v>
      </c>
      <c r="BY207" s="230">
        <v>1251</v>
      </c>
      <c r="BZ207" s="230">
        <v>1243</v>
      </c>
      <c r="CA207" s="228">
        <v>8</v>
      </c>
      <c r="CB207" s="229">
        <v>6.4999999999999997E-3</v>
      </c>
      <c r="CC207" s="230">
        <v>1211</v>
      </c>
      <c r="CD207" s="230">
        <v>1207</v>
      </c>
      <c r="CE207" s="228">
        <v>5</v>
      </c>
      <c r="CF207" s="229">
        <v>3.8999999999999998E-3</v>
      </c>
      <c r="CG207" s="228">
        <v>36</v>
      </c>
      <c r="CH207" s="228">
        <v>34</v>
      </c>
      <c r="CI207" s="228">
        <v>3</v>
      </c>
      <c r="CJ207" s="229">
        <v>7.9299999999999995E-2</v>
      </c>
      <c r="CK207" s="228">
        <v>3</v>
      </c>
      <c r="CL207" s="228">
        <v>2</v>
      </c>
      <c r="CM207" s="228">
        <v>1</v>
      </c>
      <c r="CN207" s="229">
        <v>0.27500000000000002</v>
      </c>
      <c r="CO207" s="228">
        <v>340</v>
      </c>
      <c r="CP207" s="228">
        <v>310</v>
      </c>
      <c r="CQ207" s="228">
        <v>30</v>
      </c>
      <c r="CR207" s="229">
        <v>9.6600000000000005E-2</v>
      </c>
      <c r="CS207" s="228">
        <v>220</v>
      </c>
      <c r="CT207" s="228">
        <v>209</v>
      </c>
      <c r="CU207" s="228">
        <v>11</v>
      </c>
      <c r="CV207" s="229">
        <v>5.2900000000000003E-2</v>
      </c>
      <c r="CW207" s="230">
        <v>1810</v>
      </c>
      <c r="CX207" s="230">
        <v>1761</v>
      </c>
      <c r="CY207" s="228">
        <v>49</v>
      </c>
      <c r="CZ207" s="229">
        <v>2.7900000000000001E-2</v>
      </c>
      <c r="DA207" s="228">
        <v>32.43</v>
      </c>
      <c r="DB207" s="228">
        <v>31.25</v>
      </c>
      <c r="DC207" s="228">
        <v>1.18</v>
      </c>
      <c r="DD207" s="228">
        <v>1.18</v>
      </c>
      <c r="DE207" s="228">
        <v>43.06</v>
      </c>
      <c r="DF207" s="228">
        <v>43.16</v>
      </c>
      <c r="DG207" s="228">
        <v>-10.63</v>
      </c>
      <c r="DH207" s="228">
        <v>-0.1</v>
      </c>
      <c r="DI207" s="228">
        <v>32.58</v>
      </c>
      <c r="DJ207" s="228">
        <v>31.39</v>
      </c>
      <c r="DK207" s="228">
        <v>1.19</v>
      </c>
      <c r="DL207" s="228">
        <v>1.19</v>
      </c>
      <c r="DM207" s="228">
        <v>32.04</v>
      </c>
      <c r="DN207" s="228">
        <v>30.98</v>
      </c>
      <c r="DO207" s="228">
        <v>1.06</v>
      </c>
      <c r="DP207" s="228">
        <v>1.06</v>
      </c>
      <c r="DQ207" s="228">
        <v>0.65</v>
      </c>
      <c r="DR207" s="228">
        <v>0.67</v>
      </c>
      <c r="DS207" s="228">
        <v>-0.02</v>
      </c>
      <c r="DT207" s="229">
        <v>-2.9899999999999999E-2</v>
      </c>
      <c r="DU207" s="228">
        <v>140</v>
      </c>
      <c r="DV207" s="228">
        <v>140</v>
      </c>
      <c r="DW207" s="228">
        <v>0.38</v>
      </c>
      <c r="DX207" s="228">
        <v>0.5</v>
      </c>
      <c r="DY207" s="228">
        <v>-0.12</v>
      </c>
      <c r="DZ207" s="229">
        <v>-0.24</v>
      </c>
      <c r="EA207" s="229">
        <v>3.1600000000000003E-2</v>
      </c>
      <c r="EB207" s="230">
        <v>2632875</v>
      </c>
      <c r="EC207" s="229">
        <v>5.0000000000000001E-3</v>
      </c>
      <c r="ED207" s="229">
        <v>3.1600000000000003E-2</v>
      </c>
      <c r="EE207" s="228">
        <v>1.02</v>
      </c>
      <c r="EF207" s="229">
        <v>7.4999999999999997E-3</v>
      </c>
      <c r="EG207" s="230">
        <v>3804021</v>
      </c>
      <c r="EH207" s="230">
        <v>3796416</v>
      </c>
      <c r="EI207" s="229">
        <v>2E-3</v>
      </c>
      <c r="EJ207" s="229">
        <v>0.36149999999999999</v>
      </c>
      <c r="EK207" s="228">
        <v>431.39</v>
      </c>
      <c r="EL207" s="228">
        <v>158.44</v>
      </c>
      <c r="EM207" s="228">
        <v>262.70999999999998</v>
      </c>
      <c r="EN207" s="228">
        <v>87.65</v>
      </c>
      <c r="EO207" s="228">
        <v>852.53</v>
      </c>
      <c r="EP207" s="231">
        <v>1519.27</v>
      </c>
      <c r="EQ207" s="228">
        <v>-666.73</v>
      </c>
      <c r="ER207" s="229">
        <v>-0.43890000000000001</v>
      </c>
      <c r="ES207" s="228">
        <v>355.29</v>
      </c>
      <c r="ET207" s="228">
        <v>216.25</v>
      </c>
      <c r="EU207" s="231">
        <v>1250.96</v>
      </c>
      <c r="EV207" s="231">
        <v>289041713</v>
      </c>
      <c r="EW207" s="231">
        <v>1822.5</v>
      </c>
      <c r="EX207" s="231">
        <v>1782.28</v>
      </c>
      <c r="EY207" s="228">
        <v>40.22</v>
      </c>
      <c r="EZ207" s="229">
        <v>2.2599999999999999E-2</v>
      </c>
      <c r="FA207" s="229">
        <v>0.45650000000000002</v>
      </c>
      <c r="FB207" s="227" t="s">
        <v>567</v>
      </c>
      <c r="FC207">
        <f t="shared" si="4"/>
        <v>0</v>
      </c>
    </row>
    <row r="208" spans="1:159" ht="17.25" thickBot="1" x14ac:dyDescent="0.3">
      <c r="A208" s="226">
        <v>45936</v>
      </c>
      <c r="B208" s="227" t="s">
        <v>168</v>
      </c>
      <c r="C208" s="227" t="s">
        <v>569</v>
      </c>
      <c r="D208" s="228">
        <v>400</v>
      </c>
      <c r="E208" s="228">
        <v>22</v>
      </c>
      <c r="F208" s="231">
        <v>1366.6</v>
      </c>
      <c r="G208" s="231">
        <v>1369.5</v>
      </c>
      <c r="H208" s="228">
        <v>-2.9</v>
      </c>
      <c r="I208" s="229">
        <v>-2.0999999999999999E-3</v>
      </c>
      <c r="J208" s="231">
        <v>1361</v>
      </c>
      <c r="K208" s="231">
        <v>1362.6</v>
      </c>
      <c r="L208" s="228">
        <v>-1.6</v>
      </c>
      <c r="M208" s="229">
        <v>-1.1999999999999999E-3</v>
      </c>
      <c r="N208" s="231">
        <v>1366.6</v>
      </c>
      <c r="O208" s="231">
        <v>1369.5</v>
      </c>
      <c r="P208" s="228">
        <v>-2.9</v>
      </c>
      <c r="Q208" s="229">
        <v>-2.0999999999999999E-3</v>
      </c>
      <c r="R208" s="231">
        <v>1374.7</v>
      </c>
      <c r="S208" s="231">
        <v>1376.7</v>
      </c>
      <c r="T208" s="228">
        <v>-2</v>
      </c>
      <c r="U208" s="229">
        <v>-1.5E-3</v>
      </c>
      <c r="V208" s="231">
        <v>1382</v>
      </c>
      <c r="W208" s="231">
        <v>1383.6</v>
      </c>
      <c r="X208" s="228">
        <v>-1.6</v>
      </c>
      <c r="Y208" s="229">
        <v>-1.1999999999999999E-3</v>
      </c>
      <c r="Z208" s="228">
        <v>5.6</v>
      </c>
      <c r="AA208" s="228">
        <v>6.9</v>
      </c>
      <c r="AB208" s="228">
        <v>-1.3</v>
      </c>
      <c r="AC208" s="229">
        <v>4.1000000000000003E-3</v>
      </c>
      <c r="AD208" s="228">
        <v>5.6</v>
      </c>
      <c r="AE208" s="228">
        <v>6.9</v>
      </c>
      <c r="AF208" s="228">
        <v>-1.3</v>
      </c>
      <c r="AG208" s="229">
        <v>4.1000000000000003E-3</v>
      </c>
      <c r="AH208" s="228">
        <v>13.7</v>
      </c>
      <c r="AI208" s="228">
        <v>14.1</v>
      </c>
      <c r="AJ208" s="228">
        <v>-0.4</v>
      </c>
      <c r="AK208" s="229">
        <v>1.01E-2</v>
      </c>
      <c r="AL208" s="228">
        <v>21</v>
      </c>
      <c r="AM208" s="228">
        <v>21</v>
      </c>
      <c r="AN208" s="228">
        <v>0</v>
      </c>
      <c r="AO208" s="229">
        <v>1.54E-2</v>
      </c>
      <c r="AP208" s="231">
        <v>1361.17</v>
      </c>
      <c r="AQ208" s="231">
        <v>1369.74</v>
      </c>
      <c r="AR208" s="228">
        <v>0</v>
      </c>
      <c r="AS208" s="228">
        <v>142</v>
      </c>
      <c r="AT208" s="228">
        <v>194</v>
      </c>
      <c r="AU208" s="228">
        <v>-52</v>
      </c>
      <c r="AV208" s="229">
        <v>-0.26779999999999998</v>
      </c>
      <c r="AW208" s="228">
        <v>131</v>
      </c>
      <c r="AX208" s="228">
        <v>183</v>
      </c>
      <c r="AY208" s="228">
        <v>-53</v>
      </c>
      <c r="AZ208" s="229">
        <v>-0.28739999999999999</v>
      </c>
      <c r="BA208" s="228">
        <v>11</v>
      </c>
      <c r="BB208" s="228">
        <v>10</v>
      </c>
      <c r="BC208" s="228">
        <v>1</v>
      </c>
      <c r="BD208" s="229">
        <v>6.9900000000000004E-2</v>
      </c>
      <c r="BE208" s="228">
        <v>1</v>
      </c>
      <c r="BF208" s="228">
        <v>1</v>
      </c>
      <c r="BG208" s="228">
        <v>0</v>
      </c>
      <c r="BH208" s="229">
        <v>0</v>
      </c>
      <c r="BI208" s="228">
        <v>415</v>
      </c>
      <c r="BJ208" s="228">
        <v>661</v>
      </c>
      <c r="BK208" s="228">
        <v>-246</v>
      </c>
      <c r="BL208" s="229">
        <v>-0.37169999999999997</v>
      </c>
      <c r="BM208" s="228">
        <v>124</v>
      </c>
      <c r="BN208" s="228">
        <v>153</v>
      </c>
      <c r="BO208" s="228">
        <v>-29</v>
      </c>
      <c r="BP208" s="229">
        <v>-0.19109999999999999</v>
      </c>
      <c r="BQ208" s="228">
        <v>681</v>
      </c>
      <c r="BR208" s="230">
        <v>1009</v>
      </c>
      <c r="BS208" s="228">
        <v>-327</v>
      </c>
      <c r="BT208" s="229">
        <v>-0.32429999999999998</v>
      </c>
      <c r="BU208" s="230">
        <v>440040</v>
      </c>
      <c r="BV208" s="230">
        <v>1087554</v>
      </c>
      <c r="BW208" s="230">
        <v>-647514</v>
      </c>
      <c r="BX208" s="229">
        <v>-0.59540000000000004</v>
      </c>
      <c r="BY208" s="230">
        <v>1885</v>
      </c>
      <c r="BZ208" s="230">
        <v>1894</v>
      </c>
      <c r="CA208" s="228">
        <v>-9</v>
      </c>
      <c r="CB208" s="229">
        <v>-4.5999999999999999E-3</v>
      </c>
      <c r="CC208" s="230">
        <v>1845</v>
      </c>
      <c r="CD208" s="230">
        <v>1858</v>
      </c>
      <c r="CE208" s="228">
        <v>-13</v>
      </c>
      <c r="CF208" s="229">
        <v>-6.8999999999999999E-3</v>
      </c>
      <c r="CG208" s="228">
        <v>39</v>
      </c>
      <c r="CH208" s="228">
        <v>35</v>
      </c>
      <c r="CI208" s="228">
        <v>4</v>
      </c>
      <c r="CJ208" s="229">
        <v>0.1084</v>
      </c>
      <c r="CK208" s="228">
        <v>2</v>
      </c>
      <c r="CL208" s="228">
        <v>1</v>
      </c>
      <c r="CM208" s="228">
        <v>0</v>
      </c>
      <c r="CN208" s="229">
        <v>0.2727</v>
      </c>
      <c r="CO208" s="228">
        <v>507</v>
      </c>
      <c r="CP208" s="228">
        <v>455</v>
      </c>
      <c r="CQ208" s="228">
        <v>53</v>
      </c>
      <c r="CR208" s="229">
        <v>0.11600000000000001</v>
      </c>
      <c r="CS208" s="228">
        <v>300</v>
      </c>
      <c r="CT208" s="228">
        <v>286</v>
      </c>
      <c r="CU208" s="228">
        <v>14</v>
      </c>
      <c r="CV208" s="229">
        <v>4.9399999999999999E-2</v>
      </c>
      <c r="CW208" s="230">
        <v>2692</v>
      </c>
      <c r="CX208" s="230">
        <v>2634</v>
      </c>
      <c r="CY208" s="228">
        <v>58</v>
      </c>
      <c r="CZ208" s="229">
        <v>2.2100000000000002E-2</v>
      </c>
      <c r="DA208" s="228">
        <v>23.63</v>
      </c>
      <c r="DB208" s="228">
        <v>23.18</v>
      </c>
      <c r="DC208" s="228">
        <v>0.45</v>
      </c>
      <c r="DD208" s="228">
        <v>0.45</v>
      </c>
      <c r="DE208" s="228">
        <v>28.38</v>
      </c>
      <c r="DF208" s="228">
        <v>28.45</v>
      </c>
      <c r="DG208" s="228">
        <v>-4.75</v>
      </c>
      <c r="DH208" s="228">
        <v>-7.0000000000000007E-2</v>
      </c>
      <c r="DI208" s="228">
        <v>23.81</v>
      </c>
      <c r="DJ208" s="228">
        <v>23.29</v>
      </c>
      <c r="DK208" s="228">
        <v>0.52</v>
      </c>
      <c r="DL208" s="228">
        <v>0.52</v>
      </c>
      <c r="DM208" s="228">
        <v>23.04</v>
      </c>
      <c r="DN208" s="228">
        <v>22.69</v>
      </c>
      <c r="DO208" s="228">
        <v>0.35</v>
      </c>
      <c r="DP208" s="228">
        <v>0.35</v>
      </c>
      <c r="DQ208" s="228">
        <v>0.59</v>
      </c>
      <c r="DR208" s="228">
        <v>0.63</v>
      </c>
      <c r="DS208" s="228">
        <v>-0.04</v>
      </c>
      <c r="DT208" s="229">
        <v>-6.3500000000000001E-2</v>
      </c>
      <c r="DU208" s="231">
        <v>1520</v>
      </c>
      <c r="DV208" s="231">
        <v>1300</v>
      </c>
      <c r="DW208" s="228">
        <v>0.3</v>
      </c>
      <c r="DX208" s="228">
        <v>0.23</v>
      </c>
      <c r="DY208" s="228">
        <v>7.0000000000000007E-2</v>
      </c>
      <c r="DZ208" s="229">
        <v>0.30430000000000001</v>
      </c>
      <c r="EA208" s="229">
        <v>2.1600000000000001E-2</v>
      </c>
      <c r="EB208" s="230">
        <v>267200</v>
      </c>
      <c r="EC208" s="229">
        <v>5.8999999999999999E-3</v>
      </c>
      <c r="ED208" s="229">
        <v>2.1600000000000001E-2</v>
      </c>
      <c r="EE208" s="228">
        <v>8.57</v>
      </c>
      <c r="EF208" s="229">
        <v>6.3E-3</v>
      </c>
      <c r="EG208" s="230">
        <v>200432</v>
      </c>
      <c r="EH208" s="230">
        <v>705093</v>
      </c>
      <c r="EI208" s="229">
        <v>-0.7157</v>
      </c>
      <c r="EJ208" s="229">
        <v>0.45550000000000002</v>
      </c>
      <c r="EK208" s="228">
        <v>435.24</v>
      </c>
      <c r="EL208" s="228">
        <v>121.6</v>
      </c>
      <c r="EM208" s="228">
        <v>141.53</v>
      </c>
      <c r="EN208" s="228">
        <v>103.98</v>
      </c>
      <c r="EO208" s="228">
        <v>698.37</v>
      </c>
      <c r="EP208" s="231">
        <v>1036.75</v>
      </c>
      <c r="EQ208" s="228">
        <v>-338.38</v>
      </c>
      <c r="ER208" s="229">
        <v>-0.32640000000000002</v>
      </c>
      <c r="ES208" s="228">
        <v>528.9</v>
      </c>
      <c r="ET208" s="228">
        <v>297.07</v>
      </c>
      <c r="EU208" s="231">
        <v>1885.61</v>
      </c>
      <c r="EV208" s="231">
        <v>47269416</v>
      </c>
      <c r="EW208" s="231">
        <v>2711.59</v>
      </c>
      <c r="EX208" s="231">
        <v>2654.3</v>
      </c>
      <c r="EY208" s="228">
        <v>57.29</v>
      </c>
      <c r="EZ208" s="229">
        <v>2.1600000000000001E-2</v>
      </c>
      <c r="FA208" s="229">
        <v>0.4168</v>
      </c>
      <c r="FB208" s="227" t="s">
        <v>568</v>
      </c>
      <c r="FC208">
        <f t="shared" si="4"/>
        <v>0</v>
      </c>
    </row>
    <row r="209" spans="1:159" ht="17.25" thickBot="1" x14ac:dyDescent="0.3">
      <c r="A209" s="226">
        <v>45936</v>
      </c>
      <c r="B209" s="227" t="s">
        <v>162</v>
      </c>
      <c r="C209" s="227" t="s">
        <v>676</v>
      </c>
      <c r="D209" s="228">
        <v>550</v>
      </c>
      <c r="E209" s="228">
        <v>22</v>
      </c>
      <c r="F209" s="231">
        <v>1332.6</v>
      </c>
      <c r="G209" s="231">
        <v>1314.8</v>
      </c>
      <c r="H209" s="228">
        <v>17.8</v>
      </c>
      <c r="I209" s="229">
        <v>1.35E-2</v>
      </c>
      <c r="J209" s="231">
        <v>1335.9</v>
      </c>
      <c r="K209" s="231">
        <v>1316</v>
      </c>
      <c r="L209" s="228">
        <v>19.899999999999999</v>
      </c>
      <c r="M209" s="229">
        <v>1.5100000000000001E-2</v>
      </c>
      <c r="N209" s="231">
        <v>1332.6</v>
      </c>
      <c r="O209" s="231">
        <v>1314.8</v>
      </c>
      <c r="P209" s="228">
        <v>17.8</v>
      </c>
      <c r="Q209" s="229">
        <v>1.35E-2</v>
      </c>
      <c r="R209" s="231">
        <v>1336.6</v>
      </c>
      <c r="S209" s="231">
        <v>1315.4</v>
      </c>
      <c r="T209" s="228">
        <v>21.2</v>
      </c>
      <c r="U209" s="229">
        <v>1.61E-2</v>
      </c>
      <c r="V209" s="231">
        <v>1316</v>
      </c>
      <c r="W209" s="231">
        <v>1316</v>
      </c>
      <c r="X209" s="228">
        <v>0</v>
      </c>
      <c r="Y209" s="229">
        <v>0</v>
      </c>
      <c r="Z209" s="228">
        <v>-3.3</v>
      </c>
      <c r="AA209" s="228">
        <v>-1.2</v>
      </c>
      <c r="AB209" s="228">
        <v>-2.1</v>
      </c>
      <c r="AC209" s="229">
        <v>-2.5000000000000001E-3</v>
      </c>
      <c r="AD209" s="228">
        <v>-3.3</v>
      </c>
      <c r="AE209" s="228">
        <v>-1.2</v>
      </c>
      <c r="AF209" s="228">
        <v>-2.1</v>
      </c>
      <c r="AG209" s="229">
        <v>-2.5000000000000001E-3</v>
      </c>
      <c r="AH209" s="228">
        <v>0.7</v>
      </c>
      <c r="AI209" s="228">
        <v>-0.6</v>
      </c>
      <c r="AJ209" s="228">
        <v>1.3</v>
      </c>
      <c r="AK209" s="229">
        <v>5.0000000000000001E-4</v>
      </c>
      <c r="AL209" s="228">
        <v>-19.899999999999999</v>
      </c>
      <c r="AM209" s="228">
        <v>0</v>
      </c>
      <c r="AN209" s="228">
        <v>-19.899999999999999</v>
      </c>
      <c r="AO209" s="229">
        <v>-1.49E-2</v>
      </c>
      <c r="AP209" s="231">
        <v>1327.05</v>
      </c>
      <c r="AQ209" s="231">
        <v>1327.16</v>
      </c>
      <c r="AR209" s="228">
        <v>0</v>
      </c>
      <c r="AS209" s="228">
        <v>66</v>
      </c>
      <c r="AT209" s="228">
        <v>66</v>
      </c>
      <c r="AU209" s="228">
        <v>0</v>
      </c>
      <c r="AV209" s="229">
        <v>-3.3E-3</v>
      </c>
      <c r="AW209" s="228">
        <v>63</v>
      </c>
      <c r="AX209" s="228">
        <v>61</v>
      </c>
      <c r="AY209" s="228">
        <v>2</v>
      </c>
      <c r="AZ209" s="229">
        <v>3.1399999999999997E-2</v>
      </c>
      <c r="BA209" s="228">
        <v>3</v>
      </c>
      <c r="BB209" s="228">
        <v>5</v>
      </c>
      <c r="BC209" s="228">
        <v>-2</v>
      </c>
      <c r="BD209" s="229">
        <v>-0.30880000000000002</v>
      </c>
      <c r="BE209" s="228">
        <v>0</v>
      </c>
      <c r="BF209" s="228">
        <v>1</v>
      </c>
      <c r="BG209" s="228">
        <v>-1</v>
      </c>
      <c r="BH209" s="229">
        <v>-1</v>
      </c>
      <c r="BI209" s="228">
        <v>174</v>
      </c>
      <c r="BJ209" s="228">
        <v>81</v>
      </c>
      <c r="BK209" s="228">
        <v>93</v>
      </c>
      <c r="BL209" s="229">
        <v>1.1537999999999999</v>
      </c>
      <c r="BM209" s="228">
        <v>32</v>
      </c>
      <c r="BN209" s="228">
        <v>39</v>
      </c>
      <c r="BO209" s="228">
        <v>-7</v>
      </c>
      <c r="BP209" s="229">
        <v>-0.1714</v>
      </c>
      <c r="BQ209" s="228">
        <v>273</v>
      </c>
      <c r="BR209" s="228">
        <v>186</v>
      </c>
      <c r="BS209" s="228">
        <v>87</v>
      </c>
      <c r="BT209" s="229">
        <v>0.46510000000000001</v>
      </c>
      <c r="BU209" s="230">
        <v>828068</v>
      </c>
      <c r="BV209" s="230">
        <v>656410</v>
      </c>
      <c r="BW209" s="230">
        <v>171658</v>
      </c>
      <c r="BX209" s="229">
        <v>0.26150000000000001</v>
      </c>
      <c r="BY209" s="228">
        <v>387</v>
      </c>
      <c r="BZ209" s="228">
        <v>392</v>
      </c>
      <c r="CA209" s="228">
        <v>-5</v>
      </c>
      <c r="CB209" s="229">
        <v>-1.2500000000000001E-2</v>
      </c>
      <c r="CC209" s="228">
        <v>377</v>
      </c>
      <c r="CD209" s="228">
        <v>383</v>
      </c>
      <c r="CE209" s="228">
        <v>-6</v>
      </c>
      <c r="CF209" s="229">
        <v>-1.5699999999999999E-2</v>
      </c>
      <c r="CG209" s="228">
        <v>9</v>
      </c>
      <c r="CH209" s="228">
        <v>8</v>
      </c>
      <c r="CI209" s="228">
        <v>1</v>
      </c>
      <c r="CJ209" s="229">
        <v>0.13639999999999999</v>
      </c>
      <c r="CK209" s="228">
        <v>1</v>
      </c>
      <c r="CL209" s="228">
        <v>1</v>
      </c>
      <c r="CM209" s="228">
        <v>0</v>
      </c>
      <c r="CN209" s="229">
        <v>0</v>
      </c>
      <c r="CO209" s="228">
        <v>93</v>
      </c>
      <c r="CP209" s="228">
        <v>84</v>
      </c>
      <c r="CQ209" s="228">
        <v>9</v>
      </c>
      <c r="CR209" s="229">
        <v>0.10199999999999999</v>
      </c>
      <c r="CS209" s="228">
        <v>69</v>
      </c>
      <c r="CT209" s="228">
        <v>69</v>
      </c>
      <c r="CU209" s="228">
        <v>0</v>
      </c>
      <c r="CV209" s="229">
        <v>-1.1000000000000001E-3</v>
      </c>
      <c r="CW209" s="228">
        <v>549</v>
      </c>
      <c r="CX209" s="228">
        <v>545</v>
      </c>
      <c r="CY209" s="228">
        <v>4</v>
      </c>
      <c r="CZ209" s="229">
        <v>6.6E-3</v>
      </c>
      <c r="DA209" s="228">
        <v>28.51</v>
      </c>
      <c r="DB209" s="228">
        <v>26.57</v>
      </c>
      <c r="DC209" s="228">
        <v>1.94</v>
      </c>
      <c r="DD209" s="228">
        <v>1.94</v>
      </c>
      <c r="DE209" s="228">
        <v>41.87</v>
      </c>
      <c r="DF209" s="228">
        <v>41.94</v>
      </c>
      <c r="DG209" s="228">
        <v>-13.36</v>
      </c>
      <c r="DH209" s="228">
        <v>-7.0000000000000007E-2</v>
      </c>
      <c r="DI209" s="228">
        <v>28.51</v>
      </c>
      <c r="DJ209" s="228">
        <v>26.47</v>
      </c>
      <c r="DK209" s="228">
        <v>2.04</v>
      </c>
      <c r="DL209" s="228">
        <v>2.04</v>
      </c>
      <c r="DM209" s="228">
        <v>28.5</v>
      </c>
      <c r="DN209" s="228">
        <v>26.77</v>
      </c>
      <c r="DO209" s="228">
        <v>1.73</v>
      </c>
      <c r="DP209" s="228">
        <v>1.73</v>
      </c>
      <c r="DQ209" s="228">
        <v>0.75</v>
      </c>
      <c r="DR209" s="228">
        <v>0.82</v>
      </c>
      <c r="DS209" s="228">
        <v>-7.0000000000000007E-2</v>
      </c>
      <c r="DT209" s="229">
        <v>-8.5400000000000004E-2</v>
      </c>
      <c r="DU209" s="231">
        <v>1340</v>
      </c>
      <c r="DV209" s="231">
        <v>1200</v>
      </c>
      <c r="DW209" s="228">
        <v>0.18</v>
      </c>
      <c r="DX209" s="228">
        <v>0.48</v>
      </c>
      <c r="DY209" s="228">
        <v>-0.3</v>
      </c>
      <c r="DZ209" s="229">
        <v>-0.625</v>
      </c>
      <c r="EA209" s="229">
        <v>2.58E-2</v>
      </c>
      <c r="EB209" s="230">
        <v>66550</v>
      </c>
      <c r="EC209" s="229">
        <v>3.0000000000000001E-3</v>
      </c>
      <c r="ED209" s="229">
        <v>2.58E-2</v>
      </c>
      <c r="EE209" s="228">
        <v>0.11</v>
      </c>
      <c r="EF209" s="229">
        <v>1E-4</v>
      </c>
      <c r="EG209" s="230">
        <v>504820</v>
      </c>
      <c r="EH209" s="230">
        <v>412736</v>
      </c>
      <c r="EI209" s="229">
        <v>0.22309999999999999</v>
      </c>
      <c r="EJ209" s="229">
        <v>0.60960000000000003</v>
      </c>
      <c r="EK209" s="228">
        <v>181.3</v>
      </c>
      <c r="EL209" s="228">
        <v>31.72</v>
      </c>
      <c r="EM209" s="228">
        <v>65.69</v>
      </c>
      <c r="EN209" s="228">
        <v>28.85</v>
      </c>
      <c r="EO209" s="228">
        <v>278.70999999999998</v>
      </c>
      <c r="EP209" s="228">
        <v>186.68</v>
      </c>
      <c r="EQ209" s="228">
        <v>92.02</v>
      </c>
      <c r="ER209" s="229">
        <v>0.4929</v>
      </c>
      <c r="ES209" s="228">
        <v>93.91</v>
      </c>
      <c r="ET209" s="228">
        <v>65.239999999999995</v>
      </c>
      <c r="EU209" s="228">
        <v>386.86</v>
      </c>
      <c r="EV209" s="231">
        <v>22813802</v>
      </c>
      <c r="EW209" s="228">
        <v>546.02</v>
      </c>
      <c r="EX209" s="228">
        <v>536.46</v>
      </c>
      <c r="EY209" s="228">
        <v>9.56</v>
      </c>
      <c r="EZ209" s="229">
        <v>1.78E-2</v>
      </c>
      <c r="FA209" s="229">
        <v>0.18049999999999999</v>
      </c>
      <c r="FB209" s="227" t="s">
        <v>556</v>
      </c>
      <c r="FC209">
        <f t="shared" si="4"/>
        <v>0</v>
      </c>
    </row>
    <row r="210" spans="1:159" ht="17.25" thickBot="1" x14ac:dyDescent="0.3">
      <c r="A210" s="226">
        <v>45936</v>
      </c>
      <c r="B210" s="227" t="s">
        <v>498</v>
      </c>
      <c r="C210" s="227" t="s">
        <v>303</v>
      </c>
      <c r="D210" s="228">
        <v>1355</v>
      </c>
      <c r="E210" s="228">
        <v>22</v>
      </c>
      <c r="F210" s="228">
        <v>683.7</v>
      </c>
      <c r="G210" s="228">
        <v>677.45</v>
      </c>
      <c r="H210" s="228">
        <v>6.25</v>
      </c>
      <c r="I210" s="229">
        <v>9.1999999999999998E-3</v>
      </c>
      <c r="J210" s="228">
        <v>681.35</v>
      </c>
      <c r="K210" s="228">
        <v>674</v>
      </c>
      <c r="L210" s="228">
        <v>7.35</v>
      </c>
      <c r="M210" s="229">
        <v>1.09E-2</v>
      </c>
      <c r="N210" s="228">
        <v>683.7</v>
      </c>
      <c r="O210" s="228">
        <v>677.45</v>
      </c>
      <c r="P210" s="228">
        <v>6.25</v>
      </c>
      <c r="Q210" s="229">
        <v>9.1999999999999998E-3</v>
      </c>
      <c r="R210" s="228">
        <v>687</v>
      </c>
      <c r="S210" s="228">
        <v>680.9</v>
      </c>
      <c r="T210" s="228">
        <v>6.1</v>
      </c>
      <c r="U210" s="229">
        <v>8.9999999999999993E-3</v>
      </c>
      <c r="V210" s="228">
        <v>691.6</v>
      </c>
      <c r="W210" s="228">
        <v>684</v>
      </c>
      <c r="X210" s="228">
        <v>7.6</v>
      </c>
      <c r="Y210" s="229">
        <v>1.11E-2</v>
      </c>
      <c r="Z210" s="228">
        <v>2.35</v>
      </c>
      <c r="AA210" s="228">
        <v>3.45</v>
      </c>
      <c r="AB210" s="228">
        <v>-1.1000000000000001</v>
      </c>
      <c r="AC210" s="229">
        <v>3.3999999999999998E-3</v>
      </c>
      <c r="AD210" s="228">
        <v>2.35</v>
      </c>
      <c r="AE210" s="228">
        <v>3.45</v>
      </c>
      <c r="AF210" s="228">
        <v>-1.1000000000000001</v>
      </c>
      <c r="AG210" s="229">
        <v>3.3999999999999998E-3</v>
      </c>
      <c r="AH210" s="228">
        <v>5.65</v>
      </c>
      <c r="AI210" s="228">
        <v>6.9</v>
      </c>
      <c r="AJ210" s="228">
        <v>-1.25</v>
      </c>
      <c r="AK210" s="229">
        <v>8.3000000000000001E-3</v>
      </c>
      <c r="AL210" s="228">
        <v>10.25</v>
      </c>
      <c r="AM210" s="228">
        <v>10</v>
      </c>
      <c r="AN210" s="228">
        <v>0.25</v>
      </c>
      <c r="AO210" s="229">
        <v>1.4999999999999999E-2</v>
      </c>
      <c r="AP210" s="228">
        <v>680.18</v>
      </c>
      <c r="AQ210" s="228">
        <v>683.13</v>
      </c>
      <c r="AR210" s="228">
        <v>0</v>
      </c>
      <c r="AS210" s="228">
        <v>232</v>
      </c>
      <c r="AT210" s="228">
        <v>491</v>
      </c>
      <c r="AU210" s="228">
        <v>-259</v>
      </c>
      <c r="AV210" s="229">
        <v>-0.52700000000000002</v>
      </c>
      <c r="AW210" s="228">
        <v>220</v>
      </c>
      <c r="AX210" s="228">
        <v>466</v>
      </c>
      <c r="AY210" s="228">
        <v>-247</v>
      </c>
      <c r="AZ210" s="229">
        <v>-0.52849999999999997</v>
      </c>
      <c r="BA210" s="228">
        <v>11</v>
      </c>
      <c r="BB210" s="228">
        <v>21</v>
      </c>
      <c r="BC210" s="228">
        <v>-10</v>
      </c>
      <c r="BD210" s="229">
        <v>-0.4622</v>
      </c>
      <c r="BE210" s="228">
        <v>1</v>
      </c>
      <c r="BF210" s="228">
        <v>4</v>
      </c>
      <c r="BG210" s="228">
        <v>-3</v>
      </c>
      <c r="BH210" s="229">
        <v>-0.71050000000000002</v>
      </c>
      <c r="BI210" s="228">
        <v>629</v>
      </c>
      <c r="BJ210" s="230">
        <v>1503</v>
      </c>
      <c r="BK210" s="228">
        <v>-874</v>
      </c>
      <c r="BL210" s="229">
        <v>-0.58150000000000002</v>
      </c>
      <c r="BM210" s="228">
        <v>258</v>
      </c>
      <c r="BN210" s="228">
        <v>505</v>
      </c>
      <c r="BO210" s="228">
        <v>-247</v>
      </c>
      <c r="BP210" s="229">
        <v>-0.48970000000000002</v>
      </c>
      <c r="BQ210" s="230">
        <v>1119</v>
      </c>
      <c r="BR210" s="230">
        <v>2499</v>
      </c>
      <c r="BS210" s="230">
        <v>-1380</v>
      </c>
      <c r="BT210" s="229">
        <v>-0.55230000000000001</v>
      </c>
      <c r="BU210" s="230">
        <v>915680</v>
      </c>
      <c r="BV210" s="230">
        <v>3832562</v>
      </c>
      <c r="BW210" s="230">
        <v>-2916882</v>
      </c>
      <c r="BX210" s="229">
        <v>-0.7611</v>
      </c>
      <c r="BY210" s="230">
        <v>2306</v>
      </c>
      <c r="BZ210" s="230">
        <v>2329</v>
      </c>
      <c r="CA210" s="228">
        <v>-23</v>
      </c>
      <c r="CB210" s="229">
        <v>-9.9000000000000008E-3</v>
      </c>
      <c r="CC210" s="230">
        <v>2257</v>
      </c>
      <c r="CD210" s="230">
        <v>2279</v>
      </c>
      <c r="CE210" s="228">
        <v>-22</v>
      </c>
      <c r="CF210" s="229">
        <v>-9.5999999999999992E-3</v>
      </c>
      <c r="CG210" s="228">
        <v>45</v>
      </c>
      <c r="CH210" s="228">
        <v>46</v>
      </c>
      <c r="CI210" s="228">
        <v>-2</v>
      </c>
      <c r="CJ210" s="229">
        <v>-3.39E-2</v>
      </c>
      <c r="CK210" s="228">
        <v>4</v>
      </c>
      <c r="CL210" s="228">
        <v>3</v>
      </c>
      <c r="CM210" s="228">
        <v>1</v>
      </c>
      <c r="CN210" s="229">
        <v>0.1714</v>
      </c>
      <c r="CO210" s="228">
        <v>463</v>
      </c>
      <c r="CP210" s="228">
        <v>458</v>
      </c>
      <c r="CQ210" s="228">
        <v>6</v>
      </c>
      <c r="CR210" s="229">
        <v>1.21E-2</v>
      </c>
      <c r="CS210" s="228">
        <v>312</v>
      </c>
      <c r="CT210" s="228">
        <v>313</v>
      </c>
      <c r="CU210" s="228">
        <v>0</v>
      </c>
      <c r="CV210" s="229">
        <v>-1.1999999999999999E-3</v>
      </c>
      <c r="CW210" s="230">
        <v>3082</v>
      </c>
      <c r="CX210" s="230">
        <v>3099</v>
      </c>
      <c r="CY210" s="228">
        <v>-18</v>
      </c>
      <c r="CZ210" s="229">
        <v>-5.7000000000000002E-3</v>
      </c>
      <c r="DA210" s="228">
        <v>24.98</v>
      </c>
      <c r="DB210" s="228">
        <v>24.37</v>
      </c>
      <c r="DC210" s="228">
        <v>0.61</v>
      </c>
      <c r="DD210" s="228">
        <v>0.61</v>
      </c>
      <c r="DE210" s="228">
        <v>34.409999999999997</v>
      </c>
      <c r="DF210" s="228">
        <v>34.479999999999997</v>
      </c>
      <c r="DG210" s="228">
        <v>-9.43</v>
      </c>
      <c r="DH210" s="228">
        <v>-7.0000000000000007E-2</v>
      </c>
      <c r="DI210" s="228">
        <v>24.74</v>
      </c>
      <c r="DJ210" s="228">
        <v>24.22</v>
      </c>
      <c r="DK210" s="228">
        <v>0.52</v>
      </c>
      <c r="DL210" s="228">
        <v>0.52</v>
      </c>
      <c r="DM210" s="228">
        <v>25.57</v>
      </c>
      <c r="DN210" s="228">
        <v>24.81</v>
      </c>
      <c r="DO210" s="228">
        <v>0.76</v>
      </c>
      <c r="DP210" s="228">
        <v>0.76</v>
      </c>
      <c r="DQ210" s="228">
        <v>0.67</v>
      </c>
      <c r="DR210" s="228">
        <v>0.68</v>
      </c>
      <c r="DS210" s="228">
        <v>-0.01</v>
      </c>
      <c r="DT210" s="229">
        <v>-1.47E-2</v>
      </c>
      <c r="DU210" s="228">
        <v>700</v>
      </c>
      <c r="DV210" s="228">
        <v>680</v>
      </c>
      <c r="DW210" s="228">
        <v>0.41</v>
      </c>
      <c r="DX210" s="228">
        <v>0.34</v>
      </c>
      <c r="DY210" s="228">
        <v>7.0000000000000007E-2</v>
      </c>
      <c r="DZ210" s="229">
        <v>0.2059</v>
      </c>
      <c r="EA210" s="229">
        <v>2.1100000000000001E-2</v>
      </c>
      <c r="EB210" s="230">
        <v>726280</v>
      </c>
      <c r="EC210" s="229">
        <v>4.7999999999999996E-3</v>
      </c>
      <c r="ED210" s="229">
        <v>2.1100000000000001E-2</v>
      </c>
      <c r="EE210" s="228">
        <v>2.95</v>
      </c>
      <c r="EF210" s="229">
        <v>4.3E-3</v>
      </c>
      <c r="EG210" s="230">
        <v>503425</v>
      </c>
      <c r="EH210" s="230">
        <v>2116433</v>
      </c>
      <c r="EI210" s="229">
        <v>-0.7621</v>
      </c>
      <c r="EJ210" s="229">
        <v>0.54979999999999996</v>
      </c>
      <c r="EK210" s="228">
        <v>652.45000000000005</v>
      </c>
      <c r="EL210" s="228">
        <v>251.38</v>
      </c>
      <c r="EM210" s="228">
        <v>231.02</v>
      </c>
      <c r="EN210" s="228">
        <v>105.07</v>
      </c>
      <c r="EO210" s="231">
        <v>1134.8399999999999</v>
      </c>
      <c r="EP210" s="231">
        <v>2530.65</v>
      </c>
      <c r="EQ210" s="231">
        <v>-1395.81</v>
      </c>
      <c r="ER210" s="229">
        <v>-0.55159999999999998</v>
      </c>
      <c r="ES210" s="228">
        <v>474.44</v>
      </c>
      <c r="ET210" s="228">
        <v>300.51</v>
      </c>
      <c r="EU210" s="231">
        <v>2306.1999999999998</v>
      </c>
      <c r="EV210" s="231">
        <v>82588393</v>
      </c>
      <c r="EW210" s="231">
        <v>3081.14</v>
      </c>
      <c r="EX210" s="231">
        <v>3076.04</v>
      </c>
      <c r="EY210" s="228">
        <v>5.0999999999999996</v>
      </c>
      <c r="EZ210" s="229">
        <v>1.6999999999999999E-3</v>
      </c>
      <c r="FA210" s="229">
        <v>0.54579999999999995</v>
      </c>
      <c r="FB210" s="227" t="s">
        <v>556</v>
      </c>
      <c r="FC210">
        <f t="shared" si="4"/>
        <v>0</v>
      </c>
    </row>
    <row r="211" spans="1:159" ht="17.25" thickBot="1" x14ac:dyDescent="0.3">
      <c r="A211" s="226">
        <v>45936</v>
      </c>
      <c r="B211" s="227" t="s">
        <v>168</v>
      </c>
      <c r="C211" s="227" t="s">
        <v>587</v>
      </c>
      <c r="D211" s="228">
        <v>1025</v>
      </c>
      <c r="E211" s="228">
        <v>22</v>
      </c>
      <c r="F211" s="228">
        <v>441.6</v>
      </c>
      <c r="G211" s="228">
        <v>445.4</v>
      </c>
      <c r="H211" s="228">
        <v>-3.8</v>
      </c>
      <c r="I211" s="229">
        <v>-8.5000000000000006E-3</v>
      </c>
      <c r="J211" s="228">
        <v>438.95</v>
      </c>
      <c r="K211" s="228">
        <v>443.45</v>
      </c>
      <c r="L211" s="228">
        <v>-4.5</v>
      </c>
      <c r="M211" s="229">
        <v>-1.01E-2</v>
      </c>
      <c r="N211" s="228">
        <v>441.6</v>
      </c>
      <c r="O211" s="228">
        <v>445.4</v>
      </c>
      <c r="P211" s="228">
        <v>-3.8</v>
      </c>
      <c r="Q211" s="229">
        <v>-8.5000000000000006E-3</v>
      </c>
      <c r="R211" s="228">
        <v>444.05</v>
      </c>
      <c r="S211" s="228">
        <v>447.95</v>
      </c>
      <c r="T211" s="228">
        <v>-3.9</v>
      </c>
      <c r="U211" s="229">
        <v>-8.6999999999999994E-3</v>
      </c>
      <c r="V211" s="228">
        <v>446.75</v>
      </c>
      <c r="W211" s="228">
        <v>450.65</v>
      </c>
      <c r="X211" s="228">
        <v>-3.9</v>
      </c>
      <c r="Y211" s="229">
        <v>-8.6999999999999994E-3</v>
      </c>
      <c r="Z211" s="228">
        <v>2.65</v>
      </c>
      <c r="AA211" s="228">
        <v>1.95</v>
      </c>
      <c r="AB211" s="228">
        <v>0.7</v>
      </c>
      <c r="AC211" s="229">
        <v>6.0000000000000001E-3</v>
      </c>
      <c r="AD211" s="228">
        <v>2.65</v>
      </c>
      <c r="AE211" s="228">
        <v>1.95</v>
      </c>
      <c r="AF211" s="228">
        <v>0.7</v>
      </c>
      <c r="AG211" s="229">
        <v>6.0000000000000001E-3</v>
      </c>
      <c r="AH211" s="228">
        <v>5.0999999999999996</v>
      </c>
      <c r="AI211" s="228">
        <v>4.5</v>
      </c>
      <c r="AJ211" s="228">
        <v>0.6</v>
      </c>
      <c r="AK211" s="229">
        <v>1.1599999999999999E-2</v>
      </c>
      <c r="AL211" s="228">
        <v>7.8</v>
      </c>
      <c r="AM211" s="228">
        <v>7.2</v>
      </c>
      <c r="AN211" s="228">
        <v>0.6</v>
      </c>
      <c r="AO211" s="229">
        <v>1.78E-2</v>
      </c>
      <c r="AP211" s="228">
        <v>441.79</v>
      </c>
      <c r="AQ211" s="228">
        <v>444.39</v>
      </c>
      <c r="AR211" s="228">
        <v>0</v>
      </c>
      <c r="AS211" s="228">
        <v>112</v>
      </c>
      <c r="AT211" s="228">
        <v>158</v>
      </c>
      <c r="AU211" s="228">
        <v>-46</v>
      </c>
      <c r="AV211" s="229">
        <v>-0.28910000000000002</v>
      </c>
      <c r="AW211" s="228">
        <v>103</v>
      </c>
      <c r="AX211" s="228">
        <v>146</v>
      </c>
      <c r="AY211" s="228">
        <v>-43</v>
      </c>
      <c r="AZ211" s="229">
        <v>-0.2944</v>
      </c>
      <c r="BA211" s="228">
        <v>7</v>
      </c>
      <c r="BB211" s="228">
        <v>9</v>
      </c>
      <c r="BC211" s="228">
        <v>-2</v>
      </c>
      <c r="BD211" s="229">
        <v>-0.1961</v>
      </c>
      <c r="BE211" s="228">
        <v>2</v>
      </c>
      <c r="BF211" s="228">
        <v>2</v>
      </c>
      <c r="BG211" s="228">
        <v>-1</v>
      </c>
      <c r="BH211" s="229">
        <v>-0.32690000000000002</v>
      </c>
      <c r="BI211" s="228">
        <v>291</v>
      </c>
      <c r="BJ211" s="228">
        <v>290</v>
      </c>
      <c r="BK211" s="228">
        <v>1</v>
      </c>
      <c r="BL211" s="229">
        <v>3.0999999999999999E-3</v>
      </c>
      <c r="BM211" s="228">
        <v>66</v>
      </c>
      <c r="BN211" s="228">
        <v>113</v>
      </c>
      <c r="BO211" s="228">
        <v>-47</v>
      </c>
      <c r="BP211" s="229">
        <v>-0.41270000000000001</v>
      </c>
      <c r="BQ211" s="228">
        <v>470</v>
      </c>
      <c r="BR211" s="228">
        <v>561</v>
      </c>
      <c r="BS211" s="228">
        <v>-91</v>
      </c>
      <c r="BT211" s="229">
        <v>-0.1628</v>
      </c>
      <c r="BU211" s="230">
        <v>2979625</v>
      </c>
      <c r="BV211" s="230">
        <v>5492554</v>
      </c>
      <c r="BW211" s="230">
        <v>-2512929</v>
      </c>
      <c r="BX211" s="229">
        <v>-0.45750000000000002</v>
      </c>
      <c r="BY211" s="230">
        <v>1800</v>
      </c>
      <c r="BZ211" s="230">
        <v>1767</v>
      </c>
      <c r="CA211" s="228">
        <v>32</v>
      </c>
      <c r="CB211" s="229">
        <v>1.83E-2</v>
      </c>
      <c r="CC211" s="230">
        <v>1751</v>
      </c>
      <c r="CD211" s="230">
        <v>1723</v>
      </c>
      <c r="CE211" s="228">
        <v>28</v>
      </c>
      <c r="CF211" s="229">
        <v>1.6400000000000001E-2</v>
      </c>
      <c r="CG211" s="228">
        <v>45</v>
      </c>
      <c r="CH211" s="228">
        <v>42</v>
      </c>
      <c r="CI211" s="228">
        <v>3</v>
      </c>
      <c r="CJ211" s="229">
        <v>7.4899999999999994E-2</v>
      </c>
      <c r="CK211" s="228">
        <v>3</v>
      </c>
      <c r="CL211" s="228">
        <v>2</v>
      </c>
      <c r="CM211" s="228">
        <v>1</v>
      </c>
      <c r="CN211" s="229">
        <v>0.434</v>
      </c>
      <c r="CO211" s="228">
        <v>414</v>
      </c>
      <c r="CP211" s="228">
        <v>354</v>
      </c>
      <c r="CQ211" s="228">
        <v>60</v>
      </c>
      <c r="CR211" s="229">
        <v>0.1709</v>
      </c>
      <c r="CS211" s="228">
        <v>249</v>
      </c>
      <c r="CT211" s="228">
        <v>239</v>
      </c>
      <c r="CU211" s="228">
        <v>10</v>
      </c>
      <c r="CV211" s="229">
        <v>4.3400000000000001E-2</v>
      </c>
      <c r="CW211" s="230">
        <v>2463</v>
      </c>
      <c r="CX211" s="230">
        <v>2360</v>
      </c>
      <c r="CY211" s="228">
        <v>103</v>
      </c>
      <c r="CZ211" s="229">
        <v>4.3700000000000003E-2</v>
      </c>
      <c r="DA211" s="228">
        <v>29.59</v>
      </c>
      <c r="DB211" s="228">
        <v>28.24</v>
      </c>
      <c r="DC211" s="228">
        <v>1.35</v>
      </c>
      <c r="DD211" s="228">
        <v>1.35</v>
      </c>
      <c r="DE211" s="228">
        <v>38.68</v>
      </c>
      <c r="DF211" s="228">
        <v>38.76</v>
      </c>
      <c r="DG211" s="228">
        <v>-9.09</v>
      </c>
      <c r="DH211" s="228">
        <v>-0.08</v>
      </c>
      <c r="DI211" s="228">
        <v>29.76</v>
      </c>
      <c r="DJ211" s="228">
        <v>28.49</v>
      </c>
      <c r="DK211" s="228">
        <v>1.27</v>
      </c>
      <c r="DL211" s="228">
        <v>1.27</v>
      </c>
      <c r="DM211" s="228">
        <v>28.83</v>
      </c>
      <c r="DN211" s="228">
        <v>27.6</v>
      </c>
      <c r="DO211" s="228">
        <v>1.23</v>
      </c>
      <c r="DP211" s="228">
        <v>1.23</v>
      </c>
      <c r="DQ211" s="228">
        <v>0.6</v>
      </c>
      <c r="DR211" s="228">
        <v>0.67</v>
      </c>
      <c r="DS211" s="228">
        <v>-7.0000000000000007E-2</v>
      </c>
      <c r="DT211" s="229">
        <v>-0.1045</v>
      </c>
      <c r="DU211" s="228">
        <v>500</v>
      </c>
      <c r="DV211" s="228">
        <v>450</v>
      </c>
      <c r="DW211" s="228">
        <v>0.23</v>
      </c>
      <c r="DX211" s="228">
        <v>0.39</v>
      </c>
      <c r="DY211" s="228">
        <v>-0.16</v>
      </c>
      <c r="DZ211" s="229">
        <v>-0.4103</v>
      </c>
      <c r="EA211" s="229">
        <v>2.6800000000000001E-2</v>
      </c>
      <c r="EB211" s="230">
        <v>998350</v>
      </c>
      <c r="EC211" s="229">
        <v>5.4999999999999997E-3</v>
      </c>
      <c r="ED211" s="229">
        <v>2.6800000000000001E-2</v>
      </c>
      <c r="EE211" s="228">
        <v>2.6</v>
      </c>
      <c r="EF211" s="229">
        <v>5.8999999999999999E-3</v>
      </c>
      <c r="EG211" s="230">
        <v>1824801</v>
      </c>
      <c r="EH211" s="230">
        <v>3658714</v>
      </c>
      <c r="EI211" s="229">
        <v>-0.50119999999999998</v>
      </c>
      <c r="EJ211" s="229">
        <v>0.61240000000000006</v>
      </c>
      <c r="EK211" s="228">
        <v>308.55</v>
      </c>
      <c r="EL211" s="228">
        <v>66.59</v>
      </c>
      <c r="EM211" s="228">
        <v>112.41</v>
      </c>
      <c r="EN211" s="228">
        <v>105.5</v>
      </c>
      <c r="EO211" s="228">
        <v>487.55</v>
      </c>
      <c r="EP211" s="228">
        <v>581.89</v>
      </c>
      <c r="EQ211" s="228">
        <v>-94.34</v>
      </c>
      <c r="ER211" s="229">
        <v>-0.16209999999999999</v>
      </c>
      <c r="ES211" s="228">
        <v>447.29</v>
      </c>
      <c r="ET211" s="228">
        <v>249.78</v>
      </c>
      <c r="EU211" s="231">
        <v>1800.03</v>
      </c>
      <c r="EV211" s="231">
        <v>203804339</v>
      </c>
      <c r="EW211" s="231">
        <v>2497.1</v>
      </c>
      <c r="EX211" s="231">
        <v>2406.59</v>
      </c>
      <c r="EY211" s="228">
        <v>90.51</v>
      </c>
      <c r="EZ211" s="229">
        <v>3.7600000000000001E-2</v>
      </c>
      <c r="FA211" s="229">
        <v>0.27360000000000001</v>
      </c>
      <c r="FB211" s="227" t="s">
        <v>567</v>
      </c>
      <c r="FC211">
        <f t="shared" si="4"/>
        <v>0</v>
      </c>
    </row>
    <row r="212" spans="1:159" ht="17.25" thickBot="1" x14ac:dyDescent="0.3">
      <c r="A212" s="226">
        <v>45936</v>
      </c>
      <c r="B212" s="227" t="s">
        <v>227</v>
      </c>
      <c r="C212" s="227" t="s">
        <v>304</v>
      </c>
      <c r="D212" s="228">
        <v>1150</v>
      </c>
      <c r="E212" s="228">
        <v>22</v>
      </c>
      <c r="F212" s="228">
        <v>473.25</v>
      </c>
      <c r="G212" s="228">
        <v>474.1</v>
      </c>
      <c r="H212" s="228">
        <v>-0.85</v>
      </c>
      <c r="I212" s="229">
        <v>-1.8E-3</v>
      </c>
      <c r="J212" s="228">
        <v>470.8</v>
      </c>
      <c r="K212" s="228">
        <v>470.95</v>
      </c>
      <c r="L212" s="228">
        <v>-0.15</v>
      </c>
      <c r="M212" s="229">
        <v>-2.9999999999999997E-4</v>
      </c>
      <c r="N212" s="228">
        <v>473.25</v>
      </c>
      <c r="O212" s="228">
        <v>474.1</v>
      </c>
      <c r="P212" s="228">
        <v>-0.85</v>
      </c>
      <c r="Q212" s="229">
        <v>-1.8E-3</v>
      </c>
      <c r="R212" s="228">
        <v>475.75</v>
      </c>
      <c r="S212" s="228">
        <v>476.5</v>
      </c>
      <c r="T212" s="228">
        <v>-0.75</v>
      </c>
      <c r="U212" s="229">
        <v>-1.6000000000000001E-3</v>
      </c>
      <c r="V212" s="228">
        <v>478.25</v>
      </c>
      <c r="W212" s="228">
        <v>478.85</v>
      </c>
      <c r="X212" s="228">
        <v>-0.6</v>
      </c>
      <c r="Y212" s="229">
        <v>-1.2999999999999999E-3</v>
      </c>
      <c r="Z212" s="228">
        <v>2.4500000000000002</v>
      </c>
      <c r="AA212" s="228">
        <v>3.15</v>
      </c>
      <c r="AB212" s="228">
        <v>-0.7</v>
      </c>
      <c r="AC212" s="229">
        <v>5.1999999999999998E-3</v>
      </c>
      <c r="AD212" s="228">
        <v>2.4500000000000002</v>
      </c>
      <c r="AE212" s="228">
        <v>3.15</v>
      </c>
      <c r="AF212" s="228">
        <v>-0.7</v>
      </c>
      <c r="AG212" s="229">
        <v>5.1999999999999998E-3</v>
      </c>
      <c r="AH212" s="228">
        <v>4.95</v>
      </c>
      <c r="AI212" s="228">
        <v>5.55</v>
      </c>
      <c r="AJ212" s="228">
        <v>-0.6</v>
      </c>
      <c r="AK212" s="229">
        <v>1.0500000000000001E-2</v>
      </c>
      <c r="AL212" s="228">
        <v>7.45</v>
      </c>
      <c r="AM212" s="228">
        <v>7.9</v>
      </c>
      <c r="AN212" s="228">
        <v>-0.45</v>
      </c>
      <c r="AO212" s="229">
        <v>1.5800000000000002E-2</v>
      </c>
      <c r="AP212" s="228">
        <v>473.83</v>
      </c>
      <c r="AQ212" s="228">
        <v>475.78</v>
      </c>
      <c r="AR212" s="228">
        <v>0</v>
      </c>
      <c r="AS212" s="228">
        <v>578</v>
      </c>
      <c r="AT212" s="228">
        <v>986</v>
      </c>
      <c r="AU212" s="228">
        <v>-409</v>
      </c>
      <c r="AV212" s="229">
        <v>-0.41420000000000001</v>
      </c>
      <c r="AW212" s="228">
        <v>548</v>
      </c>
      <c r="AX212" s="228">
        <v>929</v>
      </c>
      <c r="AY212" s="228">
        <v>-381</v>
      </c>
      <c r="AZ212" s="229">
        <v>-0.41020000000000001</v>
      </c>
      <c r="BA212" s="228">
        <v>23</v>
      </c>
      <c r="BB212" s="228">
        <v>49</v>
      </c>
      <c r="BC212" s="228">
        <v>-26</v>
      </c>
      <c r="BD212" s="229">
        <v>-0.53190000000000004</v>
      </c>
      <c r="BE212" s="228">
        <v>6</v>
      </c>
      <c r="BF212" s="228">
        <v>7</v>
      </c>
      <c r="BG212" s="228">
        <v>-1</v>
      </c>
      <c r="BH212" s="229">
        <v>-0.1333</v>
      </c>
      <c r="BI212" s="230">
        <v>1492</v>
      </c>
      <c r="BJ212" s="230">
        <v>3338</v>
      </c>
      <c r="BK212" s="230">
        <v>-1846</v>
      </c>
      <c r="BL212" s="229">
        <v>-0.55300000000000005</v>
      </c>
      <c r="BM212" s="228">
        <v>678</v>
      </c>
      <c r="BN212" s="230">
        <v>1593</v>
      </c>
      <c r="BO212" s="228">
        <v>-915</v>
      </c>
      <c r="BP212" s="229">
        <v>-0.57440000000000002</v>
      </c>
      <c r="BQ212" s="230">
        <v>2748</v>
      </c>
      <c r="BR212" s="230">
        <v>5917</v>
      </c>
      <c r="BS212" s="230">
        <v>-3169</v>
      </c>
      <c r="BT212" s="229">
        <v>-0.53559999999999997</v>
      </c>
      <c r="BU212" s="230">
        <v>9637606</v>
      </c>
      <c r="BV212" s="230">
        <v>22267648</v>
      </c>
      <c r="BW212" s="230">
        <v>-12630042</v>
      </c>
      <c r="BX212" s="229">
        <v>-0.56720000000000004</v>
      </c>
      <c r="BY212" s="230">
        <v>4548</v>
      </c>
      <c r="BZ212" s="230">
        <v>4525</v>
      </c>
      <c r="CA212" s="228">
        <v>23</v>
      </c>
      <c r="CB212" s="229">
        <v>5.0000000000000001E-3</v>
      </c>
      <c r="CC212" s="230">
        <v>4481</v>
      </c>
      <c r="CD212" s="230">
        <v>4463</v>
      </c>
      <c r="CE212" s="228">
        <v>17</v>
      </c>
      <c r="CF212" s="229">
        <v>3.8999999999999998E-3</v>
      </c>
      <c r="CG212" s="228">
        <v>61</v>
      </c>
      <c r="CH212" s="228">
        <v>59</v>
      </c>
      <c r="CI212" s="228">
        <v>2</v>
      </c>
      <c r="CJ212" s="229">
        <v>3.5200000000000002E-2</v>
      </c>
      <c r="CK212" s="228">
        <v>6</v>
      </c>
      <c r="CL212" s="228">
        <v>3</v>
      </c>
      <c r="CM212" s="228">
        <v>3</v>
      </c>
      <c r="CN212" s="229">
        <v>1</v>
      </c>
      <c r="CO212" s="230">
        <v>1244</v>
      </c>
      <c r="CP212" s="230">
        <v>1226</v>
      </c>
      <c r="CQ212" s="228">
        <v>18</v>
      </c>
      <c r="CR212" s="229">
        <v>1.44E-2</v>
      </c>
      <c r="CS212" s="228">
        <v>959</v>
      </c>
      <c r="CT212" s="228">
        <v>912</v>
      </c>
      <c r="CU212" s="228">
        <v>47</v>
      </c>
      <c r="CV212" s="229">
        <v>5.1299999999999998E-2</v>
      </c>
      <c r="CW212" s="230">
        <v>6750</v>
      </c>
      <c r="CX212" s="230">
        <v>6663</v>
      </c>
      <c r="CY212" s="228">
        <v>87</v>
      </c>
      <c r="CZ212" s="229">
        <v>1.3100000000000001E-2</v>
      </c>
      <c r="DA212" s="228">
        <v>31.58</v>
      </c>
      <c r="DB212" s="228">
        <v>31.3</v>
      </c>
      <c r="DC212" s="228">
        <v>0.28000000000000003</v>
      </c>
      <c r="DD212" s="228">
        <v>0.28000000000000003</v>
      </c>
      <c r="DE212" s="228">
        <v>38.83</v>
      </c>
      <c r="DF212" s="228">
        <v>38.93</v>
      </c>
      <c r="DG212" s="228">
        <v>-7.25</v>
      </c>
      <c r="DH212" s="228">
        <v>-0.1</v>
      </c>
      <c r="DI212" s="228">
        <v>31.78</v>
      </c>
      <c r="DJ212" s="228">
        <v>31.38</v>
      </c>
      <c r="DK212" s="228">
        <v>0.4</v>
      </c>
      <c r="DL212" s="228">
        <v>0.4</v>
      </c>
      <c r="DM212" s="228">
        <v>31.14</v>
      </c>
      <c r="DN212" s="228">
        <v>31.12</v>
      </c>
      <c r="DO212" s="228">
        <v>0.02</v>
      </c>
      <c r="DP212" s="228">
        <v>0.02</v>
      </c>
      <c r="DQ212" s="228">
        <v>0.77</v>
      </c>
      <c r="DR212" s="228">
        <v>0.74</v>
      </c>
      <c r="DS212" s="228">
        <v>0.03</v>
      </c>
      <c r="DT212" s="229">
        <v>4.0500000000000001E-2</v>
      </c>
      <c r="DU212" s="228">
        <v>500</v>
      </c>
      <c r="DV212" s="228">
        <v>450</v>
      </c>
      <c r="DW212" s="228">
        <v>0.45</v>
      </c>
      <c r="DX212" s="228">
        <v>0.48</v>
      </c>
      <c r="DY212" s="228">
        <v>-0.03</v>
      </c>
      <c r="DZ212" s="229">
        <v>-6.25E-2</v>
      </c>
      <c r="EA212" s="229">
        <v>1.4800000000000001E-2</v>
      </c>
      <c r="EB212" s="230">
        <v>1307550</v>
      </c>
      <c r="EC212" s="229">
        <v>5.3E-3</v>
      </c>
      <c r="ED212" s="229">
        <v>1.4800000000000001E-2</v>
      </c>
      <c r="EE212" s="228">
        <v>1.95</v>
      </c>
      <c r="EF212" s="229">
        <v>4.1000000000000003E-3</v>
      </c>
      <c r="EG212" s="230">
        <v>4195336</v>
      </c>
      <c r="EH212" s="230">
        <v>10305892</v>
      </c>
      <c r="EI212" s="229">
        <v>-0.59289999999999998</v>
      </c>
      <c r="EJ212" s="229">
        <v>0.43530000000000002</v>
      </c>
      <c r="EK212" s="231">
        <v>1573.09</v>
      </c>
      <c r="EL212" s="228">
        <v>670.65</v>
      </c>
      <c r="EM212" s="228">
        <v>578.57000000000005</v>
      </c>
      <c r="EN212" s="228">
        <v>268.31</v>
      </c>
      <c r="EO212" s="231">
        <v>2822.31</v>
      </c>
      <c r="EP212" s="231">
        <v>6092.49</v>
      </c>
      <c r="EQ212" s="231">
        <v>-3270.18</v>
      </c>
      <c r="ER212" s="229">
        <v>-0.53680000000000005</v>
      </c>
      <c r="ES212" s="231">
        <v>1278.3599999999999</v>
      </c>
      <c r="ET212" s="228">
        <v>905.8</v>
      </c>
      <c r="EU212" s="231">
        <v>4548.3100000000004</v>
      </c>
      <c r="EV212" s="231">
        <v>255091106</v>
      </c>
      <c r="EW212" s="231">
        <v>6732.46</v>
      </c>
      <c r="EX212" s="231">
        <v>6654.92</v>
      </c>
      <c r="EY212" s="228">
        <v>77.540000000000006</v>
      </c>
      <c r="EZ212" s="229">
        <v>1.17E-2</v>
      </c>
      <c r="FA212" s="229">
        <v>0.55910000000000004</v>
      </c>
      <c r="FB212" s="227" t="s">
        <v>567</v>
      </c>
      <c r="FC212">
        <f t="shared" si="4"/>
        <v>0</v>
      </c>
    </row>
    <row r="213" spans="1:159" ht="17.25" thickBot="1" x14ac:dyDescent="0.3">
      <c r="A213" s="226">
        <v>45936</v>
      </c>
      <c r="B213" s="227" t="s">
        <v>184</v>
      </c>
      <c r="C213" s="227" t="s">
        <v>305</v>
      </c>
      <c r="D213" s="228">
        <v>375</v>
      </c>
      <c r="E213" s="228">
        <v>22</v>
      </c>
      <c r="F213" s="231">
        <v>1347.8</v>
      </c>
      <c r="G213" s="231">
        <v>1353.1</v>
      </c>
      <c r="H213" s="228">
        <v>-5.3</v>
      </c>
      <c r="I213" s="229">
        <v>-3.8999999999999998E-3</v>
      </c>
      <c r="J213" s="231">
        <v>1366.7</v>
      </c>
      <c r="K213" s="231">
        <v>1360.4</v>
      </c>
      <c r="L213" s="228">
        <v>6.3</v>
      </c>
      <c r="M213" s="229">
        <v>4.5999999999999999E-3</v>
      </c>
      <c r="N213" s="231">
        <v>1347.8</v>
      </c>
      <c r="O213" s="231">
        <v>1353.1</v>
      </c>
      <c r="P213" s="228">
        <v>-5.3</v>
      </c>
      <c r="Q213" s="229">
        <v>-3.8999999999999998E-3</v>
      </c>
      <c r="R213" s="231">
        <v>1331.8</v>
      </c>
      <c r="S213" s="231">
        <v>1339.9</v>
      </c>
      <c r="T213" s="228">
        <v>-8.1</v>
      </c>
      <c r="U213" s="229">
        <v>-6.0000000000000001E-3</v>
      </c>
      <c r="V213" s="231">
        <v>1319</v>
      </c>
      <c r="W213" s="231">
        <v>1322.2</v>
      </c>
      <c r="X213" s="228">
        <v>-3.2</v>
      </c>
      <c r="Y213" s="229">
        <v>-2.3999999999999998E-3</v>
      </c>
      <c r="Z213" s="228">
        <v>-18.899999999999999</v>
      </c>
      <c r="AA213" s="228">
        <v>-7.3</v>
      </c>
      <c r="AB213" s="228">
        <v>-11.6</v>
      </c>
      <c r="AC213" s="229">
        <v>-1.38E-2</v>
      </c>
      <c r="AD213" s="228">
        <v>-18.899999999999999</v>
      </c>
      <c r="AE213" s="228">
        <v>-7.3</v>
      </c>
      <c r="AF213" s="228">
        <v>-11.6</v>
      </c>
      <c r="AG213" s="229">
        <v>-1.38E-2</v>
      </c>
      <c r="AH213" s="228">
        <v>-34.9</v>
      </c>
      <c r="AI213" s="228">
        <v>-20.5</v>
      </c>
      <c r="AJ213" s="228">
        <v>-14.4</v>
      </c>
      <c r="AK213" s="229">
        <v>-2.5499999999999998E-2</v>
      </c>
      <c r="AL213" s="228">
        <v>-47.7</v>
      </c>
      <c r="AM213" s="228">
        <v>-38.200000000000003</v>
      </c>
      <c r="AN213" s="228">
        <v>-9.5</v>
      </c>
      <c r="AO213" s="229">
        <v>-3.49E-2</v>
      </c>
      <c r="AP213" s="231">
        <v>1341.94</v>
      </c>
      <c r="AQ213" s="231">
        <v>1324.89</v>
      </c>
      <c r="AR213" s="228">
        <v>0</v>
      </c>
      <c r="AS213" s="228">
        <v>230</v>
      </c>
      <c r="AT213" s="228">
        <v>98</v>
      </c>
      <c r="AU213" s="228">
        <v>132</v>
      </c>
      <c r="AV213" s="229">
        <v>1.3419000000000001</v>
      </c>
      <c r="AW213" s="228">
        <v>210</v>
      </c>
      <c r="AX213" s="228">
        <v>90</v>
      </c>
      <c r="AY213" s="228">
        <v>120</v>
      </c>
      <c r="AZ213" s="229">
        <v>1.3455999999999999</v>
      </c>
      <c r="BA213" s="228">
        <v>19</v>
      </c>
      <c r="BB213" s="228">
        <v>9</v>
      </c>
      <c r="BC213" s="228">
        <v>10</v>
      </c>
      <c r="BD213" s="229">
        <v>1.1503000000000001</v>
      </c>
      <c r="BE213" s="228">
        <v>1</v>
      </c>
      <c r="BF213" s="228">
        <v>0</v>
      </c>
      <c r="BG213" s="228">
        <v>1</v>
      </c>
      <c r="BH213" s="229">
        <v>28</v>
      </c>
      <c r="BI213" s="228">
        <v>516</v>
      </c>
      <c r="BJ213" s="228">
        <v>217</v>
      </c>
      <c r="BK213" s="228">
        <v>299</v>
      </c>
      <c r="BL213" s="229">
        <v>1.3805000000000001</v>
      </c>
      <c r="BM213" s="228">
        <v>290</v>
      </c>
      <c r="BN213" s="228">
        <v>102</v>
      </c>
      <c r="BO213" s="228">
        <v>189</v>
      </c>
      <c r="BP213" s="229">
        <v>1.8521000000000001</v>
      </c>
      <c r="BQ213" s="230">
        <v>1036</v>
      </c>
      <c r="BR213" s="228">
        <v>417</v>
      </c>
      <c r="BS213" s="228">
        <v>620</v>
      </c>
      <c r="BT213" s="229">
        <v>1.4866999999999999</v>
      </c>
      <c r="BU213" s="230">
        <v>1079724</v>
      </c>
      <c r="BV213" s="230">
        <v>898421</v>
      </c>
      <c r="BW213" s="230">
        <v>181303</v>
      </c>
      <c r="BX213" s="229">
        <v>0.20180000000000001</v>
      </c>
      <c r="BY213" s="230">
        <v>1689</v>
      </c>
      <c r="BZ213" s="230">
        <v>1614</v>
      </c>
      <c r="CA213" s="228">
        <v>75</v>
      </c>
      <c r="CB213" s="229">
        <v>4.6300000000000001E-2</v>
      </c>
      <c r="CC213" s="230">
        <v>1652</v>
      </c>
      <c r="CD213" s="230">
        <v>1583</v>
      </c>
      <c r="CE213" s="228">
        <v>69</v>
      </c>
      <c r="CF213" s="229">
        <v>4.3400000000000001E-2</v>
      </c>
      <c r="CG213" s="228">
        <v>35</v>
      </c>
      <c r="CH213" s="228">
        <v>30</v>
      </c>
      <c r="CI213" s="228">
        <v>5</v>
      </c>
      <c r="CJ213" s="229">
        <v>0.1636</v>
      </c>
      <c r="CK213" s="228">
        <v>2</v>
      </c>
      <c r="CL213" s="228">
        <v>1</v>
      </c>
      <c r="CM213" s="228">
        <v>1</v>
      </c>
      <c r="CN213" s="229">
        <v>1</v>
      </c>
      <c r="CO213" s="228">
        <v>304</v>
      </c>
      <c r="CP213" s="228">
        <v>257</v>
      </c>
      <c r="CQ213" s="228">
        <v>47</v>
      </c>
      <c r="CR213" s="229">
        <v>0.18110000000000001</v>
      </c>
      <c r="CS213" s="228">
        <v>240</v>
      </c>
      <c r="CT213" s="228">
        <v>214</v>
      </c>
      <c r="CU213" s="228">
        <v>26</v>
      </c>
      <c r="CV213" s="229">
        <v>0.1192</v>
      </c>
      <c r="CW213" s="230">
        <v>2232</v>
      </c>
      <c r="CX213" s="230">
        <v>2085</v>
      </c>
      <c r="CY213" s="228">
        <v>147</v>
      </c>
      <c r="CZ213" s="229">
        <v>7.0400000000000004E-2</v>
      </c>
      <c r="DA213" s="228">
        <v>27.47</v>
      </c>
      <c r="DB213" s="228">
        <v>27.02</v>
      </c>
      <c r="DC213" s="228">
        <v>0.45</v>
      </c>
      <c r="DD213" s="228">
        <v>0.45</v>
      </c>
      <c r="DE213" s="228">
        <v>38.25</v>
      </c>
      <c r="DF213" s="228">
        <v>38.340000000000003</v>
      </c>
      <c r="DG213" s="228">
        <v>-10.78</v>
      </c>
      <c r="DH213" s="228">
        <v>-0.09</v>
      </c>
      <c r="DI213" s="228">
        <v>27.94</v>
      </c>
      <c r="DJ213" s="228">
        <v>27.31</v>
      </c>
      <c r="DK213" s="228">
        <v>0.63</v>
      </c>
      <c r="DL213" s="228">
        <v>0.63</v>
      </c>
      <c r="DM213" s="228">
        <v>26.63</v>
      </c>
      <c r="DN213" s="228">
        <v>26.4</v>
      </c>
      <c r="DO213" s="228">
        <v>0.23</v>
      </c>
      <c r="DP213" s="228">
        <v>0.23</v>
      </c>
      <c r="DQ213" s="228">
        <v>0.79</v>
      </c>
      <c r="DR213" s="228">
        <v>0.83</v>
      </c>
      <c r="DS213" s="228">
        <v>-0.04</v>
      </c>
      <c r="DT213" s="229">
        <v>-4.82E-2</v>
      </c>
      <c r="DU213" s="231">
        <v>1400</v>
      </c>
      <c r="DV213" s="231">
        <v>1260</v>
      </c>
      <c r="DW213" s="228">
        <v>0.56000000000000005</v>
      </c>
      <c r="DX213" s="228">
        <v>0.47</v>
      </c>
      <c r="DY213" s="228">
        <v>0.09</v>
      </c>
      <c r="DZ213" s="229">
        <v>0.1915</v>
      </c>
      <c r="EA213" s="229">
        <v>2.1999999999999999E-2</v>
      </c>
      <c r="EB213" s="230">
        <v>230625</v>
      </c>
      <c r="EC213" s="229">
        <v>-1.1900000000000001E-2</v>
      </c>
      <c r="ED213" s="229">
        <v>2.1999999999999999E-2</v>
      </c>
      <c r="EE213" s="228">
        <v>-17.05</v>
      </c>
      <c r="EF213" s="229">
        <v>-1.2699999999999999E-2</v>
      </c>
      <c r="EG213" s="230">
        <v>606528</v>
      </c>
      <c r="EH213" s="230">
        <v>641453</v>
      </c>
      <c r="EI213" s="229">
        <v>-5.4399999999999997E-2</v>
      </c>
      <c r="EJ213" s="229">
        <v>0.56169999999999998</v>
      </c>
      <c r="EK213" s="228">
        <v>541.02</v>
      </c>
      <c r="EL213" s="228">
        <v>293.64999999999998</v>
      </c>
      <c r="EM213" s="228">
        <v>228.96</v>
      </c>
      <c r="EN213" s="228">
        <v>103.52</v>
      </c>
      <c r="EO213" s="231">
        <v>1063.6199999999999</v>
      </c>
      <c r="EP213" s="228">
        <v>430.17</v>
      </c>
      <c r="EQ213" s="228">
        <v>633.44000000000005</v>
      </c>
      <c r="ER213" s="229">
        <v>1.4724999999999999</v>
      </c>
      <c r="ES213" s="228">
        <v>319.04000000000002</v>
      </c>
      <c r="ET213" s="228">
        <v>233.32</v>
      </c>
      <c r="EU213" s="231">
        <v>1688.21</v>
      </c>
      <c r="EV213" s="231">
        <v>34594689</v>
      </c>
      <c r="EW213" s="231">
        <v>2240.5700000000002</v>
      </c>
      <c r="EX213" s="231">
        <v>2099.7800000000002</v>
      </c>
      <c r="EY213" s="228">
        <v>140.79</v>
      </c>
      <c r="EZ213" s="229">
        <v>6.7000000000000004E-2</v>
      </c>
      <c r="FA213" s="229">
        <v>0.4788</v>
      </c>
      <c r="FB213" s="227" t="s">
        <v>567</v>
      </c>
      <c r="FC213">
        <f t="shared" si="4"/>
        <v>0</v>
      </c>
    </row>
    <row r="214" spans="1:159" ht="17.25" thickBot="1" x14ac:dyDescent="0.3">
      <c r="A214" s="226">
        <v>45936</v>
      </c>
      <c r="B214" s="227" t="s">
        <v>221</v>
      </c>
      <c r="C214" s="227" t="s">
        <v>306</v>
      </c>
      <c r="D214" s="228">
        <v>3000</v>
      </c>
      <c r="E214" s="228">
        <v>22</v>
      </c>
      <c r="F214" s="228">
        <v>241.76</v>
      </c>
      <c r="G214" s="228">
        <v>239.03</v>
      </c>
      <c r="H214" s="228">
        <v>2.73</v>
      </c>
      <c r="I214" s="229">
        <v>1.14E-2</v>
      </c>
      <c r="J214" s="228">
        <v>242.13</v>
      </c>
      <c r="K214" s="228">
        <v>240.98</v>
      </c>
      <c r="L214" s="228">
        <v>1.1499999999999999</v>
      </c>
      <c r="M214" s="229">
        <v>4.7999999999999996E-3</v>
      </c>
      <c r="N214" s="228">
        <v>241.76</v>
      </c>
      <c r="O214" s="228">
        <v>239.03</v>
      </c>
      <c r="P214" s="228">
        <v>2.73</v>
      </c>
      <c r="Q214" s="229">
        <v>1.14E-2</v>
      </c>
      <c r="R214" s="228">
        <v>241.06</v>
      </c>
      <c r="S214" s="228">
        <v>238.24</v>
      </c>
      <c r="T214" s="228">
        <v>2.82</v>
      </c>
      <c r="U214" s="229">
        <v>1.18E-2</v>
      </c>
      <c r="V214" s="228">
        <v>240.39</v>
      </c>
      <c r="W214" s="228">
        <v>237.49</v>
      </c>
      <c r="X214" s="228">
        <v>2.9</v>
      </c>
      <c r="Y214" s="229">
        <v>1.2200000000000001E-2</v>
      </c>
      <c r="Z214" s="228">
        <v>-0.37</v>
      </c>
      <c r="AA214" s="228">
        <v>-1.95</v>
      </c>
      <c r="AB214" s="228">
        <v>1.58</v>
      </c>
      <c r="AC214" s="229">
        <v>-1.5E-3</v>
      </c>
      <c r="AD214" s="228">
        <v>-0.37</v>
      </c>
      <c r="AE214" s="228">
        <v>-1.95</v>
      </c>
      <c r="AF214" s="228">
        <v>1.58</v>
      </c>
      <c r="AG214" s="229">
        <v>-1.5E-3</v>
      </c>
      <c r="AH214" s="228">
        <v>-1.07</v>
      </c>
      <c r="AI214" s="228">
        <v>-2.74</v>
      </c>
      <c r="AJ214" s="228">
        <v>1.67</v>
      </c>
      <c r="AK214" s="229">
        <v>-4.4000000000000003E-3</v>
      </c>
      <c r="AL214" s="228">
        <v>-1.74</v>
      </c>
      <c r="AM214" s="228">
        <v>-3.49</v>
      </c>
      <c r="AN214" s="228">
        <v>1.75</v>
      </c>
      <c r="AO214" s="229">
        <v>-7.1999999999999998E-3</v>
      </c>
      <c r="AP214" s="228">
        <v>240.35</v>
      </c>
      <c r="AQ214" s="228">
        <v>239.48</v>
      </c>
      <c r="AR214" s="228">
        <v>0</v>
      </c>
      <c r="AS214" s="228">
        <v>438</v>
      </c>
      <c r="AT214" s="228">
        <v>657</v>
      </c>
      <c r="AU214" s="228">
        <v>-219</v>
      </c>
      <c r="AV214" s="229">
        <v>-0.33310000000000001</v>
      </c>
      <c r="AW214" s="228">
        <v>386</v>
      </c>
      <c r="AX214" s="228">
        <v>591</v>
      </c>
      <c r="AY214" s="228">
        <v>-206</v>
      </c>
      <c r="AZ214" s="229">
        <v>-0.34749999999999998</v>
      </c>
      <c r="BA214" s="228">
        <v>47</v>
      </c>
      <c r="BB214" s="228">
        <v>63</v>
      </c>
      <c r="BC214" s="228">
        <v>-16</v>
      </c>
      <c r="BD214" s="229">
        <v>-0.24740000000000001</v>
      </c>
      <c r="BE214" s="228">
        <v>5</v>
      </c>
      <c r="BF214" s="228">
        <v>3</v>
      </c>
      <c r="BG214" s="228">
        <v>2</v>
      </c>
      <c r="BH214" s="229">
        <v>0.62219999999999998</v>
      </c>
      <c r="BI214" s="230">
        <v>1040</v>
      </c>
      <c r="BJ214" s="230">
        <v>1140</v>
      </c>
      <c r="BK214" s="228">
        <v>-101</v>
      </c>
      <c r="BL214" s="229">
        <v>-8.8400000000000006E-2</v>
      </c>
      <c r="BM214" s="228">
        <v>430</v>
      </c>
      <c r="BN214" s="228">
        <v>650</v>
      </c>
      <c r="BO214" s="228">
        <v>-220</v>
      </c>
      <c r="BP214" s="229">
        <v>-0.33889999999999998</v>
      </c>
      <c r="BQ214" s="230">
        <v>1908</v>
      </c>
      <c r="BR214" s="230">
        <v>2448</v>
      </c>
      <c r="BS214" s="228">
        <v>-540</v>
      </c>
      <c r="BT214" s="229">
        <v>-0.22070000000000001</v>
      </c>
      <c r="BU214" s="230">
        <v>6493881</v>
      </c>
      <c r="BV214" s="230">
        <v>11208968</v>
      </c>
      <c r="BW214" s="230">
        <v>-4715087</v>
      </c>
      <c r="BX214" s="229">
        <v>-0.42070000000000002</v>
      </c>
      <c r="BY214" s="230">
        <v>3341</v>
      </c>
      <c r="BZ214" s="230">
        <v>3315</v>
      </c>
      <c r="CA214" s="228">
        <v>27</v>
      </c>
      <c r="CB214" s="229">
        <v>8.0999999999999996E-3</v>
      </c>
      <c r="CC214" s="230">
        <v>3202</v>
      </c>
      <c r="CD214" s="230">
        <v>3186</v>
      </c>
      <c r="CE214" s="228">
        <v>16</v>
      </c>
      <c r="CF214" s="229">
        <v>5.1000000000000004E-3</v>
      </c>
      <c r="CG214" s="228">
        <v>134</v>
      </c>
      <c r="CH214" s="228">
        <v>126</v>
      </c>
      <c r="CI214" s="228">
        <v>8</v>
      </c>
      <c r="CJ214" s="229">
        <v>6.7000000000000004E-2</v>
      </c>
      <c r="CK214" s="228">
        <v>5</v>
      </c>
      <c r="CL214" s="228">
        <v>3</v>
      </c>
      <c r="CM214" s="228">
        <v>2</v>
      </c>
      <c r="CN214" s="229">
        <v>0.60870000000000002</v>
      </c>
      <c r="CO214" s="228">
        <v>881</v>
      </c>
      <c r="CP214" s="228">
        <v>825</v>
      </c>
      <c r="CQ214" s="228">
        <v>57</v>
      </c>
      <c r="CR214" s="229">
        <v>6.8699999999999997E-2</v>
      </c>
      <c r="CS214" s="228">
        <v>726</v>
      </c>
      <c r="CT214" s="228">
        <v>697</v>
      </c>
      <c r="CU214" s="228">
        <v>29</v>
      </c>
      <c r="CV214" s="229">
        <v>4.19E-2</v>
      </c>
      <c r="CW214" s="230">
        <v>4949</v>
      </c>
      <c r="CX214" s="230">
        <v>4836</v>
      </c>
      <c r="CY214" s="228">
        <v>113</v>
      </c>
      <c r="CZ214" s="229">
        <v>2.3300000000000001E-2</v>
      </c>
      <c r="DA214" s="228">
        <v>28.86</v>
      </c>
      <c r="DB214" s="228">
        <v>28.16</v>
      </c>
      <c r="DC214" s="228">
        <v>0.7</v>
      </c>
      <c r="DD214" s="228">
        <v>0.7</v>
      </c>
      <c r="DE214" s="228">
        <v>30.86</v>
      </c>
      <c r="DF214" s="228">
        <v>30.94</v>
      </c>
      <c r="DG214" s="228">
        <v>-2</v>
      </c>
      <c r="DH214" s="228">
        <v>-0.08</v>
      </c>
      <c r="DI214" s="228">
        <v>28.68</v>
      </c>
      <c r="DJ214" s="228">
        <v>28.1</v>
      </c>
      <c r="DK214" s="228">
        <v>0.57999999999999996</v>
      </c>
      <c r="DL214" s="228">
        <v>0.57999999999999996</v>
      </c>
      <c r="DM214" s="228">
        <v>29.29</v>
      </c>
      <c r="DN214" s="228">
        <v>28.26</v>
      </c>
      <c r="DO214" s="228">
        <v>1.03</v>
      </c>
      <c r="DP214" s="228">
        <v>1.03</v>
      </c>
      <c r="DQ214" s="228">
        <v>0.82</v>
      </c>
      <c r="DR214" s="228">
        <v>0.85</v>
      </c>
      <c r="DS214" s="228">
        <v>-0.03</v>
      </c>
      <c r="DT214" s="229">
        <v>-3.5299999999999998E-2</v>
      </c>
      <c r="DU214" s="228">
        <v>250</v>
      </c>
      <c r="DV214" s="228">
        <v>240</v>
      </c>
      <c r="DW214" s="228">
        <v>0.41</v>
      </c>
      <c r="DX214" s="228">
        <v>0.56999999999999995</v>
      </c>
      <c r="DY214" s="228">
        <v>-0.16</v>
      </c>
      <c r="DZ214" s="229">
        <v>-0.28070000000000001</v>
      </c>
      <c r="EA214" s="229">
        <v>4.1700000000000001E-2</v>
      </c>
      <c r="EB214" s="230">
        <v>5331000</v>
      </c>
      <c r="EC214" s="229">
        <v>-2.8999999999999998E-3</v>
      </c>
      <c r="ED214" s="229">
        <v>4.1700000000000001E-2</v>
      </c>
      <c r="EE214" s="228">
        <v>-0.87</v>
      </c>
      <c r="EF214" s="229">
        <v>-3.5999999999999999E-3</v>
      </c>
      <c r="EG214" s="230">
        <v>2816855</v>
      </c>
      <c r="EH214" s="230">
        <v>6515459</v>
      </c>
      <c r="EI214" s="229">
        <v>-0.56769999999999998</v>
      </c>
      <c r="EJ214" s="229">
        <v>0.43380000000000002</v>
      </c>
      <c r="EK214" s="231">
        <v>1087.81</v>
      </c>
      <c r="EL214" s="228">
        <v>427.3</v>
      </c>
      <c r="EM214" s="228">
        <v>435.68</v>
      </c>
      <c r="EN214" s="228">
        <v>146.05000000000001</v>
      </c>
      <c r="EO214" s="231">
        <v>1950.79</v>
      </c>
      <c r="EP214" s="231">
        <v>2473.9</v>
      </c>
      <c r="EQ214" s="228">
        <v>-523.11</v>
      </c>
      <c r="ER214" s="229">
        <v>-0.21149999999999999</v>
      </c>
      <c r="ES214" s="228">
        <v>928.97</v>
      </c>
      <c r="ET214" s="228">
        <v>707.26</v>
      </c>
      <c r="EU214" s="231">
        <v>3340.87</v>
      </c>
      <c r="EV214" s="231">
        <v>292948819</v>
      </c>
      <c r="EW214" s="231">
        <v>4977.1000000000004</v>
      </c>
      <c r="EX214" s="231">
        <v>4824.1400000000003</v>
      </c>
      <c r="EY214" s="228">
        <v>152.96</v>
      </c>
      <c r="EZ214" s="229">
        <v>3.1699999999999999E-2</v>
      </c>
      <c r="FA214" s="229">
        <v>0.69879999999999998</v>
      </c>
      <c r="FB214" s="227" t="s">
        <v>555</v>
      </c>
      <c r="FC214">
        <f t="shared" si="4"/>
        <v>0</v>
      </c>
    </row>
    <row r="215" spans="1:159" ht="17.25" thickBot="1" x14ac:dyDescent="0.3">
      <c r="A215" s="226">
        <v>45936</v>
      </c>
      <c r="B215" s="227" t="s">
        <v>172</v>
      </c>
      <c r="C215" s="227" t="s">
        <v>591</v>
      </c>
      <c r="D215" s="228">
        <v>31100</v>
      </c>
      <c r="E215" s="228">
        <v>22</v>
      </c>
      <c r="F215" s="228">
        <v>22.06</v>
      </c>
      <c r="G215" s="228">
        <v>21.99</v>
      </c>
      <c r="H215" s="228">
        <v>7.0000000000000007E-2</v>
      </c>
      <c r="I215" s="229">
        <v>3.2000000000000002E-3</v>
      </c>
      <c r="J215" s="228">
        <v>21.93</v>
      </c>
      <c r="K215" s="228">
        <v>21.85</v>
      </c>
      <c r="L215" s="228">
        <v>0.08</v>
      </c>
      <c r="M215" s="229">
        <v>3.7000000000000002E-3</v>
      </c>
      <c r="N215" s="228">
        <v>22.06</v>
      </c>
      <c r="O215" s="228">
        <v>21.99</v>
      </c>
      <c r="P215" s="228">
        <v>7.0000000000000007E-2</v>
      </c>
      <c r="Q215" s="229">
        <v>3.2000000000000002E-3</v>
      </c>
      <c r="R215" s="228">
        <v>22.19</v>
      </c>
      <c r="S215" s="228">
        <v>22.11</v>
      </c>
      <c r="T215" s="228">
        <v>0.08</v>
      </c>
      <c r="U215" s="229">
        <v>3.5999999999999999E-3</v>
      </c>
      <c r="V215" s="228">
        <v>22.3</v>
      </c>
      <c r="W215" s="228">
        <v>22.22</v>
      </c>
      <c r="X215" s="228">
        <v>0.08</v>
      </c>
      <c r="Y215" s="229">
        <v>3.5999999999999999E-3</v>
      </c>
      <c r="Z215" s="228">
        <v>0.13</v>
      </c>
      <c r="AA215" s="228">
        <v>0.14000000000000001</v>
      </c>
      <c r="AB215" s="228">
        <v>-0.01</v>
      </c>
      <c r="AC215" s="229">
        <v>5.8999999999999999E-3</v>
      </c>
      <c r="AD215" s="228">
        <v>0.13</v>
      </c>
      <c r="AE215" s="228">
        <v>0.14000000000000001</v>
      </c>
      <c r="AF215" s="228">
        <v>-0.01</v>
      </c>
      <c r="AG215" s="229">
        <v>5.8999999999999999E-3</v>
      </c>
      <c r="AH215" s="228">
        <v>0.26</v>
      </c>
      <c r="AI215" s="228">
        <v>0.26</v>
      </c>
      <c r="AJ215" s="228">
        <v>0</v>
      </c>
      <c r="AK215" s="229">
        <v>1.1900000000000001E-2</v>
      </c>
      <c r="AL215" s="228">
        <v>0.37</v>
      </c>
      <c r="AM215" s="228">
        <v>0.37</v>
      </c>
      <c r="AN215" s="228">
        <v>0</v>
      </c>
      <c r="AO215" s="229">
        <v>1.6899999999999998E-2</v>
      </c>
      <c r="AP215" s="228">
        <v>22.1</v>
      </c>
      <c r="AQ215" s="228">
        <v>22.24</v>
      </c>
      <c r="AR215" s="228">
        <v>0</v>
      </c>
      <c r="AS215" s="228">
        <v>305</v>
      </c>
      <c r="AT215" s="228">
        <v>260</v>
      </c>
      <c r="AU215" s="228">
        <v>44</v>
      </c>
      <c r="AV215" s="229">
        <v>0.17050000000000001</v>
      </c>
      <c r="AW215" s="228">
        <v>264</v>
      </c>
      <c r="AX215" s="228">
        <v>234</v>
      </c>
      <c r="AY215" s="228">
        <v>30</v>
      </c>
      <c r="AZ215" s="229">
        <v>0.12989999999999999</v>
      </c>
      <c r="BA215" s="228">
        <v>33</v>
      </c>
      <c r="BB215" s="228">
        <v>21</v>
      </c>
      <c r="BC215" s="228">
        <v>12</v>
      </c>
      <c r="BD215" s="229">
        <v>0.57420000000000004</v>
      </c>
      <c r="BE215" s="228">
        <v>7</v>
      </c>
      <c r="BF215" s="228">
        <v>5</v>
      </c>
      <c r="BG215" s="228">
        <v>2</v>
      </c>
      <c r="BH215" s="229">
        <v>0.35620000000000002</v>
      </c>
      <c r="BI215" s="228">
        <v>378</v>
      </c>
      <c r="BJ215" s="228">
        <v>371</v>
      </c>
      <c r="BK215" s="228">
        <v>7</v>
      </c>
      <c r="BL215" s="229">
        <v>1.9599999999999999E-2</v>
      </c>
      <c r="BM215" s="228">
        <v>188</v>
      </c>
      <c r="BN215" s="228">
        <v>93</v>
      </c>
      <c r="BO215" s="228">
        <v>96</v>
      </c>
      <c r="BP215" s="229">
        <v>1.0318000000000001</v>
      </c>
      <c r="BQ215" s="228">
        <v>871</v>
      </c>
      <c r="BR215" s="228">
        <v>724</v>
      </c>
      <c r="BS215" s="228">
        <v>147</v>
      </c>
      <c r="BT215" s="229">
        <v>0.2034</v>
      </c>
      <c r="BU215" s="230">
        <v>117719200</v>
      </c>
      <c r="BV215" s="230">
        <v>119727477</v>
      </c>
      <c r="BW215" s="230">
        <v>-2008277</v>
      </c>
      <c r="BX215" s="229">
        <v>-1.6799999999999999E-2</v>
      </c>
      <c r="BY215" s="230">
        <v>1963</v>
      </c>
      <c r="BZ215" s="230">
        <v>1926</v>
      </c>
      <c r="CA215" s="228">
        <v>36</v>
      </c>
      <c r="CB215" s="229">
        <v>1.8800000000000001E-2</v>
      </c>
      <c r="CC215" s="230">
        <v>1821</v>
      </c>
      <c r="CD215" s="230">
        <v>1800</v>
      </c>
      <c r="CE215" s="228">
        <v>21</v>
      </c>
      <c r="CF215" s="229">
        <v>1.18E-2</v>
      </c>
      <c r="CG215" s="228">
        <v>131</v>
      </c>
      <c r="CH215" s="228">
        <v>120</v>
      </c>
      <c r="CI215" s="228">
        <v>11</v>
      </c>
      <c r="CJ215" s="229">
        <v>9.3600000000000003E-2</v>
      </c>
      <c r="CK215" s="228">
        <v>10</v>
      </c>
      <c r="CL215" s="228">
        <v>6</v>
      </c>
      <c r="CM215" s="228">
        <v>4</v>
      </c>
      <c r="CN215" s="229">
        <v>0.5978</v>
      </c>
      <c r="CO215" s="228">
        <v>425</v>
      </c>
      <c r="CP215" s="228">
        <v>414</v>
      </c>
      <c r="CQ215" s="228">
        <v>11</v>
      </c>
      <c r="CR215" s="229">
        <v>2.7E-2</v>
      </c>
      <c r="CS215" s="228">
        <v>210</v>
      </c>
      <c r="CT215" s="228">
        <v>205</v>
      </c>
      <c r="CU215" s="228">
        <v>5</v>
      </c>
      <c r="CV215" s="229">
        <v>2.6100000000000002E-2</v>
      </c>
      <c r="CW215" s="230">
        <v>2598</v>
      </c>
      <c r="CX215" s="230">
        <v>2545</v>
      </c>
      <c r="CY215" s="228">
        <v>53</v>
      </c>
      <c r="CZ215" s="229">
        <v>2.07E-2</v>
      </c>
      <c r="DA215" s="228">
        <v>32.19</v>
      </c>
      <c r="DB215" s="228">
        <v>32.11</v>
      </c>
      <c r="DC215" s="228">
        <v>0.08</v>
      </c>
      <c r="DD215" s="228">
        <v>0.08</v>
      </c>
      <c r="DE215" s="228">
        <v>41.36</v>
      </c>
      <c r="DF215" s="228">
        <v>41.46</v>
      </c>
      <c r="DG215" s="228">
        <v>-9.17</v>
      </c>
      <c r="DH215" s="228">
        <v>-0.1</v>
      </c>
      <c r="DI215" s="228">
        <v>32.700000000000003</v>
      </c>
      <c r="DJ215" s="228">
        <v>32.4</v>
      </c>
      <c r="DK215" s="228">
        <v>0.3</v>
      </c>
      <c r="DL215" s="228">
        <v>0.3</v>
      </c>
      <c r="DM215" s="228">
        <v>31.15</v>
      </c>
      <c r="DN215" s="228">
        <v>30.93</v>
      </c>
      <c r="DO215" s="228">
        <v>0.22</v>
      </c>
      <c r="DP215" s="228">
        <v>0.22</v>
      </c>
      <c r="DQ215" s="228">
        <v>0.49</v>
      </c>
      <c r="DR215" s="228">
        <v>0.49</v>
      </c>
      <c r="DS215" s="228">
        <v>0</v>
      </c>
      <c r="DT215" s="229">
        <v>0</v>
      </c>
      <c r="DU215" s="228">
        <v>24</v>
      </c>
      <c r="DV215" s="228">
        <v>21</v>
      </c>
      <c r="DW215" s="228">
        <v>0.5</v>
      </c>
      <c r="DX215" s="228">
        <v>0.25</v>
      </c>
      <c r="DY215" s="228">
        <v>0.25</v>
      </c>
      <c r="DZ215" s="229">
        <v>1</v>
      </c>
      <c r="EA215" s="229">
        <v>7.2099999999999997E-2</v>
      </c>
      <c r="EB215" s="230">
        <v>57348400</v>
      </c>
      <c r="EC215" s="229">
        <v>5.8999999999999999E-3</v>
      </c>
      <c r="ED215" s="229">
        <v>7.2099999999999997E-2</v>
      </c>
      <c r="EE215" s="228">
        <v>0.14000000000000001</v>
      </c>
      <c r="EF215" s="229">
        <v>6.3E-3</v>
      </c>
      <c r="EG215" s="230">
        <v>56988298</v>
      </c>
      <c r="EH215" s="230">
        <v>59965754</v>
      </c>
      <c r="EI215" s="229">
        <v>-4.9700000000000001E-2</v>
      </c>
      <c r="EJ215" s="229">
        <v>0.48409999999999997</v>
      </c>
      <c r="EK215" s="228">
        <v>396.88</v>
      </c>
      <c r="EL215" s="228">
        <v>182.94</v>
      </c>
      <c r="EM215" s="228">
        <v>305.52</v>
      </c>
      <c r="EN215" s="228">
        <v>103.34</v>
      </c>
      <c r="EO215" s="228">
        <v>885.34</v>
      </c>
      <c r="EP215" s="228">
        <v>742.68</v>
      </c>
      <c r="EQ215" s="228">
        <v>142.66999999999999</v>
      </c>
      <c r="ER215" s="229">
        <v>0.19209999999999999</v>
      </c>
      <c r="ES215" s="228">
        <v>438.83</v>
      </c>
      <c r="ET215" s="228">
        <v>198.53</v>
      </c>
      <c r="EU215" s="231">
        <v>1963.44</v>
      </c>
      <c r="EV215" s="231">
        <v>3136562346</v>
      </c>
      <c r="EW215" s="231">
        <v>2600.81</v>
      </c>
      <c r="EX215" s="231">
        <v>2539.96</v>
      </c>
      <c r="EY215" s="228">
        <v>60.85</v>
      </c>
      <c r="EZ215" s="229">
        <v>2.4E-2</v>
      </c>
      <c r="FA215" s="229">
        <v>0.3755</v>
      </c>
      <c r="FB215" s="227" t="s">
        <v>555</v>
      </c>
      <c r="FC215">
        <f t="shared" si="4"/>
        <v>0</v>
      </c>
    </row>
    <row r="216" spans="1:159" ht="17.25" thickBot="1" x14ac:dyDescent="0.3">
      <c r="A216" s="226">
        <v>45936</v>
      </c>
      <c r="B216" s="227" t="s">
        <v>170</v>
      </c>
      <c r="C216" s="227" t="s">
        <v>557</v>
      </c>
      <c r="D216" s="228">
        <v>900</v>
      </c>
      <c r="E216" s="228">
        <v>22</v>
      </c>
      <c r="F216" s="228">
        <v>998.35</v>
      </c>
      <c r="G216" s="228">
        <v>994.45</v>
      </c>
      <c r="H216" s="228">
        <v>3.9</v>
      </c>
      <c r="I216" s="229">
        <v>3.8999999999999998E-3</v>
      </c>
      <c r="J216" s="228">
        <v>994.65</v>
      </c>
      <c r="K216" s="228">
        <v>988.3</v>
      </c>
      <c r="L216" s="228">
        <v>6.35</v>
      </c>
      <c r="M216" s="229">
        <v>6.4000000000000003E-3</v>
      </c>
      <c r="N216" s="228">
        <v>998.35</v>
      </c>
      <c r="O216" s="228">
        <v>994.45</v>
      </c>
      <c r="P216" s="228">
        <v>3.9</v>
      </c>
      <c r="Q216" s="229">
        <v>3.8999999999999998E-3</v>
      </c>
      <c r="R216" s="231">
        <v>1004.35</v>
      </c>
      <c r="S216" s="231">
        <v>1000.2</v>
      </c>
      <c r="T216" s="228">
        <v>4.1500000000000004</v>
      </c>
      <c r="U216" s="229">
        <v>4.1000000000000003E-3</v>
      </c>
      <c r="V216" s="231">
        <v>1007.3</v>
      </c>
      <c r="W216" s="228">
        <v>0</v>
      </c>
      <c r="X216" s="231">
        <v>1007.3</v>
      </c>
      <c r="Y216" s="229">
        <v>0</v>
      </c>
      <c r="Z216" s="228">
        <v>3.7</v>
      </c>
      <c r="AA216" s="228">
        <v>6.15</v>
      </c>
      <c r="AB216" s="228">
        <v>-2.4500000000000002</v>
      </c>
      <c r="AC216" s="229">
        <v>3.7000000000000002E-3</v>
      </c>
      <c r="AD216" s="228">
        <v>3.7</v>
      </c>
      <c r="AE216" s="228">
        <v>6.15</v>
      </c>
      <c r="AF216" s="228">
        <v>-2.4500000000000002</v>
      </c>
      <c r="AG216" s="229">
        <v>3.7000000000000002E-3</v>
      </c>
      <c r="AH216" s="228">
        <v>9.6999999999999993</v>
      </c>
      <c r="AI216" s="228">
        <v>11.9</v>
      </c>
      <c r="AJ216" s="228">
        <v>-2.2000000000000002</v>
      </c>
      <c r="AK216" s="229">
        <v>9.7999999999999997E-3</v>
      </c>
      <c r="AL216" s="228">
        <v>12.65</v>
      </c>
      <c r="AM216" s="228">
        <v>0</v>
      </c>
      <c r="AN216" s="228">
        <v>12.65</v>
      </c>
      <c r="AO216" s="229">
        <v>1.2699999999999999E-2</v>
      </c>
      <c r="AP216" s="228">
        <v>992.31</v>
      </c>
      <c r="AQ216" s="228">
        <v>992.76</v>
      </c>
      <c r="AR216" s="228">
        <v>0</v>
      </c>
      <c r="AS216" s="228">
        <v>76</v>
      </c>
      <c r="AT216" s="228">
        <v>99</v>
      </c>
      <c r="AU216" s="228">
        <v>-24</v>
      </c>
      <c r="AV216" s="229">
        <v>-0.24030000000000001</v>
      </c>
      <c r="AW216" s="228">
        <v>72</v>
      </c>
      <c r="AX216" s="228">
        <v>96</v>
      </c>
      <c r="AY216" s="228">
        <v>-24</v>
      </c>
      <c r="AZ216" s="229">
        <v>-0.246</v>
      </c>
      <c r="BA216" s="228">
        <v>3</v>
      </c>
      <c r="BB216" s="228">
        <v>4</v>
      </c>
      <c r="BC216" s="228">
        <v>0</v>
      </c>
      <c r="BD216" s="229">
        <v>-0.11899999999999999</v>
      </c>
      <c r="BE216" s="228">
        <v>0</v>
      </c>
      <c r="BF216" s="228">
        <v>0</v>
      </c>
      <c r="BG216" s="228">
        <v>0</v>
      </c>
      <c r="BH216" s="229">
        <v>0</v>
      </c>
      <c r="BI216" s="228">
        <v>186</v>
      </c>
      <c r="BJ216" s="228">
        <v>108</v>
      </c>
      <c r="BK216" s="228">
        <v>78</v>
      </c>
      <c r="BL216" s="229">
        <v>0.71699999999999997</v>
      </c>
      <c r="BM216" s="228">
        <v>70</v>
      </c>
      <c r="BN216" s="228">
        <v>90</v>
      </c>
      <c r="BO216" s="228">
        <v>-20</v>
      </c>
      <c r="BP216" s="229">
        <v>-0.22040000000000001</v>
      </c>
      <c r="BQ216" s="228">
        <v>331</v>
      </c>
      <c r="BR216" s="228">
        <v>297</v>
      </c>
      <c r="BS216" s="228">
        <v>34</v>
      </c>
      <c r="BT216" s="229">
        <v>0.1142</v>
      </c>
      <c r="BU216" s="230">
        <v>384531</v>
      </c>
      <c r="BV216" s="230">
        <v>599734</v>
      </c>
      <c r="BW216" s="230">
        <v>-215203</v>
      </c>
      <c r="BX216" s="229">
        <v>-0.35880000000000001</v>
      </c>
      <c r="BY216" s="228">
        <v>817</v>
      </c>
      <c r="BZ216" s="228">
        <v>814</v>
      </c>
      <c r="CA216" s="228">
        <v>3</v>
      </c>
      <c r="CB216" s="229">
        <v>3.8999999999999998E-3</v>
      </c>
      <c r="CC216" s="228">
        <v>805</v>
      </c>
      <c r="CD216" s="228">
        <v>802</v>
      </c>
      <c r="CE216" s="228">
        <v>3</v>
      </c>
      <c r="CF216" s="229">
        <v>4.3E-3</v>
      </c>
      <c r="CG216" s="228">
        <v>12</v>
      </c>
      <c r="CH216" s="228">
        <v>12</v>
      </c>
      <c r="CI216" s="228">
        <v>0</v>
      </c>
      <c r="CJ216" s="229">
        <v>-2.9000000000000001E-2</v>
      </c>
      <c r="CK216" s="228">
        <v>0</v>
      </c>
      <c r="CL216" s="228">
        <v>0</v>
      </c>
      <c r="CM216" s="228">
        <v>0</v>
      </c>
      <c r="CN216" s="229">
        <v>0</v>
      </c>
      <c r="CO216" s="228">
        <v>222</v>
      </c>
      <c r="CP216" s="228">
        <v>190</v>
      </c>
      <c r="CQ216" s="228">
        <v>31</v>
      </c>
      <c r="CR216" s="229">
        <v>0.16370000000000001</v>
      </c>
      <c r="CS216" s="228">
        <v>154</v>
      </c>
      <c r="CT216" s="228">
        <v>155</v>
      </c>
      <c r="CU216" s="228">
        <v>0</v>
      </c>
      <c r="CV216" s="229">
        <v>-2.3E-3</v>
      </c>
      <c r="CW216" s="230">
        <v>1193</v>
      </c>
      <c r="CX216" s="230">
        <v>1159</v>
      </c>
      <c r="CY216" s="228">
        <v>34</v>
      </c>
      <c r="CZ216" s="229">
        <v>2.93E-2</v>
      </c>
      <c r="DA216" s="228">
        <v>23.05</v>
      </c>
      <c r="DB216" s="228">
        <v>23.65</v>
      </c>
      <c r="DC216" s="228">
        <v>-0.6</v>
      </c>
      <c r="DD216" s="228">
        <v>-0.6</v>
      </c>
      <c r="DE216" s="228">
        <v>30.36</v>
      </c>
      <c r="DF216" s="228">
        <v>30.43</v>
      </c>
      <c r="DG216" s="228">
        <v>-7.31</v>
      </c>
      <c r="DH216" s="228">
        <v>-7.0000000000000007E-2</v>
      </c>
      <c r="DI216" s="228">
        <v>22.75</v>
      </c>
      <c r="DJ216" s="228">
        <v>22.84</v>
      </c>
      <c r="DK216" s="228">
        <v>-0.09</v>
      </c>
      <c r="DL216" s="228">
        <v>-0.09</v>
      </c>
      <c r="DM216" s="228">
        <v>23.88</v>
      </c>
      <c r="DN216" s="228">
        <v>24.62</v>
      </c>
      <c r="DO216" s="228">
        <v>-0.74</v>
      </c>
      <c r="DP216" s="228">
        <v>-0.74</v>
      </c>
      <c r="DQ216" s="228">
        <v>0.7</v>
      </c>
      <c r="DR216" s="228">
        <v>0.81</v>
      </c>
      <c r="DS216" s="228">
        <v>-0.11</v>
      </c>
      <c r="DT216" s="229">
        <v>-0.1358</v>
      </c>
      <c r="DU216" s="231">
        <v>1100</v>
      </c>
      <c r="DV216" s="228">
        <v>880</v>
      </c>
      <c r="DW216" s="228">
        <v>0.38</v>
      </c>
      <c r="DX216" s="228">
        <v>0.83</v>
      </c>
      <c r="DY216" s="228">
        <v>-0.45</v>
      </c>
      <c r="DZ216" s="229">
        <v>-0.54220000000000002</v>
      </c>
      <c r="EA216" s="229">
        <v>1.4800000000000001E-2</v>
      </c>
      <c r="EB216" s="230">
        <v>124200</v>
      </c>
      <c r="EC216" s="229">
        <v>6.0000000000000001E-3</v>
      </c>
      <c r="ED216" s="229">
        <v>1.4800000000000001E-2</v>
      </c>
      <c r="EE216" s="228">
        <v>0.45</v>
      </c>
      <c r="EF216" s="229">
        <v>5.0000000000000001E-4</v>
      </c>
      <c r="EG216" s="230">
        <v>206700</v>
      </c>
      <c r="EH216" s="230">
        <v>331238</v>
      </c>
      <c r="EI216" s="229">
        <v>-0.376</v>
      </c>
      <c r="EJ216" s="229">
        <v>0.53749999999999998</v>
      </c>
      <c r="EK216" s="228">
        <v>193.66</v>
      </c>
      <c r="EL216" s="228">
        <v>67.17</v>
      </c>
      <c r="EM216" s="228">
        <v>75.11</v>
      </c>
      <c r="EN216" s="228">
        <v>31.73</v>
      </c>
      <c r="EO216" s="228">
        <v>335.94</v>
      </c>
      <c r="EP216" s="228">
        <v>297.70999999999998</v>
      </c>
      <c r="EQ216" s="228">
        <v>38.229999999999997</v>
      </c>
      <c r="ER216" s="229">
        <v>0.12839999999999999</v>
      </c>
      <c r="ES216" s="228">
        <v>235.67</v>
      </c>
      <c r="ET216" s="228">
        <v>149.69999999999999</v>
      </c>
      <c r="EU216" s="228">
        <v>817.36</v>
      </c>
      <c r="EV216" s="231">
        <v>32617803</v>
      </c>
      <c r="EW216" s="231">
        <v>1202.72</v>
      </c>
      <c r="EX216" s="231">
        <v>1164.04</v>
      </c>
      <c r="EY216" s="228">
        <v>38.68</v>
      </c>
      <c r="EZ216" s="229">
        <v>3.32E-2</v>
      </c>
      <c r="FA216" s="229">
        <v>0.36649999999999999</v>
      </c>
      <c r="FB216" s="227" t="s">
        <v>555</v>
      </c>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BY326-CC326</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BY390-CC390</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topLeftCell="F1" zoomScaleNormal="100" workbookViewId="0">
      <selection activeCell="CE159" sqref="CE159"/>
    </sheetView>
  </sheetViews>
  <sheetFormatPr defaultRowHeight="15" x14ac:dyDescent="0.25"/>
  <cols>
    <col min="1" max="1" width="11.8554687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4" customWidth="1"/>
    <col min="79" max="79" width="9.85546875" customWidth="1"/>
    <col min="80" max="81" width="15.5703125" customWidth="1"/>
    <col min="82" max="82" width="14" customWidth="1"/>
    <col min="83" max="83" width="11.42578125" customWidth="1"/>
    <col min="84" max="84" width="14" customWidth="1"/>
    <col min="85" max="85" width="14.42578125" customWidth="1"/>
    <col min="86" max="86" width="13.5703125" customWidth="1"/>
    <col min="87" max="87" width="11.42578125" customWidth="1"/>
    <col min="88" max="90" width="12.7109375" customWidth="1"/>
    <col min="91" max="91" width="11.28515625" customWidth="1"/>
    <col min="92" max="93" width="15.5703125" customWidth="1"/>
    <col min="94" max="94" width="14" customWidth="1"/>
    <col min="95" max="95" width="10.42578125" customWidth="1"/>
    <col min="96" max="96" width="15.5703125" customWidth="1"/>
    <col min="97" max="98" width="14" customWidth="1"/>
    <col min="99" max="99" width="10.28515625" customWidth="1"/>
    <col min="100" max="101" width="15.5703125" customWidth="1"/>
    <col min="102" max="102" width="14" customWidth="1"/>
    <col min="103" max="103" width="11.7109375" customWidth="1"/>
    <col min="104" max="104" width="8" style="195" customWidth="1"/>
    <col min="105" max="105" width="8.7109375" customWidth="1"/>
    <col min="106" max="106" width="7.85546875" customWidth="1"/>
    <col min="107" max="107" width="7.71093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8.42578125" customWidth="1"/>
    <col min="152" max="153" width="16.7109375" customWidth="1"/>
    <col min="154"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45936</v>
      </c>
      <c r="B2" s="227" t="s">
        <v>175</v>
      </c>
      <c r="C2" s="227" t="s">
        <v>684</v>
      </c>
      <c r="D2" s="228">
        <v>500</v>
      </c>
      <c r="E2" s="231">
        <v>1064.5999999999999</v>
      </c>
      <c r="F2" s="231">
        <v>1053.2</v>
      </c>
      <c r="G2" s="228">
        <v>11.4</v>
      </c>
      <c r="H2" s="229">
        <v>1.0800000000000001E-2</v>
      </c>
      <c r="I2" s="231">
        <v>1062.4000000000001</v>
      </c>
      <c r="J2" s="231">
        <v>1049.2</v>
      </c>
      <c r="K2" s="228">
        <v>13.2</v>
      </c>
      <c r="L2" s="229">
        <v>1.26E-2</v>
      </c>
      <c r="M2" s="231">
        <v>1064.5999999999999</v>
      </c>
      <c r="N2" s="231">
        <v>1053.2</v>
      </c>
      <c r="O2" s="228">
        <v>11.4</v>
      </c>
      <c r="P2" s="229">
        <v>1.0800000000000001E-2</v>
      </c>
      <c r="Q2" s="231">
        <v>1066.3</v>
      </c>
      <c r="R2" s="231">
        <v>1054.8</v>
      </c>
      <c r="S2" s="228">
        <v>11.5</v>
      </c>
      <c r="T2" s="229">
        <v>1.09E-2</v>
      </c>
      <c r="U2" s="228">
        <v>0</v>
      </c>
      <c r="V2" s="228">
        <v>0</v>
      </c>
      <c r="W2" s="228">
        <v>0</v>
      </c>
      <c r="X2" s="229">
        <v>0</v>
      </c>
      <c r="Y2" s="228">
        <v>2.2000000000000002</v>
      </c>
      <c r="Z2" s="228">
        <v>4</v>
      </c>
      <c r="AA2" s="228">
        <v>-1.8</v>
      </c>
      <c r="AB2" s="229">
        <v>2.0999999999999999E-3</v>
      </c>
      <c r="AC2" s="228">
        <v>2.2000000000000002</v>
      </c>
      <c r="AD2" s="228">
        <v>4</v>
      </c>
      <c r="AE2" s="228">
        <v>-1.8</v>
      </c>
      <c r="AF2" s="229">
        <v>2.0999999999999999E-3</v>
      </c>
      <c r="AG2" s="228">
        <v>3.9</v>
      </c>
      <c r="AH2" s="228">
        <v>5.6</v>
      </c>
      <c r="AI2" s="228">
        <v>-1.7</v>
      </c>
      <c r="AJ2" s="229">
        <v>3.7000000000000002E-3</v>
      </c>
      <c r="AK2" s="228">
        <v>0</v>
      </c>
      <c r="AL2" s="228">
        <v>0</v>
      </c>
      <c r="AM2" s="228">
        <v>0</v>
      </c>
      <c r="AN2" s="229">
        <v>0</v>
      </c>
      <c r="AO2" s="231">
        <v>1060.1300000000001</v>
      </c>
      <c r="AP2" s="231">
        <v>1062.93</v>
      </c>
      <c r="AQ2" s="228">
        <v>0</v>
      </c>
      <c r="AR2" s="230">
        <v>296500</v>
      </c>
      <c r="AS2" s="230">
        <v>427500</v>
      </c>
      <c r="AT2" s="230">
        <v>-131000</v>
      </c>
      <c r="AU2" s="229">
        <v>-0.30640000000000001</v>
      </c>
      <c r="AV2" s="230">
        <v>289000</v>
      </c>
      <c r="AW2" s="230">
        <v>415500</v>
      </c>
      <c r="AX2" s="230">
        <v>-126500</v>
      </c>
      <c r="AY2" s="229">
        <v>-0.30449999999999999</v>
      </c>
      <c r="AZ2" s="230">
        <v>7500</v>
      </c>
      <c r="BA2" s="230">
        <v>12000</v>
      </c>
      <c r="BB2" s="230">
        <v>-4500</v>
      </c>
      <c r="BC2" s="229">
        <v>-0.375</v>
      </c>
      <c r="BD2" s="228">
        <v>0</v>
      </c>
      <c r="BE2" s="228">
        <v>0</v>
      </c>
      <c r="BF2" s="228">
        <v>0</v>
      </c>
      <c r="BG2" s="229">
        <v>0</v>
      </c>
      <c r="BH2" s="230">
        <v>951500</v>
      </c>
      <c r="BI2" s="230">
        <v>841000</v>
      </c>
      <c r="BJ2" s="230">
        <v>110500</v>
      </c>
      <c r="BK2" s="229">
        <v>0.13139999999999999</v>
      </c>
      <c r="BL2" s="230">
        <v>148000</v>
      </c>
      <c r="BM2" s="230">
        <v>185500</v>
      </c>
      <c r="BN2" s="230">
        <v>-37500</v>
      </c>
      <c r="BO2" s="229">
        <v>-0.20219999999999999</v>
      </c>
      <c r="BP2" s="230">
        <v>1396000</v>
      </c>
      <c r="BQ2" s="230">
        <v>1454000</v>
      </c>
      <c r="BR2" s="230">
        <v>-58000</v>
      </c>
      <c r="BS2" s="229">
        <v>-3.9899999999999998E-2</v>
      </c>
      <c r="BT2" s="230">
        <v>273331</v>
      </c>
      <c r="BU2" s="230">
        <v>470419</v>
      </c>
      <c r="BV2" s="230">
        <v>-197088</v>
      </c>
      <c r="BW2" s="229">
        <v>-0.41899999999999998</v>
      </c>
      <c r="BX2" s="230">
        <v>2482500</v>
      </c>
      <c r="BY2" s="230">
        <v>2481500</v>
      </c>
      <c r="BZ2" s="230">
        <v>1000</v>
      </c>
      <c r="CA2" s="229">
        <v>4.0000000000000002E-4</v>
      </c>
      <c r="CB2" s="230">
        <v>2450500</v>
      </c>
      <c r="CC2" s="230">
        <v>2449500</v>
      </c>
      <c r="CD2" s="230">
        <v>1000</v>
      </c>
      <c r="CE2" s="229">
        <v>4.0000000000000002E-4</v>
      </c>
      <c r="CF2" s="230">
        <v>32000</v>
      </c>
      <c r="CG2" s="230">
        <v>32000</v>
      </c>
      <c r="CH2" s="228">
        <v>0</v>
      </c>
      <c r="CI2" s="229">
        <v>0</v>
      </c>
      <c r="CJ2" s="228">
        <v>0</v>
      </c>
      <c r="CK2" s="228">
        <v>0</v>
      </c>
      <c r="CL2" s="228">
        <v>0</v>
      </c>
      <c r="CM2" s="229">
        <v>0</v>
      </c>
      <c r="CN2" s="230">
        <v>750500</v>
      </c>
      <c r="CO2" s="230">
        <v>611500</v>
      </c>
      <c r="CP2" s="230">
        <v>139000</v>
      </c>
      <c r="CQ2" s="229">
        <v>0.2273</v>
      </c>
      <c r="CR2" s="230">
        <v>474500</v>
      </c>
      <c r="CS2" s="230">
        <v>446500</v>
      </c>
      <c r="CT2" s="230">
        <v>28000</v>
      </c>
      <c r="CU2" s="229">
        <v>6.2700000000000006E-2</v>
      </c>
      <c r="CV2" s="230">
        <v>3707500</v>
      </c>
      <c r="CW2" s="230">
        <v>3539500</v>
      </c>
      <c r="CX2" s="230">
        <v>168000</v>
      </c>
      <c r="CY2" s="229">
        <v>4.7500000000000001E-2</v>
      </c>
      <c r="CZ2" s="228">
        <v>28.47</v>
      </c>
      <c r="DA2" s="228">
        <v>27.71</v>
      </c>
      <c r="DB2" s="228">
        <v>0.76</v>
      </c>
      <c r="DC2" s="228">
        <v>0.76</v>
      </c>
      <c r="DD2" s="228">
        <v>46.54</v>
      </c>
      <c r="DE2" s="228">
        <v>46.63</v>
      </c>
      <c r="DF2" s="228">
        <v>-18.07</v>
      </c>
      <c r="DG2" s="228">
        <v>-0.09</v>
      </c>
      <c r="DH2" s="228">
        <v>27.96</v>
      </c>
      <c r="DI2" s="228">
        <v>27.37</v>
      </c>
      <c r="DJ2" s="228">
        <v>0.59</v>
      </c>
      <c r="DK2" s="228">
        <v>0.59</v>
      </c>
      <c r="DL2" s="228">
        <v>31.75</v>
      </c>
      <c r="DM2" s="228">
        <v>29.25</v>
      </c>
      <c r="DN2" s="228">
        <v>2.5</v>
      </c>
      <c r="DO2" s="228">
        <v>2.5</v>
      </c>
      <c r="DP2" s="228">
        <v>0.63</v>
      </c>
      <c r="DQ2" s="228">
        <v>0.73</v>
      </c>
      <c r="DR2" s="228">
        <v>-0.1</v>
      </c>
      <c r="DS2" s="229">
        <v>-0.13700000000000001</v>
      </c>
      <c r="DT2" s="231">
        <v>1100</v>
      </c>
      <c r="DU2" s="231">
        <v>1100</v>
      </c>
      <c r="DV2" s="228">
        <v>0.16</v>
      </c>
      <c r="DW2" s="228">
        <v>0.22</v>
      </c>
      <c r="DX2" s="228">
        <v>-0.06</v>
      </c>
      <c r="DY2" s="229">
        <v>-0.2727</v>
      </c>
      <c r="DZ2" s="229">
        <v>1.29E-2</v>
      </c>
      <c r="EA2" s="230">
        <v>32000</v>
      </c>
      <c r="EB2" s="229">
        <v>1.6000000000000001E-3</v>
      </c>
      <c r="EC2" s="229">
        <v>1.29E-2</v>
      </c>
      <c r="ED2" s="228">
        <v>2.8</v>
      </c>
      <c r="EE2" s="229">
        <v>2.5999999999999999E-3</v>
      </c>
      <c r="EF2" s="230">
        <v>171559</v>
      </c>
      <c r="EG2" s="230">
        <v>243047</v>
      </c>
      <c r="EH2" s="229">
        <v>-0.29409999999999997</v>
      </c>
      <c r="EI2" s="229">
        <v>0.62770000000000004</v>
      </c>
      <c r="EJ2" s="231">
        <v>10497.26</v>
      </c>
      <c r="EK2" s="231">
        <v>1522.25</v>
      </c>
      <c r="EL2" s="231">
        <v>3143.49</v>
      </c>
      <c r="EM2" s="231">
        <v>2235</v>
      </c>
      <c r="EN2" s="231">
        <v>15163</v>
      </c>
      <c r="EO2" s="231">
        <v>15660.9</v>
      </c>
      <c r="EP2" s="228">
        <v>-497.9</v>
      </c>
      <c r="EQ2" s="229">
        <v>-3.1800000000000002E-2</v>
      </c>
      <c r="ER2" s="231">
        <v>8122</v>
      </c>
      <c r="ES2" s="231">
        <v>4989</v>
      </c>
      <c r="ET2" s="231">
        <v>26429</v>
      </c>
      <c r="EU2" s="231">
        <v>44660948</v>
      </c>
      <c r="EV2" s="231">
        <v>39540</v>
      </c>
      <c r="EW2" s="231">
        <v>37466</v>
      </c>
      <c r="EX2" s="231">
        <v>2074</v>
      </c>
      <c r="EY2" s="229">
        <v>5.5399999999999998E-2</v>
      </c>
      <c r="EZ2" s="229">
        <v>8.3000000000000004E-2</v>
      </c>
      <c r="FA2" s="227" t="s">
        <v>555</v>
      </c>
      <c r="FB2" s="161">
        <f>BX2-CB2</f>
        <v>32000</v>
      </c>
    </row>
    <row r="3" spans="1:158" ht="17.25" hidden="1" thickBot="1" x14ac:dyDescent="0.3">
      <c r="A3" s="226">
        <v>45936</v>
      </c>
      <c r="B3" s="227" t="s">
        <v>184</v>
      </c>
      <c r="C3" s="227" t="s">
        <v>553</v>
      </c>
      <c r="D3" s="228">
        <v>125</v>
      </c>
      <c r="E3" s="231">
        <v>5255.5</v>
      </c>
      <c r="F3" s="231">
        <v>5218</v>
      </c>
      <c r="G3" s="228">
        <v>37.5</v>
      </c>
      <c r="H3" s="229">
        <v>7.1999999999999998E-3</v>
      </c>
      <c r="I3" s="231">
        <v>5218</v>
      </c>
      <c r="J3" s="231">
        <v>5183.5</v>
      </c>
      <c r="K3" s="228">
        <v>34.5</v>
      </c>
      <c r="L3" s="229">
        <v>6.7000000000000002E-3</v>
      </c>
      <c r="M3" s="231">
        <v>5255.5</v>
      </c>
      <c r="N3" s="231">
        <v>5218</v>
      </c>
      <c r="O3" s="228">
        <v>37.5</v>
      </c>
      <c r="P3" s="229">
        <v>7.1999999999999998E-3</v>
      </c>
      <c r="Q3" s="231">
        <v>5287.5</v>
      </c>
      <c r="R3" s="231">
        <v>5251</v>
      </c>
      <c r="S3" s="228">
        <v>36.5</v>
      </c>
      <c r="T3" s="229">
        <v>7.0000000000000001E-3</v>
      </c>
      <c r="U3" s="231">
        <v>5306</v>
      </c>
      <c r="V3" s="231">
        <v>5270</v>
      </c>
      <c r="W3" s="228">
        <v>36</v>
      </c>
      <c r="X3" s="229">
        <v>6.7999999999999996E-3</v>
      </c>
      <c r="Y3" s="228">
        <v>37.5</v>
      </c>
      <c r="Z3" s="228">
        <v>34.5</v>
      </c>
      <c r="AA3" s="228">
        <v>3</v>
      </c>
      <c r="AB3" s="229">
        <v>7.1999999999999998E-3</v>
      </c>
      <c r="AC3" s="228">
        <v>37.5</v>
      </c>
      <c r="AD3" s="228">
        <v>34.5</v>
      </c>
      <c r="AE3" s="228">
        <v>3</v>
      </c>
      <c r="AF3" s="229">
        <v>7.1999999999999998E-3</v>
      </c>
      <c r="AG3" s="228">
        <v>69.5</v>
      </c>
      <c r="AH3" s="228">
        <v>67.5</v>
      </c>
      <c r="AI3" s="228">
        <v>2</v>
      </c>
      <c r="AJ3" s="229">
        <v>1.3299999999999999E-2</v>
      </c>
      <c r="AK3" s="228">
        <v>88</v>
      </c>
      <c r="AL3" s="228">
        <v>86.5</v>
      </c>
      <c r="AM3" s="228">
        <v>1.5</v>
      </c>
      <c r="AN3" s="229">
        <v>1.6899999999999998E-2</v>
      </c>
      <c r="AO3" s="231">
        <v>5236.3900000000003</v>
      </c>
      <c r="AP3" s="231">
        <v>5269.43</v>
      </c>
      <c r="AQ3" s="228">
        <v>0</v>
      </c>
      <c r="AR3" s="230">
        <v>410000</v>
      </c>
      <c r="AS3" s="230">
        <v>214500</v>
      </c>
      <c r="AT3" s="230">
        <v>195500</v>
      </c>
      <c r="AU3" s="229">
        <v>0.91139999999999999</v>
      </c>
      <c r="AV3" s="230">
        <v>394125</v>
      </c>
      <c r="AW3" s="230">
        <v>206000</v>
      </c>
      <c r="AX3" s="230">
        <v>188125</v>
      </c>
      <c r="AY3" s="229">
        <v>0.91320000000000001</v>
      </c>
      <c r="AZ3" s="230">
        <v>14000</v>
      </c>
      <c r="BA3" s="230">
        <v>7625</v>
      </c>
      <c r="BB3" s="230">
        <v>6375</v>
      </c>
      <c r="BC3" s="229">
        <v>0.83609999999999995</v>
      </c>
      <c r="BD3" s="230">
        <v>1875</v>
      </c>
      <c r="BE3" s="228">
        <v>875</v>
      </c>
      <c r="BF3" s="230">
        <v>1000</v>
      </c>
      <c r="BG3" s="229">
        <v>1.1429</v>
      </c>
      <c r="BH3" s="230">
        <v>1207875</v>
      </c>
      <c r="BI3" s="230">
        <v>458000</v>
      </c>
      <c r="BJ3" s="230">
        <v>749875</v>
      </c>
      <c r="BK3" s="229">
        <v>1.6373</v>
      </c>
      <c r="BL3" s="230">
        <v>307250</v>
      </c>
      <c r="BM3" s="230">
        <v>238000</v>
      </c>
      <c r="BN3" s="230">
        <v>69250</v>
      </c>
      <c r="BO3" s="229">
        <v>0.29099999999999998</v>
      </c>
      <c r="BP3" s="230">
        <v>1925125</v>
      </c>
      <c r="BQ3" s="230">
        <v>910500</v>
      </c>
      <c r="BR3" s="230">
        <v>1014625</v>
      </c>
      <c r="BS3" s="229">
        <v>1.1144000000000001</v>
      </c>
      <c r="BT3" s="230">
        <v>160524</v>
      </c>
      <c r="BU3" s="230">
        <v>294331</v>
      </c>
      <c r="BV3" s="230">
        <v>-133807</v>
      </c>
      <c r="BW3" s="229">
        <v>-0.4546</v>
      </c>
      <c r="BX3" s="230">
        <v>2467000</v>
      </c>
      <c r="BY3" s="230">
        <v>2367500</v>
      </c>
      <c r="BZ3" s="230">
        <v>99500</v>
      </c>
      <c r="CA3" s="229">
        <v>4.2000000000000003E-2</v>
      </c>
      <c r="CB3" s="230">
        <v>2404375</v>
      </c>
      <c r="CC3" s="230">
        <v>2309000</v>
      </c>
      <c r="CD3" s="230">
        <v>95375</v>
      </c>
      <c r="CE3" s="229">
        <v>4.1300000000000003E-2</v>
      </c>
      <c r="CF3" s="230">
        <v>60250</v>
      </c>
      <c r="CG3" s="230">
        <v>57000</v>
      </c>
      <c r="CH3" s="230">
        <v>3250</v>
      </c>
      <c r="CI3" s="229">
        <v>5.7000000000000002E-2</v>
      </c>
      <c r="CJ3" s="230">
        <v>2375</v>
      </c>
      <c r="CK3" s="230">
        <v>1500</v>
      </c>
      <c r="CL3" s="228">
        <v>875</v>
      </c>
      <c r="CM3" s="229">
        <v>0.58330000000000004</v>
      </c>
      <c r="CN3" s="230">
        <v>800500</v>
      </c>
      <c r="CO3" s="230">
        <v>647750</v>
      </c>
      <c r="CP3" s="230">
        <v>152750</v>
      </c>
      <c r="CQ3" s="229">
        <v>0.23580000000000001</v>
      </c>
      <c r="CR3" s="230">
        <v>539875</v>
      </c>
      <c r="CS3" s="230">
        <v>486375</v>
      </c>
      <c r="CT3" s="230">
        <v>53500</v>
      </c>
      <c r="CU3" s="229">
        <v>0.11</v>
      </c>
      <c r="CV3" s="230">
        <v>3807375</v>
      </c>
      <c r="CW3" s="230">
        <v>3501625</v>
      </c>
      <c r="CX3" s="230">
        <v>305750</v>
      </c>
      <c r="CY3" s="229">
        <v>8.7300000000000003E-2</v>
      </c>
      <c r="CZ3" s="228">
        <v>25.04</v>
      </c>
      <c r="DA3" s="228">
        <v>23.63</v>
      </c>
      <c r="DB3" s="228">
        <v>1.41</v>
      </c>
      <c r="DC3" s="228">
        <v>1.41</v>
      </c>
      <c r="DD3" s="228">
        <v>37.15</v>
      </c>
      <c r="DE3" s="228">
        <v>37.229999999999997</v>
      </c>
      <c r="DF3" s="228">
        <v>-12.11</v>
      </c>
      <c r="DG3" s="228">
        <v>-0.08</v>
      </c>
      <c r="DH3" s="228">
        <v>25</v>
      </c>
      <c r="DI3" s="228">
        <v>23.77</v>
      </c>
      <c r="DJ3" s="228">
        <v>1.23</v>
      </c>
      <c r="DK3" s="228">
        <v>1.23</v>
      </c>
      <c r="DL3" s="228">
        <v>25.21</v>
      </c>
      <c r="DM3" s="228">
        <v>23.36</v>
      </c>
      <c r="DN3" s="228">
        <v>1.85</v>
      </c>
      <c r="DO3" s="228">
        <v>1.85</v>
      </c>
      <c r="DP3" s="228">
        <v>0.67</v>
      </c>
      <c r="DQ3" s="228">
        <v>0.75</v>
      </c>
      <c r="DR3" s="228">
        <v>-0.08</v>
      </c>
      <c r="DS3" s="229">
        <v>-0.1067</v>
      </c>
      <c r="DT3" s="231">
        <v>5200</v>
      </c>
      <c r="DU3" s="231">
        <v>5200</v>
      </c>
      <c r="DV3" s="228">
        <v>0.25</v>
      </c>
      <c r="DW3" s="228">
        <v>0.52</v>
      </c>
      <c r="DX3" s="228">
        <v>-0.27</v>
      </c>
      <c r="DY3" s="229">
        <v>-0.51919999999999999</v>
      </c>
      <c r="DZ3" s="229">
        <v>2.5399999999999999E-2</v>
      </c>
      <c r="EA3" s="230">
        <v>58500</v>
      </c>
      <c r="EB3" s="229">
        <v>6.1000000000000004E-3</v>
      </c>
      <c r="EC3" s="229">
        <v>2.5399999999999999E-2</v>
      </c>
      <c r="ED3" s="228">
        <v>33.04</v>
      </c>
      <c r="EE3" s="229">
        <v>6.3E-3</v>
      </c>
      <c r="EF3" s="230">
        <v>77489</v>
      </c>
      <c r="EG3" s="230">
        <v>222434</v>
      </c>
      <c r="EH3" s="229">
        <v>-0.65159999999999996</v>
      </c>
      <c r="EI3" s="229">
        <v>0.48270000000000002</v>
      </c>
      <c r="EJ3" s="231">
        <v>66009.2</v>
      </c>
      <c r="EK3" s="231">
        <v>15919.01</v>
      </c>
      <c r="EL3" s="231">
        <v>21474.92</v>
      </c>
      <c r="EM3" s="231">
        <v>5308</v>
      </c>
      <c r="EN3" s="231">
        <v>103403.13</v>
      </c>
      <c r="EO3" s="231">
        <v>48588.78</v>
      </c>
      <c r="EP3" s="231">
        <v>54814.35</v>
      </c>
      <c r="EQ3" s="229">
        <v>1.1281000000000001</v>
      </c>
      <c r="ER3" s="231">
        <v>44051</v>
      </c>
      <c r="ES3" s="231">
        <v>28381</v>
      </c>
      <c r="ET3" s="231">
        <v>129674</v>
      </c>
      <c r="EU3" s="231">
        <v>7946564</v>
      </c>
      <c r="EV3" s="231">
        <v>202105</v>
      </c>
      <c r="EW3" s="231">
        <v>184850</v>
      </c>
      <c r="EX3" s="231">
        <v>17255</v>
      </c>
      <c r="EY3" s="229">
        <v>9.3299999999999994E-2</v>
      </c>
      <c r="EZ3" s="229">
        <v>0.47910000000000003</v>
      </c>
      <c r="FA3" s="227" t="s">
        <v>555</v>
      </c>
      <c r="FB3" s="161">
        <f t="shared" ref="FB3:FB66" si="0">BX3-CB3</f>
        <v>62625</v>
      </c>
    </row>
    <row r="4" spans="1:158" ht="17.25" hidden="1" thickBot="1" x14ac:dyDescent="0.3">
      <c r="A4" s="226">
        <v>45936</v>
      </c>
      <c r="B4" s="227" t="s">
        <v>175</v>
      </c>
      <c r="C4" s="227" t="s">
        <v>544</v>
      </c>
      <c r="D4" s="228">
        <v>3100</v>
      </c>
      <c r="E4" s="228">
        <v>306.14999999999998</v>
      </c>
      <c r="F4" s="228">
        <v>305.5</v>
      </c>
      <c r="G4" s="228">
        <v>0.65</v>
      </c>
      <c r="H4" s="229">
        <v>2.0999999999999999E-3</v>
      </c>
      <c r="I4" s="228">
        <v>304.05</v>
      </c>
      <c r="J4" s="228">
        <v>303.95</v>
      </c>
      <c r="K4" s="228">
        <v>0.1</v>
      </c>
      <c r="L4" s="229">
        <v>2.9999999999999997E-4</v>
      </c>
      <c r="M4" s="228">
        <v>306.14999999999998</v>
      </c>
      <c r="N4" s="228">
        <v>305.5</v>
      </c>
      <c r="O4" s="228">
        <v>0.65</v>
      </c>
      <c r="P4" s="229">
        <v>2.0999999999999999E-3</v>
      </c>
      <c r="Q4" s="228">
        <v>307.5</v>
      </c>
      <c r="R4" s="228">
        <v>306.8</v>
      </c>
      <c r="S4" s="228">
        <v>0.7</v>
      </c>
      <c r="T4" s="229">
        <v>2.3E-3</v>
      </c>
      <c r="U4" s="228">
        <v>309.14999999999998</v>
      </c>
      <c r="V4" s="228">
        <v>308.75</v>
      </c>
      <c r="W4" s="228">
        <v>0.4</v>
      </c>
      <c r="X4" s="229">
        <v>1.2999999999999999E-3</v>
      </c>
      <c r="Y4" s="228">
        <v>2.1</v>
      </c>
      <c r="Z4" s="228">
        <v>1.55</v>
      </c>
      <c r="AA4" s="228">
        <v>0.55000000000000004</v>
      </c>
      <c r="AB4" s="229">
        <v>6.8999999999999999E-3</v>
      </c>
      <c r="AC4" s="228">
        <v>2.1</v>
      </c>
      <c r="AD4" s="228">
        <v>1.55</v>
      </c>
      <c r="AE4" s="228">
        <v>0.55000000000000004</v>
      </c>
      <c r="AF4" s="229">
        <v>6.8999999999999999E-3</v>
      </c>
      <c r="AG4" s="228">
        <v>3.45</v>
      </c>
      <c r="AH4" s="228">
        <v>2.85</v>
      </c>
      <c r="AI4" s="228">
        <v>0.6</v>
      </c>
      <c r="AJ4" s="229">
        <v>1.1299999999999999E-2</v>
      </c>
      <c r="AK4" s="228">
        <v>5.0999999999999996</v>
      </c>
      <c r="AL4" s="228">
        <v>4.8</v>
      </c>
      <c r="AM4" s="228">
        <v>0.3</v>
      </c>
      <c r="AN4" s="229">
        <v>1.6799999999999999E-2</v>
      </c>
      <c r="AO4" s="228">
        <v>303.3</v>
      </c>
      <c r="AP4" s="228">
        <v>304.11</v>
      </c>
      <c r="AQ4" s="228">
        <v>0</v>
      </c>
      <c r="AR4" s="230">
        <v>13441600</v>
      </c>
      <c r="AS4" s="230">
        <v>14864500</v>
      </c>
      <c r="AT4" s="230">
        <v>-1422900</v>
      </c>
      <c r="AU4" s="229">
        <v>-9.5699999999999993E-2</v>
      </c>
      <c r="AV4" s="230">
        <v>12654200</v>
      </c>
      <c r="AW4" s="230">
        <v>13959300</v>
      </c>
      <c r="AX4" s="230">
        <v>-1305100</v>
      </c>
      <c r="AY4" s="229">
        <v>-9.35E-2</v>
      </c>
      <c r="AZ4" s="230">
        <v>691300</v>
      </c>
      <c r="BA4" s="230">
        <v>747100</v>
      </c>
      <c r="BB4" s="230">
        <v>-55800</v>
      </c>
      <c r="BC4" s="229">
        <v>-7.4700000000000003E-2</v>
      </c>
      <c r="BD4" s="230">
        <v>96100</v>
      </c>
      <c r="BE4" s="230">
        <v>158100</v>
      </c>
      <c r="BF4" s="230">
        <v>-62000</v>
      </c>
      <c r="BG4" s="229">
        <v>-0.39219999999999999</v>
      </c>
      <c r="BH4" s="230">
        <v>26415100</v>
      </c>
      <c r="BI4" s="230">
        <v>33263000</v>
      </c>
      <c r="BJ4" s="230">
        <v>-6847900</v>
      </c>
      <c r="BK4" s="229">
        <v>-0.2059</v>
      </c>
      <c r="BL4" s="230">
        <v>12830900</v>
      </c>
      <c r="BM4" s="230">
        <v>16113800</v>
      </c>
      <c r="BN4" s="230">
        <v>-3282900</v>
      </c>
      <c r="BO4" s="229">
        <v>-0.20369999999999999</v>
      </c>
      <c r="BP4" s="230">
        <v>52687600</v>
      </c>
      <c r="BQ4" s="230">
        <v>64241300</v>
      </c>
      <c r="BR4" s="230">
        <v>-11553700</v>
      </c>
      <c r="BS4" s="229">
        <v>-0.17979999999999999</v>
      </c>
      <c r="BT4" s="230">
        <v>5427459</v>
      </c>
      <c r="BU4" s="230">
        <v>7413227</v>
      </c>
      <c r="BV4" s="230">
        <v>-1985768</v>
      </c>
      <c r="BW4" s="229">
        <v>-0.26790000000000003</v>
      </c>
      <c r="BX4" s="230">
        <v>67493200</v>
      </c>
      <c r="BY4" s="230">
        <v>67102600</v>
      </c>
      <c r="BZ4" s="230">
        <v>390600</v>
      </c>
      <c r="CA4" s="229">
        <v>5.7999999999999996E-3</v>
      </c>
      <c r="CB4" s="230">
        <v>66070300</v>
      </c>
      <c r="CC4" s="230">
        <v>65875000</v>
      </c>
      <c r="CD4" s="230">
        <v>195300</v>
      </c>
      <c r="CE4" s="229">
        <v>3.0000000000000001E-3</v>
      </c>
      <c r="CF4" s="230">
        <v>1252400</v>
      </c>
      <c r="CG4" s="230">
        <v>1078800</v>
      </c>
      <c r="CH4" s="230">
        <v>173600</v>
      </c>
      <c r="CI4" s="229">
        <v>0.16089999999999999</v>
      </c>
      <c r="CJ4" s="230">
        <v>170500</v>
      </c>
      <c r="CK4" s="230">
        <v>148800</v>
      </c>
      <c r="CL4" s="230">
        <v>21700</v>
      </c>
      <c r="CM4" s="229">
        <v>0.14580000000000001</v>
      </c>
      <c r="CN4" s="230">
        <v>16929100</v>
      </c>
      <c r="CO4" s="230">
        <v>16653200</v>
      </c>
      <c r="CP4" s="230">
        <v>275900</v>
      </c>
      <c r="CQ4" s="229">
        <v>1.66E-2</v>
      </c>
      <c r="CR4" s="230">
        <v>9985100</v>
      </c>
      <c r="CS4" s="230">
        <v>9517000</v>
      </c>
      <c r="CT4" s="230">
        <v>468100</v>
      </c>
      <c r="CU4" s="229">
        <v>4.9200000000000001E-2</v>
      </c>
      <c r="CV4" s="230">
        <v>94407400</v>
      </c>
      <c r="CW4" s="230">
        <v>93272800</v>
      </c>
      <c r="CX4" s="230">
        <v>1134600</v>
      </c>
      <c r="CY4" s="229">
        <v>1.2200000000000001E-2</v>
      </c>
      <c r="CZ4" s="228">
        <v>30.75</v>
      </c>
      <c r="DA4" s="228">
        <v>30.16</v>
      </c>
      <c r="DB4" s="228">
        <v>0.59</v>
      </c>
      <c r="DC4" s="228">
        <v>0.59</v>
      </c>
      <c r="DD4" s="228">
        <v>40.61</v>
      </c>
      <c r="DE4" s="228">
        <v>40.72</v>
      </c>
      <c r="DF4" s="228">
        <v>-9.86</v>
      </c>
      <c r="DG4" s="228">
        <v>-0.11</v>
      </c>
      <c r="DH4" s="228">
        <v>30.37</v>
      </c>
      <c r="DI4" s="228">
        <v>29.67</v>
      </c>
      <c r="DJ4" s="228">
        <v>0.7</v>
      </c>
      <c r="DK4" s="228">
        <v>0.7</v>
      </c>
      <c r="DL4" s="228">
        <v>31.54</v>
      </c>
      <c r="DM4" s="228">
        <v>31.17</v>
      </c>
      <c r="DN4" s="228">
        <v>0.37</v>
      </c>
      <c r="DO4" s="228">
        <v>0.37</v>
      </c>
      <c r="DP4" s="228">
        <v>0.59</v>
      </c>
      <c r="DQ4" s="228">
        <v>0.56999999999999995</v>
      </c>
      <c r="DR4" s="228">
        <v>0.02</v>
      </c>
      <c r="DS4" s="229">
        <v>3.5099999999999999E-2</v>
      </c>
      <c r="DT4" s="228">
        <v>300</v>
      </c>
      <c r="DU4" s="228">
        <v>290</v>
      </c>
      <c r="DV4" s="228">
        <v>0.49</v>
      </c>
      <c r="DW4" s="228">
        <v>0.48</v>
      </c>
      <c r="DX4" s="228">
        <v>0.01</v>
      </c>
      <c r="DY4" s="229">
        <v>2.0799999999999999E-2</v>
      </c>
      <c r="DZ4" s="229">
        <v>2.1100000000000001E-2</v>
      </c>
      <c r="EA4" s="230">
        <v>1227600</v>
      </c>
      <c r="EB4" s="229">
        <v>4.4000000000000003E-3</v>
      </c>
      <c r="EC4" s="229">
        <v>2.1100000000000001E-2</v>
      </c>
      <c r="ED4" s="228">
        <v>0.81</v>
      </c>
      <c r="EE4" s="229">
        <v>2.7000000000000001E-3</v>
      </c>
      <c r="EF4" s="230">
        <v>2429392</v>
      </c>
      <c r="EG4" s="230">
        <v>3324888</v>
      </c>
      <c r="EH4" s="229">
        <v>-0.26929999999999998</v>
      </c>
      <c r="EI4" s="229">
        <v>0.4476</v>
      </c>
      <c r="EJ4" s="231">
        <v>83955.12</v>
      </c>
      <c r="EK4" s="231">
        <v>38125.58</v>
      </c>
      <c r="EL4" s="231">
        <v>40776.660000000003</v>
      </c>
      <c r="EM4" s="231">
        <v>8301</v>
      </c>
      <c r="EN4" s="231">
        <v>162857.35999999999</v>
      </c>
      <c r="EO4" s="231">
        <v>198020.38</v>
      </c>
      <c r="EP4" s="231">
        <v>-35163.019999999997</v>
      </c>
      <c r="EQ4" s="229">
        <v>-0.17760000000000001</v>
      </c>
      <c r="ER4" s="231">
        <v>51969</v>
      </c>
      <c r="ES4" s="231">
        <v>28206</v>
      </c>
      <c r="ET4" s="231">
        <v>206652</v>
      </c>
      <c r="EU4" s="231">
        <v>122316423</v>
      </c>
      <c r="EV4" s="231">
        <v>286828</v>
      </c>
      <c r="EW4" s="231">
        <v>282841</v>
      </c>
      <c r="EX4" s="231">
        <v>3987</v>
      </c>
      <c r="EY4" s="229">
        <v>1.41E-2</v>
      </c>
      <c r="EZ4" s="229">
        <v>0.77180000000000004</v>
      </c>
      <c r="FA4" s="227" t="s">
        <v>555</v>
      </c>
      <c r="FB4" s="161">
        <f t="shared" si="0"/>
        <v>1422900</v>
      </c>
    </row>
    <row r="5" spans="1:158" ht="17.25" hidden="1" thickBot="1" x14ac:dyDescent="0.3">
      <c r="A5" s="226">
        <v>45936</v>
      </c>
      <c r="B5" s="227" t="s">
        <v>161</v>
      </c>
      <c r="C5" s="227" t="s">
        <v>580</v>
      </c>
      <c r="D5" s="228">
        <v>675</v>
      </c>
      <c r="E5" s="228">
        <v>929.7</v>
      </c>
      <c r="F5" s="228">
        <v>919.95</v>
      </c>
      <c r="G5" s="228">
        <v>9.75</v>
      </c>
      <c r="H5" s="229">
        <v>1.06E-2</v>
      </c>
      <c r="I5" s="228">
        <v>926.65</v>
      </c>
      <c r="J5" s="228">
        <v>916.35</v>
      </c>
      <c r="K5" s="228">
        <v>10.3</v>
      </c>
      <c r="L5" s="229">
        <v>1.12E-2</v>
      </c>
      <c r="M5" s="228">
        <v>929.7</v>
      </c>
      <c r="N5" s="228">
        <v>919.95</v>
      </c>
      <c r="O5" s="228">
        <v>9.75</v>
      </c>
      <c r="P5" s="229">
        <v>1.06E-2</v>
      </c>
      <c r="Q5" s="228">
        <v>934.15</v>
      </c>
      <c r="R5" s="228">
        <v>924.3</v>
      </c>
      <c r="S5" s="228">
        <v>9.85</v>
      </c>
      <c r="T5" s="229">
        <v>1.0699999999999999E-2</v>
      </c>
      <c r="U5" s="228">
        <v>939.25</v>
      </c>
      <c r="V5" s="228">
        <v>930.35</v>
      </c>
      <c r="W5" s="228">
        <v>8.9</v>
      </c>
      <c r="X5" s="229">
        <v>9.5999999999999992E-3</v>
      </c>
      <c r="Y5" s="228">
        <v>3.05</v>
      </c>
      <c r="Z5" s="228">
        <v>3.6</v>
      </c>
      <c r="AA5" s="228">
        <v>-0.55000000000000004</v>
      </c>
      <c r="AB5" s="229">
        <v>3.3E-3</v>
      </c>
      <c r="AC5" s="228">
        <v>3.05</v>
      </c>
      <c r="AD5" s="228">
        <v>3.6</v>
      </c>
      <c r="AE5" s="228">
        <v>-0.55000000000000004</v>
      </c>
      <c r="AF5" s="229">
        <v>3.3E-3</v>
      </c>
      <c r="AG5" s="228">
        <v>7.5</v>
      </c>
      <c r="AH5" s="228">
        <v>7.95</v>
      </c>
      <c r="AI5" s="228">
        <v>-0.45</v>
      </c>
      <c r="AJ5" s="229">
        <v>8.0999999999999996E-3</v>
      </c>
      <c r="AK5" s="228">
        <v>12.6</v>
      </c>
      <c r="AL5" s="228">
        <v>14</v>
      </c>
      <c r="AM5" s="228">
        <v>-1.4</v>
      </c>
      <c r="AN5" s="229">
        <v>1.3599999999999999E-2</v>
      </c>
      <c r="AO5" s="228">
        <v>927.21</v>
      </c>
      <c r="AP5" s="228">
        <v>930.56</v>
      </c>
      <c r="AQ5" s="228">
        <v>0</v>
      </c>
      <c r="AR5" s="230">
        <v>1514025</v>
      </c>
      <c r="AS5" s="230">
        <v>2126250</v>
      </c>
      <c r="AT5" s="230">
        <v>-612225</v>
      </c>
      <c r="AU5" s="229">
        <v>-0.28789999999999999</v>
      </c>
      <c r="AV5" s="230">
        <v>1471500</v>
      </c>
      <c r="AW5" s="230">
        <v>2043900</v>
      </c>
      <c r="AX5" s="230">
        <v>-572400</v>
      </c>
      <c r="AY5" s="229">
        <v>-0.28010000000000002</v>
      </c>
      <c r="AZ5" s="230">
        <v>37800</v>
      </c>
      <c r="BA5" s="230">
        <v>77625</v>
      </c>
      <c r="BB5" s="230">
        <v>-39825</v>
      </c>
      <c r="BC5" s="229">
        <v>-0.51300000000000001</v>
      </c>
      <c r="BD5" s="230">
        <v>4725</v>
      </c>
      <c r="BE5" s="230">
        <v>4725</v>
      </c>
      <c r="BF5" s="228">
        <v>0</v>
      </c>
      <c r="BG5" s="229">
        <v>0</v>
      </c>
      <c r="BH5" s="230">
        <v>3424950</v>
      </c>
      <c r="BI5" s="230">
        <v>4732425</v>
      </c>
      <c r="BJ5" s="230">
        <v>-1307475</v>
      </c>
      <c r="BK5" s="229">
        <v>-0.27629999999999999</v>
      </c>
      <c r="BL5" s="230">
        <v>1063800</v>
      </c>
      <c r="BM5" s="230">
        <v>1530900</v>
      </c>
      <c r="BN5" s="230">
        <v>-467100</v>
      </c>
      <c r="BO5" s="229">
        <v>-0.30509999999999998</v>
      </c>
      <c r="BP5" s="230">
        <v>6002775</v>
      </c>
      <c r="BQ5" s="230">
        <v>8389575</v>
      </c>
      <c r="BR5" s="230">
        <v>-2386800</v>
      </c>
      <c r="BS5" s="229">
        <v>-0.28449999999999998</v>
      </c>
      <c r="BT5" s="230">
        <v>1093200</v>
      </c>
      <c r="BU5" s="230">
        <v>1443695</v>
      </c>
      <c r="BV5" s="230">
        <v>-350495</v>
      </c>
      <c r="BW5" s="229">
        <v>-0.24279999999999999</v>
      </c>
      <c r="BX5" s="230">
        <v>18436950</v>
      </c>
      <c r="BY5" s="230">
        <v>18435600</v>
      </c>
      <c r="BZ5" s="230">
        <v>1350</v>
      </c>
      <c r="CA5" s="229">
        <v>1E-4</v>
      </c>
      <c r="CB5" s="230">
        <v>18231075</v>
      </c>
      <c r="CC5" s="230">
        <v>18233100</v>
      </c>
      <c r="CD5" s="230">
        <v>-2025</v>
      </c>
      <c r="CE5" s="229">
        <v>-1E-4</v>
      </c>
      <c r="CF5" s="230">
        <v>197775</v>
      </c>
      <c r="CG5" s="230">
        <v>195750</v>
      </c>
      <c r="CH5" s="230">
        <v>2025</v>
      </c>
      <c r="CI5" s="229">
        <v>1.03E-2</v>
      </c>
      <c r="CJ5" s="230">
        <v>8100</v>
      </c>
      <c r="CK5" s="230">
        <v>6750</v>
      </c>
      <c r="CL5" s="230">
        <v>1350</v>
      </c>
      <c r="CM5" s="229">
        <v>0.2</v>
      </c>
      <c r="CN5" s="230">
        <v>3248775</v>
      </c>
      <c r="CO5" s="230">
        <v>3021975</v>
      </c>
      <c r="CP5" s="230">
        <v>226800</v>
      </c>
      <c r="CQ5" s="229">
        <v>7.51E-2</v>
      </c>
      <c r="CR5" s="230">
        <v>1710450</v>
      </c>
      <c r="CS5" s="230">
        <v>1635525</v>
      </c>
      <c r="CT5" s="230">
        <v>74925</v>
      </c>
      <c r="CU5" s="229">
        <v>4.58E-2</v>
      </c>
      <c r="CV5" s="230">
        <v>23396175</v>
      </c>
      <c r="CW5" s="230">
        <v>23093100</v>
      </c>
      <c r="CX5" s="230">
        <v>303075</v>
      </c>
      <c r="CY5" s="229">
        <v>1.3100000000000001E-2</v>
      </c>
      <c r="CZ5" s="228">
        <v>35.54</v>
      </c>
      <c r="DA5" s="228">
        <v>35.35</v>
      </c>
      <c r="DB5" s="228">
        <v>0.19</v>
      </c>
      <c r="DC5" s="228">
        <v>0.19</v>
      </c>
      <c r="DD5" s="228">
        <v>56.79</v>
      </c>
      <c r="DE5" s="228">
        <v>56.91</v>
      </c>
      <c r="DF5" s="228">
        <v>-21.25</v>
      </c>
      <c r="DG5" s="228">
        <v>-0.12</v>
      </c>
      <c r="DH5" s="228">
        <v>35.729999999999997</v>
      </c>
      <c r="DI5" s="228">
        <v>35.49</v>
      </c>
      <c r="DJ5" s="228">
        <v>0.24</v>
      </c>
      <c r="DK5" s="228">
        <v>0.24</v>
      </c>
      <c r="DL5" s="228">
        <v>34.950000000000003</v>
      </c>
      <c r="DM5" s="228">
        <v>34.909999999999997</v>
      </c>
      <c r="DN5" s="228">
        <v>0.04</v>
      </c>
      <c r="DO5" s="228">
        <v>0.04</v>
      </c>
      <c r="DP5" s="228">
        <v>0.53</v>
      </c>
      <c r="DQ5" s="228">
        <v>0.54</v>
      </c>
      <c r="DR5" s="228">
        <v>-0.01</v>
      </c>
      <c r="DS5" s="229">
        <v>-1.8499999999999999E-2</v>
      </c>
      <c r="DT5" s="231">
        <v>1000</v>
      </c>
      <c r="DU5" s="228">
        <v>900</v>
      </c>
      <c r="DV5" s="228">
        <v>0.31</v>
      </c>
      <c r="DW5" s="228">
        <v>0.32</v>
      </c>
      <c r="DX5" s="228">
        <v>-0.01</v>
      </c>
      <c r="DY5" s="229">
        <v>-3.1300000000000001E-2</v>
      </c>
      <c r="DZ5" s="229">
        <v>1.12E-2</v>
      </c>
      <c r="EA5" s="230">
        <v>202500</v>
      </c>
      <c r="EB5" s="229">
        <v>4.7999999999999996E-3</v>
      </c>
      <c r="EC5" s="229">
        <v>1.12E-2</v>
      </c>
      <c r="ED5" s="228">
        <v>3.35</v>
      </c>
      <c r="EE5" s="229">
        <v>3.5999999999999999E-3</v>
      </c>
      <c r="EF5" s="230">
        <v>527610</v>
      </c>
      <c r="EG5" s="230">
        <v>556432</v>
      </c>
      <c r="EH5" s="229">
        <v>-5.1799999999999999E-2</v>
      </c>
      <c r="EI5" s="229">
        <v>0.48259999999999997</v>
      </c>
      <c r="EJ5" s="231">
        <v>33305.160000000003</v>
      </c>
      <c r="EK5" s="231">
        <v>9681.9500000000007</v>
      </c>
      <c r="EL5" s="231">
        <v>14039.91</v>
      </c>
      <c r="EM5" s="231">
        <v>7011</v>
      </c>
      <c r="EN5" s="231">
        <v>57027.02</v>
      </c>
      <c r="EO5" s="231">
        <v>78784.22</v>
      </c>
      <c r="EP5" s="231">
        <v>-21757.200000000001</v>
      </c>
      <c r="EQ5" s="229">
        <v>-0.2762</v>
      </c>
      <c r="ER5" s="231">
        <v>31111</v>
      </c>
      <c r="ES5" s="231">
        <v>14813</v>
      </c>
      <c r="ET5" s="231">
        <v>171418</v>
      </c>
      <c r="EU5" s="231">
        <v>51907388</v>
      </c>
      <c r="EV5" s="231">
        <v>217342</v>
      </c>
      <c r="EW5" s="231">
        <v>212620</v>
      </c>
      <c r="EX5" s="231">
        <v>4722</v>
      </c>
      <c r="EY5" s="229">
        <v>2.2200000000000001E-2</v>
      </c>
      <c r="EZ5" s="229">
        <v>0.45069999999999999</v>
      </c>
      <c r="FA5" s="227" t="s">
        <v>555</v>
      </c>
      <c r="FB5" s="161">
        <f t="shared" si="0"/>
        <v>205875</v>
      </c>
    </row>
    <row r="6" spans="1:158" ht="17.25" hidden="1" thickBot="1" x14ac:dyDescent="0.3">
      <c r="A6" s="226">
        <v>45936</v>
      </c>
      <c r="B6" s="227" t="s">
        <v>215</v>
      </c>
      <c r="C6" s="227" t="s">
        <v>159</v>
      </c>
      <c r="D6" s="228">
        <v>300</v>
      </c>
      <c r="E6" s="231">
        <v>2588.8000000000002</v>
      </c>
      <c r="F6" s="231">
        <v>2607.1999999999998</v>
      </c>
      <c r="G6" s="228">
        <v>-18.399999999999999</v>
      </c>
      <c r="H6" s="229">
        <v>-7.1000000000000004E-3</v>
      </c>
      <c r="I6" s="231">
        <v>2573.5</v>
      </c>
      <c r="J6" s="231">
        <v>2589.9</v>
      </c>
      <c r="K6" s="228">
        <v>-16.399999999999999</v>
      </c>
      <c r="L6" s="229">
        <v>-6.3E-3</v>
      </c>
      <c r="M6" s="231">
        <v>2588.8000000000002</v>
      </c>
      <c r="N6" s="231">
        <v>2607.1999999999998</v>
      </c>
      <c r="O6" s="228">
        <v>-18.399999999999999</v>
      </c>
      <c r="P6" s="229">
        <v>-7.1000000000000004E-3</v>
      </c>
      <c r="Q6" s="231">
        <v>2604.3000000000002</v>
      </c>
      <c r="R6" s="231">
        <v>2621</v>
      </c>
      <c r="S6" s="228">
        <v>-16.7</v>
      </c>
      <c r="T6" s="229">
        <v>-6.4000000000000003E-3</v>
      </c>
      <c r="U6" s="231">
        <v>2617.5</v>
      </c>
      <c r="V6" s="231">
        <v>2635.1</v>
      </c>
      <c r="W6" s="228">
        <v>-17.600000000000001</v>
      </c>
      <c r="X6" s="229">
        <v>-6.7000000000000002E-3</v>
      </c>
      <c r="Y6" s="228">
        <v>15.3</v>
      </c>
      <c r="Z6" s="228">
        <v>17.3</v>
      </c>
      <c r="AA6" s="228">
        <v>-2</v>
      </c>
      <c r="AB6" s="229">
        <v>5.8999999999999999E-3</v>
      </c>
      <c r="AC6" s="228">
        <v>15.3</v>
      </c>
      <c r="AD6" s="228">
        <v>17.3</v>
      </c>
      <c r="AE6" s="228">
        <v>-2</v>
      </c>
      <c r="AF6" s="229">
        <v>5.8999999999999999E-3</v>
      </c>
      <c r="AG6" s="228">
        <v>30.8</v>
      </c>
      <c r="AH6" s="228">
        <v>31.1</v>
      </c>
      <c r="AI6" s="228">
        <v>-0.3</v>
      </c>
      <c r="AJ6" s="229">
        <v>1.2E-2</v>
      </c>
      <c r="AK6" s="228">
        <v>44</v>
      </c>
      <c r="AL6" s="228">
        <v>45.2</v>
      </c>
      <c r="AM6" s="228">
        <v>-1.2</v>
      </c>
      <c r="AN6" s="229">
        <v>1.7100000000000001E-2</v>
      </c>
      <c r="AO6" s="231">
        <v>2588.59</v>
      </c>
      <c r="AP6" s="231">
        <v>2603.56</v>
      </c>
      <c r="AQ6" s="228">
        <v>0</v>
      </c>
      <c r="AR6" s="230">
        <v>1613100</v>
      </c>
      <c r="AS6" s="230">
        <v>2169000</v>
      </c>
      <c r="AT6" s="230">
        <v>-555900</v>
      </c>
      <c r="AU6" s="229">
        <v>-0.25629999999999997</v>
      </c>
      <c r="AV6" s="230">
        <v>1546200</v>
      </c>
      <c r="AW6" s="230">
        <v>2090100</v>
      </c>
      <c r="AX6" s="230">
        <v>-543900</v>
      </c>
      <c r="AY6" s="229">
        <v>-0.26019999999999999</v>
      </c>
      <c r="AZ6" s="230">
        <v>61500</v>
      </c>
      <c r="BA6" s="230">
        <v>65700</v>
      </c>
      <c r="BB6" s="230">
        <v>-4200</v>
      </c>
      <c r="BC6" s="229">
        <v>-6.3899999999999998E-2</v>
      </c>
      <c r="BD6" s="230">
        <v>5400</v>
      </c>
      <c r="BE6" s="230">
        <v>13200</v>
      </c>
      <c r="BF6" s="230">
        <v>-7800</v>
      </c>
      <c r="BG6" s="229">
        <v>-0.59089999999999998</v>
      </c>
      <c r="BH6" s="230">
        <v>4869600</v>
      </c>
      <c r="BI6" s="230">
        <v>8309700</v>
      </c>
      <c r="BJ6" s="230">
        <v>-3440100</v>
      </c>
      <c r="BK6" s="229">
        <v>-0.41399999999999998</v>
      </c>
      <c r="BL6" s="230">
        <v>1923300</v>
      </c>
      <c r="BM6" s="230">
        <v>3705900</v>
      </c>
      <c r="BN6" s="230">
        <v>-1782600</v>
      </c>
      <c r="BO6" s="229">
        <v>-0.48099999999999998</v>
      </c>
      <c r="BP6" s="230">
        <v>8406000</v>
      </c>
      <c r="BQ6" s="230">
        <v>14184600</v>
      </c>
      <c r="BR6" s="230">
        <v>-5778600</v>
      </c>
      <c r="BS6" s="229">
        <v>-0.40739999999999998</v>
      </c>
      <c r="BT6" s="230">
        <v>682348</v>
      </c>
      <c r="BU6" s="230">
        <v>962400</v>
      </c>
      <c r="BV6" s="230">
        <v>-280052</v>
      </c>
      <c r="BW6" s="229">
        <v>-0.29099999999999998</v>
      </c>
      <c r="BX6" s="230">
        <v>14431200</v>
      </c>
      <c r="BY6" s="230">
        <v>14574000</v>
      </c>
      <c r="BZ6" s="230">
        <v>-142800</v>
      </c>
      <c r="CA6" s="229">
        <v>-9.7999999999999997E-3</v>
      </c>
      <c r="CB6" s="230">
        <v>14196000</v>
      </c>
      <c r="CC6" s="230">
        <v>14356500</v>
      </c>
      <c r="CD6" s="230">
        <v>-160500</v>
      </c>
      <c r="CE6" s="229">
        <v>-1.12E-2</v>
      </c>
      <c r="CF6" s="230">
        <v>226200</v>
      </c>
      <c r="CG6" s="230">
        <v>211200</v>
      </c>
      <c r="CH6" s="230">
        <v>15000</v>
      </c>
      <c r="CI6" s="229">
        <v>7.0999999999999994E-2</v>
      </c>
      <c r="CJ6" s="230">
        <v>9000</v>
      </c>
      <c r="CK6" s="230">
        <v>6300</v>
      </c>
      <c r="CL6" s="230">
        <v>2700</v>
      </c>
      <c r="CM6" s="229">
        <v>0.42859999999999998</v>
      </c>
      <c r="CN6" s="230">
        <v>6050700</v>
      </c>
      <c r="CO6" s="230">
        <v>5687400</v>
      </c>
      <c r="CP6" s="230">
        <v>363300</v>
      </c>
      <c r="CQ6" s="229">
        <v>6.3899999999999998E-2</v>
      </c>
      <c r="CR6" s="230">
        <v>3859500</v>
      </c>
      <c r="CS6" s="230">
        <v>3731700</v>
      </c>
      <c r="CT6" s="230">
        <v>127800</v>
      </c>
      <c r="CU6" s="229">
        <v>3.4200000000000001E-2</v>
      </c>
      <c r="CV6" s="230">
        <v>24341400</v>
      </c>
      <c r="CW6" s="230">
        <v>23993100</v>
      </c>
      <c r="CX6" s="230">
        <v>348300</v>
      </c>
      <c r="CY6" s="229">
        <v>1.4500000000000001E-2</v>
      </c>
      <c r="CZ6" s="228">
        <v>30.79</v>
      </c>
      <c r="DA6" s="228">
        <v>29.62</v>
      </c>
      <c r="DB6" s="228">
        <v>1.17</v>
      </c>
      <c r="DC6" s="228">
        <v>1.17</v>
      </c>
      <c r="DD6" s="228">
        <v>50.18</v>
      </c>
      <c r="DE6" s="228">
        <v>50.3</v>
      </c>
      <c r="DF6" s="228">
        <v>-19.39</v>
      </c>
      <c r="DG6" s="228">
        <v>-0.12</v>
      </c>
      <c r="DH6" s="228">
        <v>31.06</v>
      </c>
      <c r="DI6" s="228">
        <v>29.77</v>
      </c>
      <c r="DJ6" s="228">
        <v>1.29</v>
      </c>
      <c r="DK6" s="228">
        <v>1.29</v>
      </c>
      <c r="DL6" s="228">
        <v>30.08</v>
      </c>
      <c r="DM6" s="228">
        <v>29.3</v>
      </c>
      <c r="DN6" s="228">
        <v>0.78</v>
      </c>
      <c r="DO6" s="228">
        <v>0.78</v>
      </c>
      <c r="DP6" s="228">
        <v>0.64</v>
      </c>
      <c r="DQ6" s="228">
        <v>0.66</v>
      </c>
      <c r="DR6" s="228">
        <v>-0.02</v>
      </c>
      <c r="DS6" s="229">
        <v>-3.0300000000000001E-2</v>
      </c>
      <c r="DT6" s="231">
        <v>2600</v>
      </c>
      <c r="DU6" s="231">
        <v>2500</v>
      </c>
      <c r="DV6" s="228">
        <v>0.39</v>
      </c>
      <c r="DW6" s="228">
        <v>0.45</v>
      </c>
      <c r="DX6" s="228">
        <v>-0.06</v>
      </c>
      <c r="DY6" s="229">
        <v>-0.1333</v>
      </c>
      <c r="DZ6" s="229">
        <v>1.6299999999999999E-2</v>
      </c>
      <c r="EA6" s="230">
        <v>217500</v>
      </c>
      <c r="EB6" s="229">
        <v>6.0000000000000001E-3</v>
      </c>
      <c r="EC6" s="229">
        <v>1.6299999999999999E-2</v>
      </c>
      <c r="ED6" s="228">
        <v>14.97</v>
      </c>
      <c r="EE6" s="229">
        <v>5.7999999999999996E-3</v>
      </c>
      <c r="EF6" s="230">
        <v>237490</v>
      </c>
      <c r="EG6" s="230">
        <v>191145</v>
      </c>
      <c r="EH6" s="229">
        <v>0.24249999999999999</v>
      </c>
      <c r="EI6" s="229">
        <v>0.34799999999999998</v>
      </c>
      <c r="EJ6" s="231">
        <v>133174.69</v>
      </c>
      <c r="EK6" s="231">
        <v>49846.09</v>
      </c>
      <c r="EL6" s="231">
        <v>41767.279999999999</v>
      </c>
      <c r="EM6" s="231">
        <v>16042</v>
      </c>
      <c r="EN6" s="231">
        <v>224788.06</v>
      </c>
      <c r="EO6" s="231">
        <v>380459.15</v>
      </c>
      <c r="EP6" s="231">
        <v>-155671.09</v>
      </c>
      <c r="EQ6" s="229">
        <v>-0.40920000000000001</v>
      </c>
      <c r="ER6" s="231">
        <v>164184</v>
      </c>
      <c r="ES6" s="231">
        <v>96445</v>
      </c>
      <c r="ET6" s="231">
        <v>373633</v>
      </c>
      <c r="EU6" s="231">
        <v>30040977</v>
      </c>
      <c r="EV6" s="231">
        <v>634261</v>
      </c>
      <c r="EW6" s="231">
        <v>627936</v>
      </c>
      <c r="EX6" s="231">
        <v>6325</v>
      </c>
      <c r="EY6" s="229">
        <v>1.01E-2</v>
      </c>
      <c r="EZ6" s="229">
        <v>0.81030000000000002</v>
      </c>
      <c r="FA6" s="227" t="s">
        <v>568</v>
      </c>
      <c r="FB6" s="161">
        <f t="shared" si="0"/>
        <v>235200</v>
      </c>
    </row>
    <row r="7" spans="1:158" ht="17.25" hidden="1" thickBot="1" x14ac:dyDescent="0.3">
      <c r="A7" s="226">
        <v>45936</v>
      </c>
      <c r="B7" s="227" t="s">
        <v>161</v>
      </c>
      <c r="C7" s="227" t="s">
        <v>607</v>
      </c>
      <c r="D7" s="228">
        <v>600</v>
      </c>
      <c r="E7" s="231">
        <v>1065.4000000000001</v>
      </c>
      <c r="F7" s="231">
        <v>1077.5999999999999</v>
      </c>
      <c r="G7" s="228">
        <v>-12.2</v>
      </c>
      <c r="H7" s="229">
        <v>-1.1299999999999999E-2</v>
      </c>
      <c r="I7" s="231">
        <v>1059.4000000000001</v>
      </c>
      <c r="J7" s="231">
        <v>1070.3</v>
      </c>
      <c r="K7" s="228">
        <v>-10.9</v>
      </c>
      <c r="L7" s="229">
        <v>-1.0200000000000001E-2</v>
      </c>
      <c r="M7" s="231">
        <v>1065.4000000000001</v>
      </c>
      <c r="N7" s="231">
        <v>1077.5999999999999</v>
      </c>
      <c r="O7" s="228">
        <v>-12.2</v>
      </c>
      <c r="P7" s="229">
        <v>-1.1299999999999999E-2</v>
      </c>
      <c r="Q7" s="231">
        <v>1071.5999999999999</v>
      </c>
      <c r="R7" s="231">
        <v>1083.2</v>
      </c>
      <c r="S7" s="228">
        <v>-11.6</v>
      </c>
      <c r="T7" s="229">
        <v>-1.0699999999999999E-2</v>
      </c>
      <c r="U7" s="231">
        <v>1078</v>
      </c>
      <c r="V7" s="231">
        <v>1089.0999999999999</v>
      </c>
      <c r="W7" s="228">
        <v>-11.1</v>
      </c>
      <c r="X7" s="229">
        <v>-1.0200000000000001E-2</v>
      </c>
      <c r="Y7" s="228">
        <v>6</v>
      </c>
      <c r="Z7" s="228">
        <v>7.3</v>
      </c>
      <c r="AA7" s="228">
        <v>-1.3</v>
      </c>
      <c r="AB7" s="229">
        <v>5.7000000000000002E-3</v>
      </c>
      <c r="AC7" s="228">
        <v>6</v>
      </c>
      <c r="AD7" s="228">
        <v>7.3</v>
      </c>
      <c r="AE7" s="228">
        <v>-1.3</v>
      </c>
      <c r="AF7" s="229">
        <v>5.7000000000000002E-3</v>
      </c>
      <c r="AG7" s="228">
        <v>12.2</v>
      </c>
      <c r="AH7" s="228">
        <v>12.9</v>
      </c>
      <c r="AI7" s="228">
        <v>-0.7</v>
      </c>
      <c r="AJ7" s="229">
        <v>1.15E-2</v>
      </c>
      <c r="AK7" s="228">
        <v>18.600000000000001</v>
      </c>
      <c r="AL7" s="228">
        <v>18.8</v>
      </c>
      <c r="AM7" s="228">
        <v>-0.2</v>
      </c>
      <c r="AN7" s="229">
        <v>1.7600000000000001E-2</v>
      </c>
      <c r="AO7" s="231">
        <v>1067.78</v>
      </c>
      <c r="AP7" s="231">
        <v>1074.48</v>
      </c>
      <c r="AQ7" s="228">
        <v>0</v>
      </c>
      <c r="AR7" s="230">
        <v>1935600</v>
      </c>
      <c r="AS7" s="230">
        <v>2758800</v>
      </c>
      <c r="AT7" s="230">
        <v>-823200</v>
      </c>
      <c r="AU7" s="229">
        <v>-0.2984</v>
      </c>
      <c r="AV7" s="230">
        <v>1803600</v>
      </c>
      <c r="AW7" s="230">
        <v>2611800</v>
      </c>
      <c r="AX7" s="230">
        <v>-808200</v>
      </c>
      <c r="AY7" s="229">
        <v>-0.30940000000000001</v>
      </c>
      <c r="AZ7" s="230">
        <v>121200</v>
      </c>
      <c r="BA7" s="230">
        <v>124800</v>
      </c>
      <c r="BB7" s="230">
        <v>-3600</v>
      </c>
      <c r="BC7" s="229">
        <v>-2.8799999999999999E-2</v>
      </c>
      <c r="BD7" s="230">
        <v>10800</v>
      </c>
      <c r="BE7" s="230">
        <v>22200</v>
      </c>
      <c r="BF7" s="230">
        <v>-11400</v>
      </c>
      <c r="BG7" s="229">
        <v>-0.51349999999999996</v>
      </c>
      <c r="BH7" s="230">
        <v>7447200</v>
      </c>
      <c r="BI7" s="230">
        <v>13693200</v>
      </c>
      <c r="BJ7" s="230">
        <v>-6246000</v>
      </c>
      <c r="BK7" s="229">
        <v>-0.45610000000000001</v>
      </c>
      <c r="BL7" s="230">
        <v>2580600</v>
      </c>
      <c r="BM7" s="230">
        <v>4957200</v>
      </c>
      <c r="BN7" s="230">
        <v>-2376600</v>
      </c>
      <c r="BO7" s="229">
        <v>-0.47939999999999999</v>
      </c>
      <c r="BP7" s="230">
        <v>11963400</v>
      </c>
      <c r="BQ7" s="230">
        <v>21409200</v>
      </c>
      <c r="BR7" s="230">
        <v>-9445800</v>
      </c>
      <c r="BS7" s="229">
        <v>-0.44119999999999998</v>
      </c>
      <c r="BT7" s="230">
        <v>1349544</v>
      </c>
      <c r="BU7" s="230">
        <v>2712066</v>
      </c>
      <c r="BV7" s="230">
        <v>-1362522</v>
      </c>
      <c r="BW7" s="229">
        <v>-0.50239999999999996</v>
      </c>
      <c r="BX7" s="230">
        <v>20073600</v>
      </c>
      <c r="BY7" s="230">
        <v>20176800</v>
      </c>
      <c r="BZ7" s="230">
        <v>-103200</v>
      </c>
      <c r="CA7" s="229">
        <v>-5.1000000000000004E-3</v>
      </c>
      <c r="CB7" s="230">
        <v>19484400</v>
      </c>
      <c r="CC7" s="230">
        <v>19623000</v>
      </c>
      <c r="CD7" s="230">
        <v>-138600</v>
      </c>
      <c r="CE7" s="229">
        <v>-7.1000000000000004E-3</v>
      </c>
      <c r="CF7" s="230">
        <v>558000</v>
      </c>
      <c r="CG7" s="230">
        <v>530400</v>
      </c>
      <c r="CH7" s="230">
        <v>27600</v>
      </c>
      <c r="CI7" s="229">
        <v>5.1999999999999998E-2</v>
      </c>
      <c r="CJ7" s="230">
        <v>31200</v>
      </c>
      <c r="CK7" s="230">
        <v>23400</v>
      </c>
      <c r="CL7" s="230">
        <v>7800</v>
      </c>
      <c r="CM7" s="229">
        <v>0.33329999999999999</v>
      </c>
      <c r="CN7" s="230">
        <v>8902800</v>
      </c>
      <c r="CO7" s="230">
        <v>8506800</v>
      </c>
      <c r="CP7" s="230">
        <v>396000</v>
      </c>
      <c r="CQ7" s="229">
        <v>4.6600000000000003E-2</v>
      </c>
      <c r="CR7" s="230">
        <v>4364400</v>
      </c>
      <c r="CS7" s="230">
        <v>4216800</v>
      </c>
      <c r="CT7" s="230">
        <v>147600</v>
      </c>
      <c r="CU7" s="229">
        <v>3.5000000000000003E-2</v>
      </c>
      <c r="CV7" s="230">
        <v>33340800</v>
      </c>
      <c r="CW7" s="230">
        <v>32900400</v>
      </c>
      <c r="CX7" s="230">
        <v>440400</v>
      </c>
      <c r="CY7" s="229">
        <v>1.34E-2</v>
      </c>
      <c r="CZ7" s="228">
        <v>40.4</v>
      </c>
      <c r="DA7" s="228">
        <v>38.619999999999997</v>
      </c>
      <c r="DB7" s="228">
        <v>1.78</v>
      </c>
      <c r="DC7" s="228">
        <v>1.78</v>
      </c>
      <c r="DD7" s="228">
        <v>59.44</v>
      </c>
      <c r="DE7" s="228">
        <v>59.57</v>
      </c>
      <c r="DF7" s="228">
        <v>-19.04</v>
      </c>
      <c r="DG7" s="228">
        <v>-0.13</v>
      </c>
      <c r="DH7" s="228">
        <v>40.909999999999997</v>
      </c>
      <c r="DI7" s="228">
        <v>38.89</v>
      </c>
      <c r="DJ7" s="228">
        <v>2.02</v>
      </c>
      <c r="DK7" s="228">
        <v>2.02</v>
      </c>
      <c r="DL7" s="228">
        <v>38.94</v>
      </c>
      <c r="DM7" s="228">
        <v>37.880000000000003</v>
      </c>
      <c r="DN7" s="228">
        <v>1.06</v>
      </c>
      <c r="DO7" s="228">
        <v>1.06</v>
      </c>
      <c r="DP7" s="228">
        <v>0.49</v>
      </c>
      <c r="DQ7" s="228">
        <v>0.5</v>
      </c>
      <c r="DR7" s="228">
        <v>-0.01</v>
      </c>
      <c r="DS7" s="229">
        <v>-0.02</v>
      </c>
      <c r="DT7" s="231">
        <v>1200</v>
      </c>
      <c r="DU7" s="231">
        <v>1000</v>
      </c>
      <c r="DV7" s="228">
        <v>0.35</v>
      </c>
      <c r="DW7" s="228">
        <v>0.36</v>
      </c>
      <c r="DX7" s="228">
        <v>-0.01</v>
      </c>
      <c r="DY7" s="229">
        <v>-2.7799999999999998E-2</v>
      </c>
      <c r="DZ7" s="229">
        <v>2.9399999999999999E-2</v>
      </c>
      <c r="EA7" s="230">
        <v>553800</v>
      </c>
      <c r="EB7" s="229">
        <v>5.7999999999999996E-3</v>
      </c>
      <c r="EC7" s="229">
        <v>2.9399999999999999E-2</v>
      </c>
      <c r="ED7" s="228">
        <v>6.7</v>
      </c>
      <c r="EE7" s="229">
        <v>6.3E-3</v>
      </c>
      <c r="EF7" s="230">
        <v>368376</v>
      </c>
      <c r="EG7" s="230">
        <v>569961</v>
      </c>
      <c r="EH7" s="229">
        <v>-0.35370000000000001</v>
      </c>
      <c r="EI7" s="229">
        <v>0.27300000000000002</v>
      </c>
      <c r="EJ7" s="231">
        <v>85422.96</v>
      </c>
      <c r="EK7" s="231">
        <v>27563.919999999998</v>
      </c>
      <c r="EL7" s="231">
        <v>20677.22</v>
      </c>
      <c r="EM7" s="231">
        <v>13284</v>
      </c>
      <c r="EN7" s="231">
        <v>133664.1</v>
      </c>
      <c r="EO7" s="231">
        <v>239275.12</v>
      </c>
      <c r="EP7" s="231">
        <v>-105611.02</v>
      </c>
      <c r="EQ7" s="229">
        <v>-0.44140000000000001</v>
      </c>
      <c r="ER7" s="231">
        <v>101331</v>
      </c>
      <c r="ES7" s="231">
        <v>45104</v>
      </c>
      <c r="ET7" s="231">
        <v>213903</v>
      </c>
      <c r="EU7" s="231">
        <v>61877951</v>
      </c>
      <c r="EV7" s="231">
        <v>360338</v>
      </c>
      <c r="EW7" s="231">
        <v>357998</v>
      </c>
      <c r="EX7" s="231">
        <v>2340</v>
      </c>
      <c r="EY7" s="229">
        <v>6.4999999999999997E-3</v>
      </c>
      <c r="EZ7" s="229">
        <v>0.53879999999999995</v>
      </c>
      <c r="FA7" s="227" t="s">
        <v>568</v>
      </c>
      <c r="FB7" s="161">
        <f t="shared" si="0"/>
        <v>589200</v>
      </c>
    </row>
    <row r="8" spans="1:158" ht="17.25" hidden="1" thickBot="1" x14ac:dyDescent="0.3">
      <c r="A8" s="226">
        <v>45936</v>
      </c>
      <c r="B8" s="227" t="s">
        <v>215</v>
      </c>
      <c r="C8" s="227" t="s">
        <v>160</v>
      </c>
      <c r="D8" s="228">
        <v>475</v>
      </c>
      <c r="E8" s="231">
        <v>1408.2</v>
      </c>
      <c r="F8" s="231">
        <v>1427.9</v>
      </c>
      <c r="G8" s="228">
        <v>-19.7</v>
      </c>
      <c r="H8" s="229">
        <v>-1.38E-2</v>
      </c>
      <c r="I8" s="231">
        <v>1400.5</v>
      </c>
      <c r="J8" s="231">
        <v>1419.1</v>
      </c>
      <c r="K8" s="228">
        <v>-18.600000000000001</v>
      </c>
      <c r="L8" s="229">
        <v>-1.3100000000000001E-2</v>
      </c>
      <c r="M8" s="231">
        <v>1408.2</v>
      </c>
      <c r="N8" s="231">
        <v>1427.9</v>
      </c>
      <c r="O8" s="228">
        <v>-19.7</v>
      </c>
      <c r="P8" s="229">
        <v>-1.38E-2</v>
      </c>
      <c r="Q8" s="231">
        <v>1415.9</v>
      </c>
      <c r="R8" s="231">
        <v>1436</v>
      </c>
      <c r="S8" s="228">
        <v>-20.100000000000001</v>
      </c>
      <c r="T8" s="229">
        <v>-1.4E-2</v>
      </c>
      <c r="U8" s="231">
        <v>1424.5</v>
      </c>
      <c r="V8" s="231">
        <v>1445</v>
      </c>
      <c r="W8" s="228">
        <v>-20.5</v>
      </c>
      <c r="X8" s="229">
        <v>-1.4200000000000001E-2</v>
      </c>
      <c r="Y8" s="228">
        <v>7.7</v>
      </c>
      <c r="Z8" s="228">
        <v>8.8000000000000007</v>
      </c>
      <c r="AA8" s="228">
        <v>-1.1000000000000001</v>
      </c>
      <c r="AB8" s="229">
        <v>5.4999999999999997E-3</v>
      </c>
      <c r="AC8" s="228">
        <v>7.7</v>
      </c>
      <c r="AD8" s="228">
        <v>8.8000000000000007</v>
      </c>
      <c r="AE8" s="228">
        <v>-1.1000000000000001</v>
      </c>
      <c r="AF8" s="229">
        <v>5.4999999999999997E-3</v>
      </c>
      <c r="AG8" s="228">
        <v>15.4</v>
      </c>
      <c r="AH8" s="228">
        <v>16.899999999999999</v>
      </c>
      <c r="AI8" s="228">
        <v>-1.5</v>
      </c>
      <c r="AJ8" s="229">
        <v>1.0999999999999999E-2</v>
      </c>
      <c r="AK8" s="228">
        <v>24</v>
      </c>
      <c r="AL8" s="228">
        <v>25.9</v>
      </c>
      <c r="AM8" s="228">
        <v>-1.9</v>
      </c>
      <c r="AN8" s="229">
        <v>1.7100000000000001E-2</v>
      </c>
      <c r="AO8" s="231">
        <v>1408.72</v>
      </c>
      <c r="AP8" s="231">
        <v>1416.22</v>
      </c>
      <c r="AQ8" s="228">
        <v>0</v>
      </c>
      <c r="AR8" s="230">
        <v>2797750</v>
      </c>
      <c r="AS8" s="230">
        <v>2270500</v>
      </c>
      <c r="AT8" s="230">
        <v>527250</v>
      </c>
      <c r="AU8" s="229">
        <v>0.23219999999999999</v>
      </c>
      <c r="AV8" s="230">
        <v>2620100</v>
      </c>
      <c r="AW8" s="230">
        <v>2135600</v>
      </c>
      <c r="AX8" s="230">
        <v>484500</v>
      </c>
      <c r="AY8" s="229">
        <v>0.22689999999999999</v>
      </c>
      <c r="AZ8" s="230">
        <v>150575</v>
      </c>
      <c r="BA8" s="230">
        <v>123025</v>
      </c>
      <c r="BB8" s="230">
        <v>27550</v>
      </c>
      <c r="BC8" s="229">
        <v>0.22389999999999999</v>
      </c>
      <c r="BD8" s="230">
        <v>27075</v>
      </c>
      <c r="BE8" s="230">
        <v>11875</v>
      </c>
      <c r="BF8" s="230">
        <v>15200</v>
      </c>
      <c r="BG8" s="229">
        <v>1.28</v>
      </c>
      <c r="BH8" s="230">
        <v>8714350</v>
      </c>
      <c r="BI8" s="230">
        <v>7847475</v>
      </c>
      <c r="BJ8" s="230">
        <v>866875</v>
      </c>
      <c r="BK8" s="229">
        <v>0.1105</v>
      </c>
      <c r="BL8" s="230">
        <v>4534350</v>
      </c>
      <c r="BM8" s="230">
        <v>2923150</v>
      </c>
      <c r="BN8" s="230">
        <v>1611200</v>
      </c>
      <c r="BO8" s="229">
        <v>0.55120000000000002</v>
      </c>
      <c r="BP8" s="230">
        <v>16046450</v>
      </c>
      <c r="BQ8" s="230">
        <v>13041125</v>
      </c>
      <c r="BR8" s="230">
        <v>3005325</v>
      </c>
      <c r="BS8" s="229">
        <v>0.23039999999999999</v>
      </c>
      <c r="BT8" s="230">
        <v>1386694</v>
      </c>
      <c r="BU8" s="230">
        <v>1628064</v>
      </c>
      <c r="BV8" s="230">
        <v>-241370</v>
      </c>
      <c r="BW8" s="229">
        <v>-0.14829999999999999</v>
      </c>
      <c r="BX8" s="230">
        <v>22644200</v>
      </c>
      <c r="BY8" s="230">
        <v>22690750</v>
      </c>
      <c r="BZ8" s="230">
        <v>-46550</v>
      </c>
      <c r="CA8" s="229">
        <v>-2.0999999999999999E-3</v>
      </c>
      <c r="CB8" s="230">
        <v>22020525</v>
      </c>
      <c r="CC8" s="230">
        <v>22123125</v>
      </c>
      <c r="CD8" s="230">
        <v>-102600</v>
      </c>
      <c r="CE8" s="229">
        <v>-4.5999999999999999E-3</v>
      </c>
      <c r="CF8" s="230">
        <v>589000</v>
      </c>
      <c r="CG8" s="230">
        <v>549100</v>
      </c>
      <c r="CH8" s="230">
        <v>39900</v>
      </c>
      <c r="CI8" s="229">
        <v>7.2700000000000001E-2</v>
      </c>
      <c r="CJ8" s="230">
        <v>34675</v>
      </c>
      <c r="CK8" s="230">
        <v>18525</v>
      </c>
      <c r="CL8" s="230">
        <v>16150</v>
      </c>
      <c r="CM8" s="229">
        <v>0.87180000000000002</v>
      </c>
      <c r="CN8" s="230">
        <v>6960650</v>
      </c>
      <c r="CO8" s="230">
        <v>5906625</v>
      </c>
      <c r="CP8" s="230">
        <v>1054025</v>
      </c>
      <c r="CQ8" s="229">
        <v>0.1784</v>
      </c>
      <c r="CR8" s="230">
        <v>4113500</v>
      </c>
      <c r="CS8" s="230">
        <v>3927775</v>
      </c>
      <c r="CT8" s="230">
        <v>185725</v>
      </c>
      <c r="CU8" s="229">
        <v>4.7300000000000002E-2</v>
      </c>
      <c r="CV8" s="230">
        <v>33718350</v>
      </c>
      <c r="CW8" s="230">
        <v>32525150</v>
      </c>
      <c r="CX8" s="230">
        <v>1193200</v>
      </c>
      <c r="CY8" s="229">
        <v>3.6700000000000003E-2</v>
      </c>
      <c r="CZ8" s="228">
        <v>23.13</v>
      </c>
      <c r="DA8" s="228">
        <v>21.36</v>
      </c>
      <c r="DB8" s="228">
        <v>1.77</v>
      </c>
      <c r="DC8" s="228">
        <v>1.77</v>
      </c>
      <c r="DD8" s="228">
        <v>39.58</v>
      </c>
      <c r="DE8" s="228">
        <v>39.630000000000003</v>
      </c>
      <c r="DF8" s="228">
        <v>-16.45</v>
      </c>
      <c r="DG8" s="228">
        <v>-0.05</v>
      </c>
      <c r="DH8" s="228">
        <v>23.46</v>
      </c>
      <c r="DI8" s="228">
        <v>21.52</v>
      </c>
      <c r="DJ8" s="228">
        <v>1.94</v>
      </c>
      <c r="DK8" s="228">
        <v>1.94</v>
      </c>
      <c r="DL8" s="228">
        <v>22.51</v>
      </c>
      <c r="DM8" s="228">
        <v>20.92</v>
      </c>
      <c r="DN8" s="228">
        <v>1.59</v>
      </c>
      <c r="DO8" s="228">
        <v>1.59</v>
      </c>
      <c r="DP8" s="228">
        <v>0.59</v>
      </c>
      <c r="DQ8" s="228">
        <v>0.66</v>
      </c>
      <c r="DR8" s="228">
        <v>-7.0000000000000007E-2</v>
      </c>
      <c r="DS8" s="229">
        <v>-0.1061</v>
      </c>
      <c r="DT8" s="231">
        <v>1500</v>
      </c>
      <c r="DU8" s="231">
        <v>1400</v>
      </c>
      <c r="DV8" s="228">
        <v>0.52</v>
      </c>
      <c r="DW8" s="228">
        <v>0.37</v>
      </c>
      <c r="DX8" s="228">
        <v>0.15</v>
      </c>
      <c r="DY8" s="229">
        <v>0.40539999999999998</v>
      </c>
      <c r="DZ8" s="229">
        <v>2.75E-2</v>
      </c>
      <c r="EA8" s="230">
        <v>567625</v>
      </c>
      <c r="EB8" s="229">
        <v>5.4999999999999997E-3</v>
      </c>
      <c r="EC8" s="229">
        <v>2.75E-2</v>
      </c>
      <c r="ED8" s="228">
        <v>7.5</v>
      </c>
      <c r="EE8" s="229">
        <v>5.3E-3</v>
      </c>
      <c r="EF8" s="230">
        <v>520448</v>
      </c>
      <c r="EG8" s="230">
        <v>827770</v>
      </c>
      <c r="EH8" s="229">
        <v>-0.37130000000000002</v>
      </c>
      <c r="EI8" s="229">
        <v>0.37530000000000002</v>
      </c>
      <c r="EJ8" s="231">
        <v>127797.68</v>
      </c>
      <c r="EK8" s="231">
        <v>63788.01</v>
      </c>
      <c r="EL8" s="231">
        <v>39428.449999999997</v>
      </c>
      <c r="EM8" s="231">
        <v>16193</v>
      </c>
      <c r="EN8" s="231">
        <v>231014.14</v>
      </c>
      <c r="EO8" s="231">
        <v>190764.58</v>
      </c>
      <c r="EP8" s="231">
        <v>40249.56</v>
      </c>
      <c r="EQ8" s="229">
        <v>0.21099999999999999</v>
      </c>
      <c r="ER8" s="231">
        <v>102305</v>
      </c>
      <c r="ES8" s="231">
        <v>56980</v>
      </c>
      <c r="ET8" s="231">
        <v>318927</v>
      </c>
      <c r="EU8" s="231">
        <v>73799006</v>
      </c>
      <c r="EV8" s="231">
        <v>478212</v>
      </c>
      <c r="EW8" s="231">
        <v>465485</v>
      </c>
      <c r="EX8" s="231">
        <v>12727</v>
      </c>
      <c r="EY8" s="229">
        <v>2.7300000000000001E-2</v>
      </c>
      <c r="EZ8" s="229">
        <v>0.45689999999999997</v>
      </c>
      <c r="FA8" s="227" t="s">
        <v>568</v>
      </c>
      <c r="FB8" s="161">
        <f t="shared" si="0"/>
        <v>623675</v>
      </c>
    </row>
    <row r="9" spans="1:158" ht="17.25" hidden="1" thickBot="1" x14ac:dyDescent="0.3">
      <c r="A9" s="226">
        <v>45936</v>
      </c>
      <c r="B9" s="227" t="s">
        <v>170</v>
      </c>
      <c r="C9" s="227" t="s">
        <v>497</v>
      </c>
      <c r="D9" s="228">
        <v>125</v>
      </c>
      <c r="E9" s="231">
        <v>5526.5</v>
      </c>
      <c r="F9" s="231">
        <v>5462</v>
      </c>
      <c r="G9" s="228">
        <v>64.5</v>
      </c>
      <c r="H9" s="229">
        <v>1.18E-2</v>
      </c>
      <c r="I9" s="231">
        <v>5494</v>
      </c>
      <c r="J9" s="231">
        <v>5442</v>
      </c>
      <c r="K9" s="228">
        <v>52</v>
      </c>
      <c r="L9" s="229">
        <v>9.5999999999999992E-3</v>
      </c>
      <c r="M9" s="231">
        <v>5526.5</v>
      </c>
      <c r="N9" s="231">
        <v>5462</v>
      </c>
      <c r="O9" s="228">
        <v>64.5</v>
      </c>
      <c r="P9" s="229">
        <v>1.18E-2</v>
      </c>
      <c r="Q9" s="231">
        <v>5560</v>
      </c>
      <c r="R9" s="231">
        <v>5481.5</v>
      </c>
      <c r="S9" s="228">
        <v>78.5</v>
      </c>
      <c r="T9" s="229">
        <v>1.43E-2</v>
      </c>
      <c r="U9" s="231">
        <v>5524</v>
      </c>
      <c r="V9" s="231">
        <v>5524</v>
      </c>
      <c r="W9" s="228">
        <v>0</v>
      </c>
      <c r="X9" s="229">
        <v>0</v>
      </c>
      <c r="Y9" s="228">
        <v>32.5</v>
      </c>
      <c r="Z9" s="228">
        <v>20</v>
      </c>
      <c r="AA9" s="228">
        <v>12.5</v>
      </c>
      <c r="AB9" s="229">
        <v>5.8999999999999999E-3</v>
      </c>
      <c r="AC9" s="228">
        <v>32.5</v>
      </c>
      <c r="AD9" s="228">
        <v>20</v>
      </c>
      <c r="AE9" s="228">
        <v>12.5</v>
      </c>
      <c r="AF9" s="229">
        <v>5.8999999999999999E-3</v>
      </c>
      <c r="AG9" s="228">
        <v>66</v>
      </c>
      <c r="AH9" s="228">
        <v>39.5</v>
      </c>
      <c r="AI9" s="228">
        <v>26.5</v>
      </c>
      <c r="AJ9" s="229">
        <v>1.2E-2</v>
      </c>
      <c r="AK9" s="228">
        <v>30</v>
      </c>
      <c r="AL9" s="228">
        <v>82</v>
      </c>
      <c r="AM9" s="228">
        <v>-52</v>
      </c>
      <c r="AN9" s="229">
        <v>5.4999999999999997E-3</v>
      </c>
      <c r="AO9" s="231">
        <v>5474.33</v>
      </c>
      <c r="AP9" s="231">
        <v>5503.71</v>
      </c>
      <c r="AQ9" s="228">
        <v>0</v>
      </c>
      <c r="AR9" s="230">
        <v>139875</v>
      </c>
      <c r="AS9" s="230">
        <v>87000</v>
      </c>
      <c r="AT9" s="230">
        <v>52875</v>
      </c>
      <c r="AU9" s="229">
        <v>0.60780000000000001</v>
      </c>
      <c r="AV9" s="230">
        <v>136375</v>
      </c>
      <c r="AW9" s="230">
        <v>83375</v>
      </c>
      <c r="AX9" s="230">
        <v>53000</v>
      </c>
      <c r="AY9" s="229">
        <v>0.63570000000000004</v>
      </c>
      <c r="AZ9" s="230">
        <v>3500</v>
      </c>
      <c r="BA9" s="230">
        <v>3500</v>
      </c>
      <c r="BB9" s="228">
        <v>0</v>
      </c>
      <c r="BC9" s="229">
        <v>0</v>
      </c>
      <c r="BD9" s="228">
        <v>0</v>
      </c>
      <c r="BE9" s="228">
        <v>125</v>
      </c>
      <c r="BF9" s="228">
        <v>-125</v>
      </c>
      <c r="BG9" s="229">
        <v>-1</v>
      </c>
      <c r="BH9" s="230">
        <v>276625</v>
      </c>
      <c r="BI9" s="230">
        <v>328625</v>
      </c>
      <c r="BJ9" s="230">
        <v>-52000</v>
      </c>
      <c r="BK9" s="229">
        <v>-0.15820000000000001</v>
      </c>
      <c r="BL9" s="230">
        <v>99000</v>
      </c>
      <c r="BM9" s="230">
        <v>65875</v>
      </c>
      <c r="BN9" s="230">
        <v>33125</v>
      </c>
      <c r="BO9" s="229">
        <v>0.50280000000000002</v>
      </c>
      <c r="BP9" s="230">
        <v>515500</v>
      </c>
      <c r="BQ9" s="230">
        <v>481500</v>
      </c>
      <c r="BR9" s="230">
        <v>34000</v>
      </c>
      <c r="BS9" s="229">
        <v>7.0599999999999996E-2</v>
      </c>
      <c r="BT9" s="230">
        <v>107272</v>
      </c>
      <c r="BU9" s="230">
        <v>111463</v>
      </c>
      <c r="BV9" s="230">
        <v>-4191</v>
      </c>
      <c r="BW9" s="229">
        <v>-3.7600000000000001E-2</v>
      </c>
      <c r="BX9" s="230">
        <v>1489375</v>
      </c>
      <c r="BY9" s="230">
        <v>1469750</v>
      </c>
      <c r="BZ9" s="230">
        <v>19625</v>
      </c>
      <c r="CA9" s="229">
        <v>1.34E-2</v>
      </c>
      <c r="CB9" s="230">
        <v>1480375</v>
      </c>
      <c r="CC9" s="230">
        <v>1461750</v>
      </c>
      <c r="CD9" s="230">
        <v>18625</v>
      </c>
      <c r="CE9" s="229">
        <v>1.2699999999999999E-2</v>
      </c>
      <c r="CF9" s="230">
        <v>8875</v>
      </c>
      <c r="CG9" s="230">
        <v>7875</v>
      </c>
      <c r="CH9" s="230">
        <v>1000</v>
      </c>
      <c r="CI9" s="229">
        <v>0.127</v>
      </c>
      <c r="CJ9" s="228">
        <v>125</v>
      </c>
      <c r="CK9" s="228">
        <v>125</v>
      </c>
      <c r="CL9" s="228">
        <v>0</v>
      </c>
      <c r="CM9" s="229">
        <v>0</v>
      </c>
      <c r="CN9" s="230">
        <v>154125</v>
      </c>
      <c r="CO9" s="230">
        <v>117375</v>
      </c>
      <c r="CP9" s="230">
        <v>36750</v>
      </c>
      <c r="CQ9" s="229">
        <v>0.31309999999999999</v>
      </c>
      <c r="CR9" s="230">
        <v>98500</v>
      </c>
      <c r="CS9" s="230">
        <v>85250</v>
      </c>
      <c r="CT9" s="230">
        <v>13250</v>
      </c>
      <c r="CU9" s="229">
        <v>0.15540000000000001</v>
      </c>
      <c r="CV9" s="230">
        <v>1742000</v>
      </c>
      <c r="CW9" s="230">
        <v>1672375</v>
      </c>
      <c r="CX9" s="230">
        <v>69625</v>
      </c>
      <c r="CY9" s="229">
        <v>4.1599999999999998E-2</v>
      </c>
      <c r="CZ9" s="228">
        <v>21.88</v>
      </c>
      <c r="DA9" s="228">
        <v>20.72</v>
      </c>
      <c r="DB9" s="228">
        <v>1.1599999999999999</v>
      </c>
      <c r="DC9" s="228">
        <v>1.1599999999999999</v>
      </c>
      <c r="DD9" s="228">
        <v>28.36</v>
      </c>
      <c r="DE9" s="228">
        <v>28.39</v>
      </c>
      <c r="DF9" s="228">
        <v>-6.48</v>
      </c>
      <c r="DG9" s="228">
        <v>-0.03</v>
      </c>
      <c r="DH9" s="228">
        <v>21.68</v>
      </c>
      <c r="DI9" s="228">
        <v>20.75</v>
      </c>
      <c r="DJ9" s="228">
        <v>0.93</v>
      </c>
      <c r="DK9" s="228">
        <v>0.93</v>
      </c>
      <c r="DL9" s="228">
        <v>22.42</v>
      </c>
      <c r="DM9" s="228">
        <v>20.56</v>
      </c>
      <c r="DN9" s="228">
        <v>1.86</v>
      </c>
      <c r="DO9" s="228">
        <v>1.86</v>
      </c>
      <c r="DP9" s="228">
        <v>0.64</v>
      </c>
      <c r="DQ9" s="228">
        <v>0.73</v>
      </c>
      <c r="DR9" s="228">
        <v>-0.09</v>
      </c>
      <c r="DS9" s="229">
        <v>-0.12330000000000001</v>
      </c>
      <c r="DT9" s="231">
        <v>6000</v>
      </c>
      <c r="DU9" s="231">
        <v>5500</v>
      </c>
      <c r="DV9" s="228">
        <v>0.36</v>
      </c>
      <c r="DW9" s="228">
        <v>0.2</v>
      </c>
      <c r="DX9" s="228">
        <v>0.16</v>
      </c>
      <c r="DY9" s="229">
        <v>0.8</v>
      </c>
      <c r="DZ9" s="229">
        <v>6.0000000000000001E-3</v>
      </c>
      <c r="EA9" s="230">
        <v>8000</v>
      </c>
      <c r="EB9" s="229">
        <v>6.1000000000000004E-3</v>
      </c>
      <c r="EC9" s="229">
        <v>6.0000000000000001E-3</v>
      </c>
      <c r="ED9" s="228">
        <v>29.38</v>
      </c>
      <c r="EE9" s="229">
        <v>5.4000000000000003E-3</v>
      </c>
      <c r="EF9" s="230">
        <v>58889</v>
      </c>
      <c r="EG9" s="230">
        <v>74780</v>
      </c>
      <c r="EH9" s="229">
        <v>-0.21249999999999999</v>
      </c>
      <c r="EI9" s="229">
        <v>0.54900000000000004</v>
      </c>
      <c r="EJ9" s="231">
        <v>15660.46</v>
      </c>
      <c r="EK9" s="231">
        <v>5356.09</v>
      </c>
      <c r="EL9" s="231">
        <v>7658.25</v>
      </c>
      <c r="EM9" s="231">
        <v>3226</v>
      </c>
      <c r="EN9" s="231">
        <v>28674.799999999999</v>
      </c>
      <c r="EO9" s="231">
        <v>27053.91</v>
      </c>
      <c r="EP9" s="231">
        <v>1620.89</v>
      </c>
      <c r="EQ9" s="229">
        <v>5.9900000000000002E-2</v>
      </c>
      <c r="ER9" s="231">
        <v>8753</v>
      </c>
      <c r="ES9" s="231">
        <v>5266</v>
      </c>
      <c r="ET9" s="231">
        <v>82313</v>
      </c>
      <c r="EU9" s="231">
        <v>6130387</v>
      </c>
      <c r="EV9" s="231">
        <v>96332</v>
      </c>
      <c r="EW9" s="231">
        <v>91501</v>
      </c>
      <c r="EX9" s="231">
        <v>4831</v>
      </c>
      <c r="EY9" s="229">
        <v>5.28E-2</v>
      </c>
      <c r="EZ9" s="229">
        <v>0.28420000000000001</v>
      </c>
      <c r="FA9" s="227" t="s">
        <v>555</v>
      </c>
      <c r="FB9" s="161">
        <f t="shared" si="0"/>
        <v>9000</v>
      </c>
    </row>
    <row r="10" spans="1:158" ht="17.25" hidden="1" thickBot="1" x14ac:dyDescent="0.3">
      <c r="A10" s="226">
        <v>45936</v>
      </c>
      <c r="B10" s="227" t="s">
        <v>184</v>
      </c>
      <c r="C10" s="227" t="s">
        <v>683</v>
      </c>
      <c r="D10" s="228">
        <v>100</v>
      </c>
      <c r="E10" s="231">
        <v>8170</v>
      </c>
      <c r="F10" s="231">
        <v>8202</v>
      </c>
      <c r="G10" s="228">
        <v>-32</v>
      </c>
      <c r="H10" s="229">
        <v>-3.8999999999999998E-3</v>
      </c>
      <c r="I10" s="231">
        <v>8174.5</v>
      </c>
      <c r="J10" s="231">
        <v>8214.5</v>
      </c>
      <c r="K10" s="228">
        <v>-40</v>
      </c>
      <c r="L10" s="229">
        <v>-4.8999999999999998E-3</v>
      </c>
      <c r="M10" s="231">
        <v>8170</v>
      </c>
      <c r="N10" s="231">
        <v>8202</v>
      </c>
      <c r="O10" s="228">
        <v>-32</v>
      </c>
      <c r="P10" s="229">
        <v>-3.8999999999999998E-3</v>
      </c>
      <c r="Q10" s="231">
        <v>8120</v>
      </c>
      <c r="R10" s="231">
        <v>8139.5</v>
      </c>
      <c r="S10" s="228">
        <v>-19.5</v>
      </c>
      <c r="T10" s="229">
        <v>-2.3999999999999998E-3</v>
      </c>
      <c r="U10" s="228">
        <v>0</v>
      </c>
      <c r="V10" s="228">
        <v>0</v>
      </c>
      <c r="W10" s="228">
        <v>0</v>
      </c>
      <c r="X10" s="229">
        <v>0</v>
      </c>
      <c r="Y10" s="228">
        <v>-4.5</v>
      </c>
      <c r="Z10" s="228">
        <v>-12.5</v>
      </c>
      <c r="AA10" s="228">
        <v>8</v>
      </c>
      <c r="AB10" s="229">
        <v>-5.9999999999999995E-4</v>
      </c>
      <c r="AC10" s="228">
        <v>-4.5</v>
      </c>
      <c r="AD10" s="228">
        <v>-12.5</v>
      </c>
      <c r="AE10" s="228">
        <v>8</v>
      </c>
      <c r="AF10" s="229">
        <v>-5.9999999999999995E-4</v>
      </c>
      <c r="AG10" s="228">
        <v>-54.5</v>
      </c>
      <c r="AH10" s="228">
        <v>-75</v>
      </c>
      <c r="AI10" s="228">
        <v>20.5</v>
      </c>
      <c r="AJ10" s="229">
        <v>-6.7000000000000002E-3</v>
      </c>
      <c r="AK10" s="228">
        <v>0</v>
      </c>
      <c r="AL10" s="228">
        <v>0</v>
      </c>
      <c r="AM10" s="228">
        <v>0</v>
      </c>
      <c r="AN10" s="229">
        <v>0</v>
      </c>
      <c r="AO10" s="231">
        <v>8126.91</v>
      </c>
      <c r="AP10" s="231">
        <v>8086.38</v>
      </c>
      <c r="AQ10" s="228">
        <v>0</v>
      </c>
      <c r="AR10" s="230">
        <v>129500</v>
      </c>
      <c r="AS10" s="230">
        <v>82500</v>
      </c>
      <c r="AT10" s="230">
        <v>47000</v>
      </c>
      <c r="AU10" s="229">
        <v>0.56969999999999998</v>
      </c>
      <c r="AV10" s="230">
        <v>119000</v>
      </c>
      <c r="AW10" s="230">
        <v>80200</v>
      </c>
      <c r="AX10" s="230">
        <v>38800</v>
      </c>
      <c r="AY10" s="229">
        <v>0.48380000000000001</v>
      </c>
      <c r="AZ10" s="230">
        <v>10500</v>
      </c>
      <c r="BA10" s="230">
        <v>2300</v>
      </c>
      <c r="BB10" s="230">
        <v>8200</v>
      </c>
      <c r="BC10" s="229">
        <v>3.5651999999999999</v>
      </c>
      <c r="BD10" s="228">
        <v>0</v>
      </c>
      <c r="BE10" s="228">
        <v>0</v>
      </c>
      <c r="BF10" s="228">
        <v>0</v>
      </c>
      <c r="BG10" s="229">
        <v>0</v>
      </c>
      <c r="BH10" s="230">
        <v>339500</v>
      </c>
      <c r="BI10" s="230">
        <v>210100</v>
      </c>
      <c r="BJ10" s="230">
        <v>129400</v>
      </c>
      <c r="BK10" s="229">
        <v>0.6159</v>
      </c>
      <c r="BL10" s="230">
        <v>95800</v>
      </c>
      <c r="BM10" s="230">
        <v>71800</v>
      </c>
      <c r="BN10" s="230">
        <v>24000</v>
      </c>
      <c r="BO10" s="229">
        <v>0.33429999999999999</v>
      </c>
      <c r="BP10" s="230">
        <v>564800</v>
      </c>
      <c r="BQ10" s="230">
        <v>364400</v>
      </c>
      <c r="BR10" s="230">
        <v>200400</v>
      </c>
      <c r="BS10" s="229">
        <v>0.54990000000000006</v>
      </c>
      <c r="BT10" s="230">
        <v>125682</v>
      </c>
      <c r="BU10" s="230">
        <v>116302</v>
      </c>
      <c r="BV10" s="230">
        <v>9380</v>
      </c>
      <c r="BW10" s="229">
        <v>8.0699999999999994E-2</v>
      </c>
      <c r="BX10" s="230">
        <v>504300</v>
      </c>
      <c r="BY10" s="230">
        <v>495800</v>
      </c>
      <c r="BZ10" s="230">
        <v>8500</v>
      </c>
      <c r="CA10" s="229">
        <v>1.7100000000000001E-2</v>
      </c>
      <c r="CB10" s="230">
        <v>480700</v>
      </c>
      <c r="CC10" s="230">
        <v>476700</v>
      </c>
      <c r="CD10" s="230">
        <v>4000</v>
      </c>
      <c r="CE10" s="229">
        <v>8.3999999999999995E-3</v>
      </c>
      <c r="CF10" s="230">
        <v>23600</v>
      </c>
      <c r="CG10" s="230">
        <v>19100</v>
      </c>
      <c r="CH10" s="230">
        <v>4500</v>
      </c>
      <c r="CI10" s="229">
        <v>0.2356</v>
      </c>
      <c r="CJ10" s="228">
        <v>0</v>
      </c>
      <c r="CK10" s="228">
        <v>0</v>
      </c>
      <c r="CL10" s="228">
        <v>0</v>
      </c>
      <c r="CM10" s="229">
        <v>0</v>
      </c>
      <c r="CN10" s="230">
        <v>338200</v>
      </c>
      <c r="CO10" s="230">
        <v>324700</v>
      </c>
      <c r="CP10" s="230">
        <v>13500</v>
      </c>
      <c r="CQ10" s="229">
        <v>4.1599999999999998E-2</v>
      </c>
      <c r="CR10" s="230">
        <v>175100</v>
      </c>
      <c r="CS10" s="230">
        <v>167300</v>
      </c>
      <c r="CT10" s="230">
        <v>7800</v>
      </c>
      <c r="CU10" s="229">
        <v>4.6600000000000003E-2</v>
      </c>
      <c r="CV10" s="230">
        <v>1017600</v>
      </c>
      <c r="CW10" s="230">
        <v>987800</v>
      </c>
      <c r="CX10" s="230">
        <v>29800</v>
      </c>
      <c r="CY10" s="229">
        <v>3.0200000000000001E-2</v>
      </c>
      <c r="CZ10" s="228">
        <v>31.65</v>
      </c>
      <c r="DA10" s="228">
        <v>30.42</v>
      </c>
      <c r="DB10" s="228">
        <v>1.23</v>
      </c>
      <c r="DC10" s="228">
        <v>1.23</v>
      </c>
      <c r="DD10" s="228">
        <v>55.39</v>
      </c>
      <c r="DE10" s="228">
        <v>55.52</v>
      </c>
      <c r="DF10" s="228">
        <v>-23.74</v>
      </c>
      <c r="DG10" s="228">
        <v>-0.13</v>
      </c>
      <c r="DH10" s="228">
        <v>31.45</v>
      </c>
      <c r="DI10" s="228">
        <v>30.27</v>
      </c>
      <c r="DJ10" s="228">
        <v>1.18</v>
      </c>
      <c r="DK10" s="228">
        <v>1.18</v>
      </c>
      <c r="DL10" s="228">
        <v>32.340000000000003</v>
      </c>
      <c r="DM10" s="228">
        <v>30.85</v>
      </c>
      <c r="DN10" s="228">
        <v>1.49</v>
      </c>
      <c r="DO10" s="228">
        <v>1.49</v>
      </c>
      <c r="DP10" s="228">
        <v>0.52</v>
      </c>
      <c r="DQ10" s="228">
        <v>0.52</v>
      </c>
      <c r="DR10" s="228">
        <v>0</v>
      </c>
      <c r="DS10" s="229">
        <v>0</v>
      </c>
      <c r="DT10" s="231">
        <v>8500</v>
      </c>
      <c r="DU10" s="231">
        <v>8000</v>
      </c>
      <c r="DV10" s="228">
        <v>0.28000000000000003</v>
      </c>
      <c r="DW10" s="228">
        <v>0.34</v>
      </c>
      <c r="DX10" s="228">
        <v>-0.06</v>
      </c>
      <c r="DY10" s="229">
        <v>-0.17649999999999999</v>
      </c>
      <c r="DZ10" s="229">
        <v>4.6800000000000001E-2</v>
      </c>
      <c r="EA10" s="230">
        <v>19100</v>
      </c>
      <c r="EB10" s="229">
        <v>-6.1000000000000004E-3</v>
      </c>
      <c r="EC10" s="229">
        <v>4.6800000000000001E-2</v>
      </c>
      <c r="ED10" s="228">
        <v>-40.53</v>
      </c>
      <c r="EE10" s="229">
        <v>-5.0000000000000001E-3</v>
      </c>
      <c r="EF10" s="230">
        <v>50764</v>
      </c>
      <c r="EG10" s="230">
        <v>50616</v>
      </c>
      <c r="EH10" s="229">
        <v>2.8999999999999998E-3</v>
      </c>
      <c r="EI10" s="229">
        <v>0.40389999999999998</v>
      </c>
      <c r="EJ10" s="231">
        <v>29210.98</v>
      </c>
      <c r="EK10" s="231">
        <v>7675.35</v>
      </c>
      <c r="EL10" s="231">
        <v>10520.09</v>
      </c>
      <c r="EM10" s="231">
        <v>3940</v>
      </c>
      <c r="EN10" s="231">
        <v>47406.42</v>
      </c>
      <c r="EO10" s="231">
        <v>30670.54</v>
      </c>
      <c r="EP10" s="231">
        <v>16735.88</v>
      </c>
      <c r="EQ10" s="229">
        <v>0.54569999999999996</v>
      </c>
      <c r="ER10" s="231">
        <v>28453</v>
      </c>
      <c r="ES10" s="231">
        <v>13935</v>
      </c>
      <c r="ET10" s="231">
        <v>41190</v>
      </c>
      <c r="EU10" s="231">
        <v>3067454</v>
      </c>
      <c r="EV10" s="231">
        <v>83578</v>
      </c>
      <c r="EW10" s="231">
        <v>81388</v>
      </c>
      <c r="EX10" s="231">
        <v>2190</v>
      </c>
      <c r="EY10" s="229">
        <v>2.69E-2</v>
      </c>
      <c r="EZ10" s="229">
        <v>0.33169999999999999</v>
      </c>
      <c r="FA10" s="227" t="s">
        <v>567</v>
      </c>
      <c r="FB10" s="161">
        <f t="shared" si="0"/>
        <v>23600</v>
      </c>
    </row>
    <row r="11" spans="1:158" ht="17.25" hidden="1" thickBot="1" x14ac:dyDescent="0.3">
      <c r="A11" s="226">
        <v>45936</v>
      </c>
      <c r="B11" s="227" t="s">
        <v>157</v>
      </c>
      <c r="C11" s="227" t="s">
        <v>164</v>
      </c>
      <c r="D11" s="228">
        <v>1050</v>
      </c>
      <c r="E11" s="228">
        <v>576.4</v>
      </c>
      <c r="F11" s="228">
        <v>579.65</v>
      </c>
      <c r="G11" s="228">
        <v>-3.25</v>
      </c>
      <c r="H11" s="229">
        <v>-5.5999999999999999E-3</v>
      </c>
      <c r="I11" s="228">
        <v>573.79999999999995</v>
      </c>
      <c r="J11" s="228">
        <v>576.15</v>
      </c>
      <c r="K11" s="228">
        <v>-2.35</v>
      </c>
      <c r="L11" s="229">
        <v>-4.1000000000000003E-3</v>
      </c>
      <c r="M11" s="228">
        <v>576.4</v>
      </c>
      <c r="N11" s="228">
        <v>579.65</v>
      </c>
      <c r="O11" s="228">
        <v>-3.25</v>
      </c>
      <c r="P11" s="229">
        <v>-5.5999999999999999E-3</v>
      </c>
      <c r="Q11" s="228">
        <v>579.70000000000005</v>
      </c>
      <c r="R11" s="228">
        <v>582.4</v>
      </c>
      <c r="S11" s="228">
        <v>-2.7</v>
      </c>
      <c r="T11" s="229">
        <v>-4.5999999999999999E-3</v>
      </c>
      <c r="U11" s="228">
        <v>583</v>
      </c>
      <c r="V11" s="228">
        <v>586.15</v>
      </c>
      <c r="W11" s="228">
        <v>-3.15</v>
      </c>
      <c r="X11" s="229">
        <v>-5.4000000000000003E-3</v>
      </c>
      <c r="Y11" s="228">
        <v>2.6</v>
      </c>
      <c r="Z11" s="228">
        <v>3.5</v>
      </c>
      <c r="AA11" s="228">
        <v>-0.9</v>
      </c>
      <c r="AB11" s="229">
        <v>4.4999999999999997E-3</v>
      </c>
      <c r="AC11" s="228">
        <v>2.6</v>
      </c>
      <c r="AD11" s="228">
        <v>3.5</v>
      </c>
      <c r="AE11" s="228">
        <v>-0.9</v>
      </c>
      <c r="AF11" s="229">
        <v>4.4999999999999997E-3</v>
      </c>
      <c r="AG11" s="228">
        <v>5.9</v>
      </c>
      <c r="AH11" s="228">
        <v>6.25</v>
      </c>
      <c r="AI11" s="228">
        <v>-0.35</v>
      </c>
      <c r="AJ11" s="229">
        <v>1.03E-2</v>
      </c>
      <c r="AK11" s="228">
        <v>9.1999999999999993</v>
      </c>
      <c r="AL11" s="228">
        <v>10</v>
      </c>
      <c r="AM11" s="228">
        <v>-0.8</v>
      </c>
      <c r="AN11" s="229">
        <v>1.6E-2</v>
      </c>
      <c r="AO11" s="228">
        <v>576.22</v>
      </c>
      <c r="AP11" s="228">
        <v>579.91999999999996</v>
      </c>
      <c r="AQ11" s="228">
        <v>0</v>
      </c>
      <c r="AR11" s="230">
        <v>1979250</v>
      </c>
      <c r="AS11" s="230">
        <v>4406850</v>
      </c>
      <c r="AT11" s="230">
        <v>-2427600</v>
      </c>
      <c r="AU11" s="229">
        <v>-0.55089999999999995</v>
      </c>
      <c r="AV11" s="230">
        <v>1851150</v>
      </c>
      <c r="AW11" s="230">
        <v>4223100</v>
      </c>
      <c r="AX11" s="230">
        <v>-2371950</v>
      </c>
      <c r="AY11" s="229">
        <v>-0.56169999999999998</v>
      </c>
      <c r="AZ11" s="230">
        <v>123900</v>
      </c>
      <c r="BA11" s="230">
        <v>168000</v>
      </c>
      <c r="BB11" s="230">
        <v>-44100</v>
      </c>
      <c r="BC11" s="229">
        <v>-0.26250000000000001</v>
      </c>
      <c r="BD11" s="230">
        <v>4200</v>
      </c>
      <c r="BE11" s="230">
        <v>15750</v>
      </c>
      <c r="BF11" s="230">
        <v>-11550</v>
      </c>
      <c r="BG11" s="229">
        <v>-0.73329999999999995</v>
      </c>
      <c r="BH11" s="230">
        <v>4190550</v>
      </c>
      <c r="BI11" s="230">
        <v>7865550</v>
      </c>
      <c r="BJ11" s="230">
        <v>-3675000</v>
      </c>
      <c r="BK11" s="229">
        <v>-0.4672</v>
      </c>
      <c r="BL11" s="230">
        <v>1739850</v>
      </c>
      <c r="BM11" s="230">
        <v>3145800</v>
      </c>
      <c r="BN11" s="230">
        <v>-1405950</v>
      </c>
      <c r="BO11" s="229">
        <v>-0.44690000000000002</v>
      </c>
      <c r="BP11" s="230">
        <v>7909650</v>
      </c>
      <c r="BQ11" s="230">
        <v>15418200</v>
      </c>
      <c r="BR11" s="230">
        <v>-7508550</v>
      </c>
      <c r="BS11" s="229">
        <v>-0.48699999999999999</v>
      </c>
      <c r="BT11" s="230">
        <v>937622</v>
      </c>
      <c r="BU11" s="230">
        <v>2118373</v>
      </c>
      <c r="BV11" s="230">
        <v>-1180751</v>
      </c>
      <c r="BW11" s="229">
        <v>-0.55740000000000001</v>
      </c>
      <c r="BX11" s="230">
        <v>41168400</v>
      </c>
      <c r="BY11" s="230">
        <v>41020350</v>
      </c>
      <c r="BZ11" s="230">
        <v>148050</v>
      </c>
      <c r="CA11" s="229">
        <v>3.5999999999999999E-3</v>
      </c>
      <c r="CB11" s="230">
        <v>40465950</v>
      </c>
      <c r="CC11" s="230">
        <v>40349400</v>
      </c>
      <c r="CD11" s="230">
        <v>116550</v>
      </c>
      <c r="CE11" s="229">
        <v>2.8999999999999998E-3</v>
      </c>
      <c r="CF11" s="230">
        <v>687750</v>
      </c>
      <c r="CG11" s="230">
        <v>660450</v>
      </c>
      <c r="CH11" s="230">
        <v>27300</v>
      </c>
      <c r="CI11" s="229">
        <v>4.1300000000000003E-2</v>
      </c>
      <c r="CJ11" s="230">
        <v>14700</v>
      </c>
      <c r="CK11" s="230">
        <v>10500</v>
      </c>
      <c r="CL11" s="230">
        <v>4200</v>
      </c>
      <c r="CM11" s="229">
        <v>0.4</v>
      </c>
      <c r="CN11" s="230">
        <v>9364950</v>
      </c>
      <c r="CO11" s="230">
        <v>8625750</v>
      </c>
      <c r="CP11" s="230">
        <v>739200</v>
      </c>
      <c r="CQ11" s="229">
        <v>8.5699999999999998E-2</v>
      </c>
      <c r="CR11" s="230">
        <v>7318500</v>
      </c>
      <c r="CS11" s="230">
        <v>6976200</v>
      </c>
      <c r="CT11" s="230">
        <v>342300</v>
      </c>
      <c r="CU11" s="229">
        <v>4.9099999999999998E-2</v>
      </c>
      <c r="CV11" s="230">
        <v>57851850</v>
      </c>
      <c r="CW11" s="230">
        <v>56622300</v>
      </c>
      <c r="CX11" s="230">
        <v>1229550</v>
      </c>
      <c r="CY11" s="229">
        <v>2.1700000000000001E-2</v>
      </c>
      <c r="CZ11" s="228">
        <v>25.14</v>
      </c>
      <c r="DA11" s="228">
        <v>23.58</v>
      </c>
      <c r="DB11" s="228">
        <v>1.56</v>
      </c>
      <c r="DC11" s="228">
        <v>1.56</v>
      </c>
      <c r="DD11" s="228">
        <v>34.520000000000003</v>
      </c>
      <c r="DE11" s="228">
        <v>34.6</v>
      </c>
      <c r="DF11" s="228">
        <v>-9.3800000000000008</v>
      </c>
      <c r="DG11" s="228">
        <v>-0.08</v>
      </c>
      <c r="DH11" s="228">
        <v>25.15</v>
      </c>
      <c r="DI11" s="228">
        <v>23.39</v>
      </c>
      <c r="DJ11" s="228">
        <v>1.76</v>
      </c>
      <c r="DK11" s="228">
        <v>1.76</v>
      </c>
      <c r="DL11" s="228">
        <v>25.11</v>
      </c>
      <c r="DM11" s="228">
        <v>24.03</v>
      </c>
      <c r="DN11" s="228">
        <v>1.08</v>
      </c>
      <c r="DO11" s="228">
        <v>1.08</v>
      </c>
      <c r="DP11" s="228">
        <v>0.78</v>
      </c>
      <c r="DQ11" s="228">
        <v>0.81</v>
      </c>
      <c r="DR11" s="228">
        <v>-0.03</v>
      </c>
      <c r="DS11" s="229">
        <v>-3.6999999999999998E-2</v>
      </c>
      <c r="DT11" s="228">
        <v>600</v>
      </c>
      <c r="DU11" s="228">
        <v>650</v>
      </c>
      <c r="DV11" s="228">
        <v>0.42</v>
      </c>
      <c r="DW11" s="228">
        <v>0.4</v>
      </c>
      <c r="DX11" s="228">
        <v>0.02</v>
      </c>
      <c r="DY11" s="229">
        <v>0.05</v>
      </c>
      <c r="DZ11" s="229">
        <v>1.7100000000000001E-2</v>
      </c>
      <c r="EA11" s="230">
        <v>670950</v>
      </c>
      <c r="EB11" s="229">
        <v>5.7000000000000002E-3</v>
      </c>
      <c r="EC11" s="229">
        <v>1.7100000000000001E-2</v>
      </c>
      <c r="ED11" s="228">
        <v>3.7</v>
      </c>
      <c r="EE11" s="229">
        <v>6.4000000000000003E-3</v>
      </c>
      <c r="EF11" s="230">
        <v>525393</v>
      </c>
      <c r="EG11" s="230">
        <v>1217302</v>
      </c>
      <c r="EH11" s="229">
        <v>-0.56840000000000002</v>
      </c>
      <c r="EI11" s="229">
        <v>0.56030000000000002</v>
      </c>
      <c r="EJ11" s="231">
        <v>25190.17</v>
      </c>
      <c r="EK11" s="231">
        <v>10019.1</v>
      </c>
      <c r="EL11" s="231">
        <v>11409.71</v>
      </c>
      <c r="EM11" s="231">
        <v>12634</v>
      </c>
      <c r="EN11" s="231">
        <v>46618.98</v>
      </c>
      <c r="EO11" s="231">
        <v>91010.97</v>
      </c>
      <c r="EP11" s="231">
        <v>-44391.99</v>
      </c>
      <c r="EQ11" s="229">
        <v>-0.48780000000000001</v>
      </c>
      <c r="ER11" s="231">
        <v>56456</v>
      </c>
      <c r="ES11" s="231">
        <v>42597</v>
      </c>
      <c r="ET11" s="231">
        <v>237318</v>
      </c>
      <c r="EU11" s="231">
        <v>119762774</v>
      </c>
      <c r="EV11" s="231">
        <v>336372</v>
      </c>
      <c r="EW11" s="231">
        <v>330539</v>
      </c>
      <c r="EX11" s="231">
        <v>5833</v>
      </c>
      <c r="EY11" s="229">
        <v>1.7600000000000001E-2</v>
      </c>
      <c r="EZ11" s="229">
        <v>0.48309999999999997</v>
      </c>
      <c r="FA11" s="227" t="s">
        <v>567</v>
      </c>
      <c r="FB11" s="161">
        <f t="shared" si="0"/>
        <v>702450</v>
      </c>
    </row>
    <row r="12" spans="1:158" ht="17.25" hidden="1" thickBot="1" x14ac:dyDescent="0.3">
      <c r="A12" s="226">
        <v>45936</v>
      </c>
      <c r="B12" s="227" t="s">
        <v>175</v>
      </c>
      <c r="C12" s="227" t="s">
        <v>610</v>
      </c>
      <c r="D12" s="228">
        <v>250</v>
      </c>
      <c r="E12" s="231">
        <v>2275.9</v>
      </c>
      <c r="F12" s="231">
        <v>2206.1999999999998</v>
      </c>
      <c r="G12" s="228">
        <v>69.7</v>
      </c>
      <c r="H12" s="229">
        <v>3.1600000000000003E-2</v>
      </c>
      <c r="I12" s="231">
        <v>2265.1999999999998</v>
      </c>
      <c r="J12" s="231">
        <v>2201.3000000000002</v>
      </c>
      <c r="K12" s="228">
        <v>63.9</v>
      </c>
      <c r="L12" s="229">
        <v>2.9000000000000001E-2</v>
      </c>
      <c r="M12" s="231">
        <v>2275.9</v>
      </c>
      <c r="N12" s="231">
        <v>2206.1999999999998</v>
      </c>
      <c r="O12" s="228">
        <v>69.7</v>
      </c>
      <c r="P12" s="229">
        <v>3.1600000000000003E-2</v>
      </c>
      <c r="Q12" s="231">
        <v>2272.3000000000002</v>
      </c>
      <c r="R12" s="231">
        <v>2203.8000000000002</v>
      </c>
      <c r="S12" s="228">
        <v>68.5</v>
      </c>
      <c r="T12" s="229">
        <v>3.1099999999999999E-2</v>
      </c>
      <c r="U12" s="231">
        <v>2272.3000000000002</v>
      </c>
      <c r="V12" s="231">
        <v>2204.6999999999998</v>
      </c>
      <c r="W12" s="228">
        <v>67.599999999999994</v>
      </c>
      <c r="X12" s="229">
        <v>3.0700000000000002E-2</v>
      </c>
      <c r="Y12" s="228">
        <v>10.7</v>
      </c>
      <c r="Z12" s="228">
        <v>4.9000000000000004</v>
      </c>
      <c r="AA12" s="228">
        <v>5.8</v>
      </c>
      <c r="AB12" s="229">
        <v>4.7000000000000002E-3</v>
      </c>
      <c r="AC12" s="228">
        <v>10.7</v>
      </c>
      <c r="AD12" s="228">
        <v>4.9000000000000004</v>
      </c>
      <c r="AE12" s="228">
        <v>5.8</v>
      </c>
      <c r="AF12" s="229">
        <v>4.7000000000000002E-3</v>
      </c>
      <c r="AG12" s="228">
        <v>7.1</v>
      </c>
      <c r="AH12" s="228">
        <v>2.5</v>
      </c>
      <c r="AI12" s="228">
        <v>4.5999999999999996</v>
      </c>
      <c r="AJ12" s="229">
        <v>3.0999999999999999E-3</v>
      </c>
      <c r="AK12" s="228">
        <v>7.1</v>
      </c>
      <c r="AL12" s="228">
        <v>3.4</v>
      </c>
      <c r="AM12" s="228">
        <v>3.7</v>
      </c>
      <c r="AN12" s="229">
        <v>3.0999999999999999E-3</v>
      </c>
      <c r="AO12" s="231">
        <v>2245.42</v>
      </c>
      <c r="AP12" s="231">
        <v>2246.4899999999998</v>
      </c>
      <c r="AQ12" s="228">
        <v>0</v>
      </c>
      <c r="AR12" s="230">
        <v>2066500</v>
      </c>
      <c r="AS12" s="230">
        <v>762750</v>
      </c>
      <c r="AT12" s="230">
        <v>1303750</v>
      </c>
      <c r="AU12" s="229">
        <v>1.7093</v>
      </c>
      <c r="AV12" s="230">
        <v>1929750</v>
      </c>
      <c r="AW12" s="230">
        <v>679750</v>
      </c>
      <c r="AX12" s="230">
        <v>1250000</v>
      </c>
      <c r="AY12" s="229">
        <v>1.8389</v>
      </c>
      <c r="AZ12" s="230">
        <v>119250</v>
      </c>
      <c r="BA12" s="230">
        <v>72750</v>
      </c>
      <c r="BB12" s="230">
        <v>46500</v>
      </c>
      <c r="BC12" s="229">
        <v>0.63919999999999999</v>
      </c>
      <c r="BD12" s="230">
        <v>17500</v>
      </c>
      <c r="BE12" s="230">
        <v>10250</v>
      </c>
      <c r="BF12" s="230">
        <v>7250</v>
      </c>
      <c r="BG12" s="229">
        <v>0.70730000000000004</v>
      </c>
      <c r="BH12" s="230">
        <v>5468500</v>
      </c>
      <c r="BI12" s="230">
        <v>2256750</v>
      </c>
      <c r="BJ12" s="230">
        <v>3211750</v>
      </c>
      <c r="BK12" s="229">
        <v>1.4232</v>
      </c>
      <c r="BL12" s="230">
        <v>2361750</v>
      </c>
      <c r="BM12" s="230">
        <v>991000</v>
      </c>
      <c r="BN12" s="230">
        <v>1370750</v>
      </c>
      <c r="BO12" s="229">
        <v>1.3832</v>
      </c>
      <c r="BP12" s="230">
        <v>9896750</v>
      </c>
      <c r="BQ12" s="230">
        <v>4010500</v>
      </c>
      <c r="BR12" s="230">
        <v>5886250</v>
      </c>
      <c r="BS12" s="229">
        <v>1.4677</v>
      </c>
      <c r="BT12" s="230">
        <v>1176176</v>
      </c>
      <c r="BU12" s="230">
        <v>480096</v>
      </c>
      <c r="BV12" s="230">
        <v>696080</v>
      </c>
      <c r="BW12" s="229">
        <v>1.4499</v>
      </c>
      <c r="BX12" s="230">
        <v>3838500</v>
      </c>
      <c r="BY12" s="230">
        <v>3805000</v>
      </c>
      <c r="BZ12" s="230">
        <v>33500</v>
      </c>
      <c r="CA12" s="229">
        <v>8.8000000000000005E-3</v>
      </c>
      <c r="CB12" s="230">
        <v>3568250</v>
      </c>
      <c r="CC12" s="230">
        <v>3529000</v>
      </c>
      <c r="CD12" s="230">
        <v>39250</v>
      </c>
      <c r="CE12" s="229">
        <v>1.11E-2</v>
      </c>
      <c r="CF12" s="230">
        <v>245250</v>
      </c>
      <c r="CG12" s="230">
        <v>260250</v>
      </c>
      <c r="CH12" s="230">
        <v>-15000</v>
      </c>
      <c r="CI12" s="229">
        <v>-5.7599999999999998E-2</v>
      </c>
      <c r="CJ12" s="230">
        <v>25000</v>
      </c>
      <c r="CK12" s="230">
        <v>15750</v>
      </c>
      <c r="CL12" s="230">
        <v>9250</v>
      </c>
      <c r="CM12" s="229">
        <v>0.58730000000000004</v>
      </c>
      <c r="CN12" s="230">
        <v>1497000</v>
      </c>
      <c r="CO12" s="230">
        <v>1377000</v>
      </c>
      <c r="CP12" s="230">
        <v>120000</v>
      </c>
      <c r="CQ12" s="229">
        <v>8.7099999999999997E-2</v>
      </c>
      <c r="CR12" s="230">
        <v>1200250</v>
      </c>
      <c r="CS12" s="230">
        <v>1168500</v>
      </c>
      <c r="CT12" s="230">
        <v>31750</v>
      </c>
      <c r="CU12" s="229">
        <v>2.7199999999999998E-2</v>
      </c>
      <c r="CV12" s="230">
        <v>6535750</v>
      </c>
      <c r="CW12" s="230">
        <v>6350500</v>
      </c>
      <c r="CX12" s="230">
        <v>185250</v>
      </c>
      <c r="CY12" s="229">
        <v>2.92E-2</v>
      </c>
      <c r="CZ12" s="228">
        <v>43.24</v>
      </c>
      <c r="DA12" s="228">
        <v>42.42</v>
      </c>
      <c r="DB12" s="228">
        <v>0.82</v>
      </c>
      <c r="DC12" s="228">
        <v>0.82</v>
      </c>
      <c r="DD12" s="228">
        <v>56.32</v>
      </c>
      <c r="DE12" s="228">
        <v>56.31</v>
      </c>
      <c r="DF12" s="228">
        <v>-13.08</v>
      </c>
      <c r="DG12" s="228">
        <v>0.01</v>
      </c>
      <c r="DH12" s="228">
        <v>42.86</v>
      </c>
      <c r="DI12" s="228">
        <v>42.14</v>
      </c>
      <c r="DJ12" s="228">
        <v>0.72</v>
      </c>
      <c r="DK12" s="228">
        <v>0.72</v>
      </c>
      <c r="DL12" s="228">
        <v>44.13</v>
      </c>
      <c r="DM12" s="228">
        <v>43.06</v>
      </c>
      <c r="DN12" s="228">
        <v>1.07</v>
      </c>
      <c r="DO12" s="228">
        <v>1.07</v>
      </c>
      <c r="DP12" s="228">
        <v>0.8</v>
      </c>
      <c r="DQ12" s="228">
        <v>0.85</v>
      </c>
      <c r="DR12" s="228">
        <v>-0.05</v>
      </c>
      <c r="DS12" s="229">
        <v>-5.8799999999999998E-2</v>
      </c>
      <c r="DT12" s="231">
        <v>2300</v>
      </c>
      <c r="DU12" s="231">
        <v>2100</v>
      </c>
      <c r="DV12" s="228">
        <v>0.43</v>
      </c>
      <c r="DW12" s="228">
        <v>0.44</v>
      </c>
      <c r="DX12" s="228">
        <v>-0.01</v>
      </c>
      <c r="DY12" s="229">
        <v>-2.2700000000000001E-2</v>
      </c>
      <c r="DZ12" s="229">
        <v>7.0400000000000004E-2</v>
      </c>
      <c r="EA12" s="230">
        <v>276000</v>
      </c>
      <c r="EB12" s="229">
        <v>-1.6000000000000001E-3</v>
      </c>
      <c r="EC12" s="229">
        <v>7.0400000000000004E-2</v>
      </c>
      <c r="ED12" s="228">
        <v>1.07</v>
      </c>
      <c r="EE12" s="229">
        <v>5.0000000000000001E-4</v>
      </c>
      <c r="EF12" s="230">
        <v>313197</v>
      </c>
      <c r="EG12" s="230">
        <v>108684</v>
      </c>
      <c r="EH12" s="229">
        <v>1.8816999999999999</v>
      </c>
      <c r="EI12" s="229">
        <v>0.26629999999999998</v>
      </c>
      <c r="EJ12" s="231">
        <v>131116.64000000001</v>
      </c>
      <c r="EK12" s="231">
        <v>51972.26</v>
      </c>
      <c r="EL12" s="231">
        <v>46404.44</v>
      </c>
      <c r="EM12" s="231">
        <v>9674</v>
      </c>
      <c r="EN12" s="231">
        <v>229493.34</v>
      </c>
      <c r="EO12" s="231">
        <v>91493.77</v>
      </c>
      <c r="EP12" s="231">
        <v>137999.57</v>
      </c>
      <c r="EQ12" s="229">
        <v>1.5083</v>
      </c>
      <c r="ER12" s="231">
        <v>35041</v>
      </c>
      <c r="ES12" s="231">
        <v>25304</v>
      </c>
      <c r="ET12" s="231">
        <v>87351</v>
      </c>
      <c r="EU12" s="231">
        <v>9647634</v>
      </c>
      <c r="EV12" s="231">
        <v>147695</v>
      </c>
      <c r="EW12" s="231">
        <v>140321</v>
      </c>
      <c r="EX12" s="231">
        <v>7374</v>
      </c>
      <c r="EY12" s="229">
        <v>5.2600000000000001E-2</v>
      </c>
      <c r="EZ12" s="229">
        <v>0.6774</v>
      </c>
      <c r="FA12" s="227" t="s">
        <v>555</v>
      </c>
      <c r="FB12" s="161">
        <f t="shared" si="0"/>
        <v>270250</v>
      </c>
    </row>
    <row r="13" spans="1:158" ht="17.25" hidden="1" thickBot="1" x14ac:dyDescent="0.3">
      <c r="A13" s="226">
        <v>45936</v>
      </c>
      <c r="B13" s="227" t="s">
        <v>227</v>
      </c>
      <c r="C13" s="227" t="s">
        <v>599</v>
      </c>
      <c r="D13" s="228">
        <v>350</v>
      </c>
      <c r="E13" s="231">
        <v>1750.5</v>
      </c>
      <c r="F13" s="231">
        <v>1744.7</v>
      </c>
      <c r="G13" s="228">
        <v>5.8</v>
      </c>
      <c r="H13" s="229">
        <v>3.3E-3</v>
      </c>
      <c r="I13" s="231">
        <v>1742</v>
      </c>
      <c r="J13" s="231">
        <v>1738.2</v>
      </c>
      <c r="K13" s="228">
        <v>3.8</v>
      </c>
      <c r="L13" s="229">
        <v>2.2000000000000001E-3</v>
      </c>
      <c r="M13" s="231">
        <v>1750.5</v>
      </c>
      <c r="N13" s="231">
        <v>1744.7</v>
      </c>
      <c r="O13" s="228">
        <v>5.8</v>
      </c>
      <c r="P13" s="229">
        <v>3.3E-3</v>
      </c>
      <c r="Q13" s="231">
        <v>1760.5</v>
      </c>
      <c r="R13" s="231">
        <v>1754.3</v>
      </c>
      <c r="S13" s="228">
        <v>6.2</v>
      </c>
      <c r="T13" s="229">
        <v>3.5000000000000001E-3</v>
      </c>
      <c r="U13" s="231">
        <v>1770</v>
      </c>
      <c r="V13" s="231">
        <v>1762.6</v>
      </c>
      <c r="W13" s="228">
        <v>7.4</v>
      </c>
      <c r="X13" s="229">
        <v>4.1999999999999997E-3</v>
      </c>
      <c r="Y13" s="228">
        <v>8.5</v>
      </c>
      <c r="Z13" s="228">
        <v>6.5</v>
      </c>
      <c r="AA13" s="228">
        <v>2</v>
      </c>
      <c r="AB13" s="229">
        <v>4.8999999999999998E-3</v>
      </c>
      <c r="AC13" s="228">
        <v>8.5</v>
      </c>
      <c r="AD13" s="228">
        <v>6.5</v>
      </c>
      <c r="AE13" s="228">
        <v>2</v>
      </c>
      <c r="AF13" s="229">
        <v>4.8999999999999998E-3</v>
      </c>
      <c r="AG13" s="228">
        <v>18.5</v>
      </c>
      <c r="AH13" s="228">
        <v>16.100000000000001</v>
      </c>
      <c r="AI13" s="228">
        <v>2.4</v>
      </c>
      <c r="AJ13" s="229">
        <v>1.06E-2</v>
      </c>
      <c r="AK13" s="228">
        <v>28</v>
      </c>
      <c r="AL13" s="228">
        <v>24.4</v>
      </c>
      <c r="AM13" s="228">
        <v>3.6</v>
      </c>
      <c r="AN13" s="229">
        <v>1.61E-2</v>
      </c>
      <c r="AO13" s="231">
        <v>1744.16</v>
      </c>
      <c r="AP13" s="231">
        <v>1752.77</v>
      </c>
      <c r="AQ13" s="228">
        <v>0</v>
      </c>
      <c r="AR13" s="230">
        <v>565250</v>
      </c>
      <c r="AS13" s="230">
        <v>1069950</v>
      </c>
      <c r="AT13" s="230">
        <v>-504700</v>
      </c>
      <c r="AU13" s="229">
        <v>-0.47170000000000001</v>
      </c>
      <c r="AV13" s="230">
        <v>540750</v>
      </c>
      <c r="AW13" s="230">
        <v>1032150</v>
      </c>
      <c r="AX13" s="230">
        <v>-491400</v>
      </c>
      <c r="AY13" s="229">
        <v>-0.47610000000000002</v>
      </c>
      <c r="AZ13" s="230">
        <v>23800</v>
      </c>
      <c r="BA13" s="230">
        <v>36050</v>
      </c>
      <c r="BB13" s="230">
        <v>-12250</v>
      </c>
      <c r="BC13" s="229">
        <v>-0.33979999999999999</v>
      </c>
      <c r="BD13" s="228">
        <v>700</v>
      </c>
      <c r="BE13" s="230">
        <v>1750</v>
      </c>
      <c r="BF13" s="230">
        <v>-1050</v>
      </c>
      <c r="BG13" s="229">
        <v>-0.6</v>
      </c>
      <c r="BH13" s="230">
        <v>853650</v>
      </c>
      <c r="BI13" s="230">
        <v>1437100</v>
      </c>
      <c r="BJ13" s="230">
        <v>-583450</v>
      </c>
      <c r="BK13" s="229">
        <v>-0.40600000000000003</v>
      </c>
      <c r="BL13" s="230">
        <v>324100</v>
      </c>
      <c r="BM13" s="230">
        <v>490000</v>
      </c>
      <c r="BN13" s="230">
        <v>-165900</v>
      </c>
      <c r="BO13" s="229">
        <v>-0.33860000000000001</v>
      </c>
      <c r="BP13" s="230">
        <v>1743000</v>
      </c>
      <c r="BQ13" s="230">
        <v>2997050</v>
      </c>
      <c r="BR13" s="230">
        <v>-1254050</v>
      </c>
      <c r="BS13" s="229">
        <v>-0.41839999999999999</v>
      </c>
      <c r="BT13" s="230">
        <v>193728</v>
      </c>
      <c r="BU13" s="230">
        <v>696849</v>
      </c>
      <c r="BV13" s="230">
        <v>-503121</v>
      </c>
      <c r="BW13" s="229">
        <v>-0.72199999999999998</v>
      </c>
      <c r="BX13" s="230">
        <v>9731050</v>
      </c>
      <c r="BY13" s="230">
        <v>9751000</v>
      </c>
      <c r="BZ13" s="230">
        <v>-19950</v>
      </c>
      <c r="CA13" s="229">
        <v>-2E-3</v>
      </c>
      <c r="CB13" s="230">
        <v>9667700</v>
      </c>
      <c r="CC13" s="230">
        <v>9690800</v>
      </c>
      <c r="CD13" s="230">
        <v>-23100</v>
      </c>
      <c r="CE13" s="229">
        <v>-2.3999999999999998E-3</v>
      </c>
      <c r="CF13" s="230">
        <v>60200</v>
      </c>
      <c r="CG13" s="230">
        <v>57750</v>
      </c>
      <c r="CH13" s="230">
        <v>2450</v>
      </c>
      <c r="CI13" s="229">
        <v>4.24E-2</v>
      </c>
      <c r="CJ13" s="230">
        <v>3150</v>
      </c>
      <c r="CK13" s="230">
        <v>2450</v>
      </c>
      <c r="CL13" s="228">
        <v>700</v>
      </c>
      <c r="CM13" s="229">
        <v>0.28570000000000001</v>
      </c>
      <c r="CN13" s="230">
        <v>876050</v>
      </c>
      <c r="CO13" s="230">
        <v>901600</v>
      </c>
      <c r="CP13" s="230">
        <v>-25550</v>
      </c>
      <c r="CQ13" s="229">
        <v>-2.8299999999999999E-2</v>
      </c>
      <c r="CR13" s="230">
        <v>568400</v>
      </c>
      <c r="CS13" s="230">
        <v>558950</v>
      </c>
      <c r="CT13" s="230">
        <v>9450</v>
      </c>
      <c r="CU13" s="229">
        <v>1.6899999999999998E-2</v>
      </c>
      <c r="CV13" s="230">
        <v>11175500</v>
      </c>
      <c r="CW13" s="230">
        <v>11211550</v>
      </c>
      <c r="CX13" s="230">
        <v>-36050</v>
      </c>
      <c r="CY13" s="229">
        <v>-3.2000000000000002E-3</v>
      </c>
      <c r="CZ13" s="228">
        <v>26.19</v>
      </c>
      <c r="DA13" s="228">
        <v>26.73</v>
      </c>
      <c r="DB13" s="228">
        <v>-0.54</v>
      </c>
      <c r="DC13" s="228">
        <v>-0.54</v>
      </c>
      <c r="DD13" s="228">
        <v>35.36</v>
      </c>
      <c r="DE13" s="228">
        <v>35.450000000000003</v>
      </c>
      <c r="DF13" s="228">
        <v>-9.17</v>
      </c>
      <c r="DG13" s="228">
        <v>-0.09</v>
      </c>
      <c r="DH13" s="228">
        <v>26.15</v>
      </c>
      <c r="DI13" s="228">
        <v>26.68</v>
      </c>
      <c r="DJ13" s="228">
        <v>-0.53</v>
      </c>
      <c r="DK13" s="228">
        <v>-0.53</v>
      </c>
      <c r="DL13" s="228">
        <v>26.32</v>
      </c>
      <c r="DM13" s="228">
        <v>26.86</v>
      </c>
      <c r="DN13" s="228">
        <v>-0.54</v>
      </c>
      <c r="DO13" s="228">
        <v>-0.54</v>
      </c>
      <c r="DP13" s="228">
        <v>0.65</v>
      </c>
      <c r="DQ13" s="228">
        <v>0.62</v>
      </c>
      <c r="DR13" s="228">
        <v>0.03</v>
      </c>
      <c r="DS13" s="229">
        <v>4.8399999999999999E-2</v>
      </c>
      <c r="DT13" s="231">
        <v>1700</v>
      </c>
      <c r="DU13" s="231">
        <v>1700</v>
      </c>
      <c r="DV13" s="228">
        <v>0.38</v>
      </c>
      <c r="DW13" s="228">
        <v>0.34</v>
      </c>
      <c r="DX13" s="228">
        <v>0.04</v>
      </c>
      <c r="DY13" s="229">
        <v>0.1176</v>
      </c>
      <c r="DZ13" s="229">
        <v>6.4999999999999997E-3</v>
      </c>
      <c r="EA13" s="230">
        <v>60200</v>
      </c>
      <c r="EB13" s="229">
        <v>5.7000000000000002E-3</v>
      </c>
      <c r="EC13" s="229">
        <v>6.4999999999999997E-3</v>
      </c>
      <c r="ED13" s="228">
        <v>8.61</v>
      </c>
      <c r="EE13" s="229">
        <v>4.8999999999999998E-3</v>
      </c>
      <c r="EF13" s="230">
        <v>75542</v>
      </c>
      <c r="EG13" s="230">
        <v>418237</v>
      </c>
      <c r="EH13" s="229">
        <v>-0.81940000000000002</v>
      </c>
      <c r="EI13" s="229">
        <v>0.38990000000000002</v>
      </c>
      <c r="EJ13" s="231">
        <v>15386.23</v>
      </c>
      <c r="EK13" s="231">
        <v>5589.96</v>
      </c>
      <c r="EL13" s="231">
        <v>9861.07</v>
      </c>
      <c r="EM13" s="231">
        <v>6864</v>
      </c>
      <c r="EN13" s="231">
        <v>30837.26</v>
      </c>
      <c r="EO13" s="231">
        <v>53182.51</v>
      </c>
      <c r="EP13" s="231">
        <v>-22345.25</v>
      </c>
      <c r="EQ13" s="229">
        <v>-0.42020000000000002</v>
      </c>
      <c r="ER13" s="231">
        <v>15409</v>
      </c>
      <c r="ES13" s="231">
        <v>9371</v>
      </c>
      <c r="ET13" s="231">
        <v>170349</v>
      </c>
      <c r="EU13" s="231">
        <v>27232196</v>
      </c>
      <c r="EV13" s="231">
        <v>195129</v>
      </c>
      <c r="EW13" s="231">
        <v>195177</v>
      </c>
      <c r="EX13" s="228">
        <v>-48</v>
      </c>
      <c r="EY13" s="229">
        <v>-2.0000000000000001E-4</v>
      </c>
      <c r="EZ13" s="229">
        <v>0.41039999999999999</v>
      </c>
      <c r="FA13" s="227" t="s">
        <v>556</v>
      </c>
      <c r="FB13" s="161">
        <f t="shared" si="0"/>
        <v>63350</v>
      </c>
    </row>
    <row r="14" spans="1:158" ht="17.25" hidden="1" thickBot="1" x14ac:dyDescent="0.3">
      <c r="A14" s="226">
        <v>45936</v>
      </c>
      <c r="B14" s="227" t="s">
        <v>170</v>
      </c>
      <c r="C14" s="227" t="s">
        <v>165</v>
      </c>
      <c r="D14" s="228">
        <v>125</v>
      </c>
      <c r="E14" s="231">
        <v>7687.5</v>
      </c>
      <c r="F14" s="231">
        <v>7483</v>
      </c>
      <c r="G14" s="228">
        <v>204.5</v>
      </c>
      <c r="H14" s="229">
        <v>2.7300000000000001E-2</v>
      </c>
      <c r="I14" s="231">
        <v>7662</v>
      </c>
      <c r="J14" s="231">
        <v>7449.5</v>
      </c>
      <c r="K14" s="228">
        <v>212.5</v>
      </c>
      <c r="L14" s="229">
        <v>2.8500000000000001E-2</v>
      </c>
      <c r="M14" s="231">
        <v>7687.5</v>
      </c>
      <c r="N14" s="231">
        <v>7483</v>
      </c>
      <c r="O14" s="228">
        <v>204.5</v>
      </c>
      <c r="P14" s="229">
        <v>2.7300000000000001E-2</v>
      </c>
      <c r="Q14" s="231">
        <v>7726</v>
      </c>
      <c r="R14" s="231">
        <v>7521</v>
      </c>
      <c r="S14" s="228">
        <v>205</v>
      </c>
      <c r="T14" s="229">
        <v>2.7300000000000001E-2</v>
      </c>
      <c r="U14" s="231">
        <v>7769</v>
      </c>
      <c r="V14" s="231">
        <v>7562</v>
      </c>
      <c r="W14" s="228">
        <v>207</v>
      </c>
      <c r="X14" s="229">
        <v>2.7400000000000001E-2</v>
      </c>
      <c r="Y14" s="228">
        <v>25.5</v>
      </c>
      <c r="Z14" s="228">
        <v>33.5</v>
      </c>
      <c r="AA14" s="228">
        <v>-8</v>
      </c>
      <c r="AB14" s="229">
        <v>3.3E-3</v>
      </c>
      <c r="AC14" s="228">
        <v>25.5</v>
      </c>
      <c r="AD14" s="228">
        <v>33.5</v>
      </c>
      <c r="AE14" s="228">
        <v>-8</v>
      </c>
      <c r="AF14" s="229">
        <v>3.3E-3</v>
      </c>
      <c r="AG14" s="228">
        <v>64</v>
      </c>
      <c r="AH14" s="228">
        <v>71.5</v>
      </c>
      <c r="AI14" s="228">
        <v>-7.5</v>
      </c>
      <c r="AJ14" s="229">
        <v>8.3999999999999995E-3</v>
      </c>
      <c r="AK14" s="228">
        <v>107</v>
      </c>
      <c r="AL14" s="228">
        <v>112.5</v>
      </c>
      <c r="AM14" s="228">
        <v>-5.5</v>
      </c>
      <c r="AN14" s="229">
        <v>1.4E-2</v>
      </c>
      <c r="AO14" s="231">
        <v>7666.1</v>
      </c>
      <c r="AP14" s="231">
        <v>7702.95</v>
      </c>
      <c r="AQ14" s="228">
        <v>0</v>
      </c>
      <c r="AR14" s="230">
        <v>591000</v>
      </c>
      <c r="AS14" s="230">
        <v>257000</v>
      </c>
      <c r="AT14" s="230">
        <v>334000</v>
      </c>
      <c r="AU14" s="229">
        <v>1.2996000000000001</v>
      </c>
      <c r="AV14" s="230">
        <v>569625</v>
      </c>
      <c r="AW14" s="230">
        <v>252000</v>
      </c>
      <c r="AX14" s="230">
        <v>317625</v>
      </c>
      <c r="AY14" s="229">
        <v>1.2604</v>
      </c>
      <c r="AZ14" s="230">
        <v>20000</v>
      </c>
      <c r="BA14" s="230">
        <v>4000</v>
      </c>
      <c r="BB14" s="230">
        <v>16000</v>
      </c>
      <c r="BC14" s="229">
        <v>4</v>
      </c>
      <c r="BD14" s="230">
        <v>1375</v>
      </c>
      <c r="BE14" s="230">
        <v>1000</v>
      </c>
      <c r="BF14" s="228">
        <v>375</v>
      </c>
      <c r="BG14" s="229">
        <v>0.375</v>
      </c>
      <c r="BH14" s="230">
        <v>3565875</v>
      </c>
      <c r="BI14" s="230">
        <v>649000</v>
      </c>
      <c r="BJ14" s="230">
        <v>2916875</v>
      </c>
      <c r="BK14" s="229">
        <v>4.4943999999999997</v>
      </c>
      <c r="BL14" s="230">
        <v>1296375</v>
      </c>
      <c r="BM14" s="230">
        <v>199125</v>
      </c>
      <c r="BN14" s="230">
        <v>1097250</v>
      </c>
      <c r="BO14" s="229">
        <v>5.5103999999999997</v>
      </c>
      <c r="BP14" s="230">
        <v>5453250</v>
      </c>
      <c r="BQ14" s="230">
        <v>1105125</v>
      </c>
      <c r="BR14" s="230">
        <v>4348125</v>
      </c>
      <c r="BS14" s="229">
        <v>3.9344999999999999</v>
      </c>
      <c r="BT14" s="230">
        <v>433883</v>
      </c>
      <c r="BU14" s="230">
        <v>481607</v>
      </c>
      <c r="BV14" s="230">
        <v>-47724</v>
      </c>
      <c r="BW14" s="229">
        <v>-9.9099999999999994E-2</v>
      </c>
      <c r="BX14" s="230">
        <v>2812000</v>
      </c>
      <c r="BY14" s="230">
        <v>2833000</v>
      </c>
      <c r="BZ14" s="230">
        <v>-21000</v>
      </c>
      <c r="CA14" s="229">
        <v>-7.4000000000000003E-3</v>
      </c>
      <c r="CB14" s="230">
        <v>2780375</v>
      </c>
      <c r="CC14" s="230">
        <v>2801875</v>
      </c>
      <c r="CD14" s="230">
        <v>-21500</v>
      </c>
      <c r="CE14" s="229">
        <v>-7.7000000000000002E-3</v>
      </c>
      <c r="CF14" s="230">
        <v>29000</v>
      </c>
      <c r="CG14" s="230">
        <v>29250</v>
      </c>
      <c r="CH14" s="228">
        <v>-250</v>
      </c>
      <c r="CI14" s="229">
        <v>-8.5000000000000006E-3</v>
      </c>
      <c r="CJ14" s="230">
        <v>2625</v>
      </c>
      <c r="CK14" s="230">
        <v>1875</v>
      </c>
      <c r="CL14" s="228">
        <v>750</v>
      </c>
      <c r="CM14" s="229">
        <v>0.4</v>
      </c>
      <c r="CN14" s="230">
        <v>603625</v>
      </c>
      <c r="CO14" s="230">
        <v>522750</v>
      </c>
      <c r="CP14" s="230">
        <v>80875</v>
      </c>
      <c r="CQ14" s="229">
        <v>0.1547</v>
      </c>
      <c r="CR14" s="230">
        <v>401125</v>
      </c>
      <c r="CS14" s="230">
        <v>278250</v>
      </c>
      <c r="CT14" s="230">
        <v>122875</v>
      </c>
      <c r="CU14" s="229">
        <v>0.44159999999999999</v>
      </c>
      <c r="CV14" s="230">
        <v>3816750</v>
      </c>
      <c r="CW14" s="230">
        <v>3634000</v>
      </c>
      <c r="CX14" s="230">
        <v>182750</v>
      </c>
      <c r="CY14" s="229">
        <v>5.0299999999999997E-2</v>
      </c>
      <c r="CZ14" s="228">
        <v>17.149999999999999</v>
      </c>
      <c r="DA14" s="228">
        <v>17.010000000000002</v>
      </c>
      <c r="DB14" s="228">
        <v>0.14000000000000001</v>
      </c>
      <c r="DC14" s="228">
        <v>0.14000000000000001</v>
      </c>
      <c r="DD14" s="228">
        <v>26.89</v>
      </c>
      <c r="DE14" s="228">
        <v>26.69</v>
      </c>
      <c r="DF14" s="228">
        <v>-9.74</v>
      </c>
      <c r="DG14" s="228">
        <v>0.2</v>
      </c>
      <c r="DH14" s="228">
        <v>17.010000000000002</v>
      </c>
      <c r="DI14" s="228">
        <v>17.010000000000002</v>
      </c>
      <c r="DJ14" s="228">
        <v>0</v>
      </c>
      <c r="DK14" s="228">
        <v>0</v>
      </c>
      <c r="DL14" s="228">
        <v>17.55</v>
      </c>
      <c r="DM14" s="228">
        <v>17.03</v>
      </c>
      <c r="DN14" s="228">
        <v>0.52</v>
      </c>
      <c r="DO14" s="228">
        <v>0.52</v>
      </c>
      <c r="DP14" s="228">
        <v>0.66</v>
      </c>
      <c r="DQ14" s="228">
        <v>0.53</v>
      </c>
      <c r="DR14" s="228">
        <v>0.13</v>
      </c>
      <c r="DS14" s="229">
        <v>0.24529999999999999</v>
      </c>
      <c r="DT14" s="231">
        <v>8000</v>
      </c>
      <c r="DU14" s="231">
        <v>7500</v>
      </c>
      <c r="DV14" s="228">
        <v>0.36</v>
      </c>
      <c r="DW14" s="228">
        <v>0.31</v>
      </c>
      <c r="DX14" s="228">
        <v>0.05</v>
      </c>
      <c r="DY14" s="229">
        <v>0.1613</v>
      </c>
      <c r="DZ14" s="229">
        <v>1.12E-2</v>
      </c>
      <c r="EA14" s="230">
        <v>31125</v>
      </c>
      <c r="EB14" s="229">
        <v>5.0000000000000001E-3</v>
      </c>
      <c r="EC14" s="229">
        <v>1.12E-2</v>
      </c>
      <c r="ED14" s="228">
        <v>36.85</v>
      </c>
      <c r="EE14" s="229">
        <v>4.7999999999999996E-3</v>
      </c>
      <c r="EF14" s="230">
        <v>212256</v>
      </c>
      <c r="EG14" s="230">
        <v>352797</v>
      </c>
      <c r="EH14" s="229">
        <v>-0.39839999999999998</v>
      </c>
      <c r="EI14" s="229">
        <v>0.48920000000000002</v>
      </c>
      <c r="EJ14" s="231">
        <v>280173.58</v>
      </c>
      <c r="EK14" s="231">
        <v>98301.51</v>
      </c>
      <c r="EL14" s="231">
        <v>45315.21</v>
      </c>
      <c r="EM14" s="231">
        <v>8068</v>
      </c>
      <c r="EN14" s="231">
        <v>423790.3</v>
      </c>
      <c r="EO14" s="231">
        <v>84042.240000000005</v>
      </c>
      <c r="EP14" s="231">
        <v>339748.06</v>
      </c>
      <c r="EQ14" s="229">
        <v>4.0426000000000002</v>
      </c>
      <c r="ER14" s="231">
        <v>47204</v>
      </c>
      <c r="ES14" s="231">
        <v>29811</v>
      </c>
      <c r="ET14" s="231">
        <v>216186</v>
      </c>
      <c r="EU14" s="231">
        <v>15240043</v>
      </c>
      <c r="EV14" s="231">
        <v>293201</v>
      </c>
      <c r="EW14" s="231">
        <v>273161</v>
      </c>
      <c r="EX14" s="231">
        <v>20040</v>
      </c>
      <c r="EY14" s="229">
        <v>7.3400000000000007E-2</v>
      </c>
      <c r="EZ14" s="229">
        <v>0.25040000000000001</v>
      </c>
      <c r="FA14" s="227" t="s">
        <v>556</v>
      </c>
      <c r="FB14" s="161">
        <f t="shared" si="0"/>
        <v>31625</v>
      </c>
    </row>
    <row r="15" spans="1:158" ht="17.25" hidden="1" thickBot="1" x14ac:dyDescent="0.3">
      <c r="A15" s="226">
        <v>45936</v>
      </c>
      <c r="B15" s="227" t="s">
        <v>162</v>
      </c>
      <c r="C15" s="227" t="s">
        <v>167</v>
      </c>
      <c r="D15" s="228">
        <v>5000</v>
      </c>
      <c r="E15" s="228">
        <v>138.1</v>
      </c>
      <c r="F15" s="228">
        <v>139.19</v>
      </c>
      <c r="G15" s="228">
        <v>-1.0900000000000001</v>
      </c>
      <c r="H15" s="229">
        <v>-7.7999999999999996E-3</v>
      </c>
      <c r="I15" s="228">
        <v>137.78</v>
      </c>
      <c r="J15" s="228">
        <v>139.79</v>
      </c>
      <c r="K15" s="228">
        <v>-2.0099999999999998</v>
      </c>
      <c r="L15" s="229">
        <v>-1.44E-2</v>
      </c>
      <c r="M15" s="228">
        <v>138.1</v>
      </c>
      <c r="N15" s="228">
        <v>139.19</v>
      </c>
      <c r="O15" s="228">
        <v>-1.0900000000000001</v>
      </c>
      <c r="P15" s="229">
        <v>-7.7999999999999996E-3</v>
      </c>
      <c r="Q15" s="228">
        <v>136.41999999999999</v>
      </c>
      <c r="R15" s="228">
        <v>137.49</v>
      </c>
      <c r="S15" s="228">
        <v>-1.07</v>
      </c>
      <c r="T15" s="229">
        <v>-7.7999999999999996E-3</v>
      </c>
      <c r="U15" s="228">
        <v>135.93</v>
      </c>
      <c r="V15" s="228">
        <v>136.91</v>
      </c>
      <c r="W15" s="228">
        <v>-0.98</v>
      </c>
      <c r="X15" s="229">
        <v>-7.1999999999999998E-3</v>
      </c>
      <c r="Y15" s="228">
        <v>0.32</v>
      </c>
      <c r="Z15" s="228">
        <v>-0.6</v>
      </c>
      <c r="AA15" s="228">
        <v>0.92</v>
      </c>
      <c r="AB15" s="229">
        <v>2.3E-3</v>
      </c>
      <c r="AC15" s="228">
        <v>0.32</v>
      </c>
      <c r="AD15" s="228">
        <v>-0.6</v>
      </c>
      <c r="AE15" s="228">
        <v>0.92</v>
      </c>
      <c r="AF15" s="229">
        <v>2.3E-3</v>
      </c>
      <c r="AG15" s="228">
        <v>-1.36</v>
      </c>
      <c r="AH15" s="228">
        <v>-2.2999999999999998</v>
      </c>
      <c r="AI15" s="228">
        <v>0.94</v>
      </c>
      <c r="AJ15" s="229">
        <v>-9.9000000000000008E-3</v>
      </c>
      <c r="AK15" s="228">
        <v>-1.85</v>
      </c>
      <c r="AL15" s="228">
        <v>-2.88</v>
      </c>
      <c r="AM15" s="228">
        <v>1.03</v>
      </c>
      <c r="AN15" s="229">
        <v>-1.34E-2</v>
      </c>
      <c r="AO15" s="228">
        <v>138.03</v>
      </c>
      <c r="AP15" s="228">
        <v>136.38</v>
      </c>
      <c r="AQ15" s="228">
        <v>0</v>
      </c>
      <c r="AR15" s="230">
        <v>21820000</v>
      </c>
      <c r="AS15" s="230">
        <v>26540000</v>
      </c>
      <c r="AT15" s="230">
        <v>-4720000</v>
      </c>
      <c r="AU15" s="229">
        <v>-0.17780000000000001</v>
      </c>
      <c r="AV15" s="230">
        <v>20405000</v>
      </c>
      <c r="AW15" s="230">
        <v>25235000</v>
      </c>
      <c r="AX15" s="230">
        <v>-4830000</v>
      </c>
      <c r="AY15" s="229">
        <v>-0.19139999999999999</v>
      </c>
      <c r="AZ15" s="230">
        <v>1300000</v>
      </c>
      <c r="BA15" s="230">
        <v>1075000</v>
      </c>
      <c r="BB15" s="230">
        <v>225000</v>
      </c>
      <c r="BC15" s="229">
        <v>0.20930000000000001</v>
      </c>
      <c r="BD15" s="230">
        <v>115000</v>
      </c>
      <c r="BE15" s="230">
        <v>230000</v>
      </c>
      <c r="BF15" s="230">
        <v>-115000</v>
      </c>
      <c r="BG15" s="229">
        <v>-0.5</v>
      </c>
      <c r="BH15" s="230">
        <v>55610000</v>
      </c>
      <c r="BI15" s="230">
        <v>72005000</v>
      </c>
      <c r="BJ15" s="230">
        <v>-16395000</v>
      </c>
      <c r="BK15" s="229">
        <v>-0.22770000000000001</v>
      </c>
      <c r="BL15" s="230">
        <v>17175000</v>
      </c>
      <c r="BM15" s="230">
        <v>23405000</v>
      </c>
      <c r="BN15" s="230">
        <v>-6230000</v>
      </c>
      <c r="BO15" s="229">
        <v>-0.26619999999999999</v>
      </c>
      <c r="BP15" s="230">
        <v>94605000</v>
      </c>
      <c r="BQ15" s="230">
        <v>121950000</v>
      </c>
      <c r="BR15" s="230">
        <v>-27345000</v>
      </c>
      <c r="BS15" s="229">
        <v>-0.22420000000000001</v>
      </c>
      <c r="BT15" s="230">
        <v>12386193</v>
      </c>
      <c r="BU15" s="230">
        <v>16170751</v>
      </c>
      <c r="BV15" s="230">
        <v>-3784558</v>
      </c>
      <c r="BW15" s="229">
        <v>-0.23400000000000001</v>
      </c>
      <c r="BX15" s="230">
        <v>129130000</v>
      </c>
      <c r="BY15" s="230">
        <v>133680000</v>
      </c>
      <c r="BZ15" s="230">
        <v>-4550000</v>
      </c>
      <c r="CA15" s="229">
        <v>-3.4000000000000002E-2</v>
      </c>
      <c r="CB15" s="230">
        <v>125755000</v>
      </c>
      <c r="CC15" s="230">
        <v>130855000</v>
      </c>
      <c r="CD15" s="230">
        <v>-5100000</v>
      </c>
      <c r="CE15" s="229">
        <v>-3.9E-2</v>
      </c>
      <c r="CF15" s="230">
        <v>2995000</v>
      </c>
      <c r="CG15" s="230">
        <v>2535000</v>
      </c>
      <c r="CH15" s="230">
        <v>460000</v>
      </c>
      <c r="CI15" s="229">
        <v>0.18149999999999999</v>
      </c>
      <c r="CJ15" s="230">
        <v>380000</v>
      </c>
      <c r="CK15" s="230">
        <v>290000</v>
      </c>
      <c r="CL15" s="230">
        <v>90000</v>
      </c>
      <c r="CM15" s="229">
        <v>0.31030000000000002</v>
      </c>
      <c r="CN15" s="230">
        <v>63690000</v>
      </c>
      <c r="CO15" s="230">
        <v>59110000</v>
      </c>
      <c r="CP15" s="230">
        <v>4580000</v>
      </c>
      <c r="CQ15" s="229">
        <v>7.7499999999999999E-2</v>
      </c>
      <c r="CR15" s="230">
        <v>28995000</v>
      </c>
      <c r="CS15" s="230">
        <v>27950000</v>
      </c>
      <c r="CT15" s="230">
        <v>1045000</v>
      </c>
      <c r="CU15" s="229">
        <v>3.7400000000000003E-2</v>
      </c>
      <c r="CV15" s="230">
        <v>221815000</v>
      </c>
      <c r="CW15" s="230">
        <v>220740000</v>
      </c>
      <c r="CX15" s="230">
        <v>1075000</v>
      </c>
      <c r="CY15" s="229">
        <v>4.8999999999999998E-3</v>
      </c>
      <c r="CZ15" s="228">
        <v>29.36</v>
      </c>
      <c r="DA15" s="228">
        <v>28.23</v>
      </c>
      <c r="DB15" s="228">
        <v>1.1299999999999999</v>
      </c>
      <c r="DC15" s="228">
        <v>1.1299999999999999</v>
      </c>
      <c r="DD15" s="228">
        <v>35.54</v>
      </c>
      <c r="DE15" s="228">
        <v>35.58</v>
      </c>
      <c r="DF15" s="228">
        <v>-6.18</v>
      </c>
      <c r="DG15" s="228">
        <v>-0.04</v>
      </c>
      <c r="DH15" s="228">
        <v>29.86</v>
      </c>
      <c r="DI15" s="228">
        <v>28.51</v>
      </c>
      <c r="DJ15" s="228">
        <v>1.35</v>
      </c>
      <c r="DK15" s="228">
        <v>1.35</v>
      </c>
      <c r="DL15" s="228">
        <v>27.74</v>
      </c>
      <c r="DM15" s="228">
        <v>27.36</v>
      </c>
      <c r="DN15" s="228">
        <v>0.38</v>
      </c>
      <c r="DO15" s="228">
        <v>0.38</v>
      </c>
      <c r="DP15" s="228">
        <v>0.46</v>
      </c>
      <c r="DQ15" s="228">
        <v>0.47</v>
      </c>
      <c r="DR15" s="228">
        <v>-0.01</v>
      </c>
      <c r="DS15" s="229">
        <v>-2.1299999999999999E-2</v>
      </c>
      <c r="DT15" s="228">
        <v>145</v>
      </c>
      <c r="DU15" s="228">
        <v>130</v>
      </c>
      <c r="DV15" s="228">
        <v>0.31</v>
      </c>
      <c r="DW15" s="228">
        <v>0.33</v>
      </c>
      <c r="DX15" s="228">
        <v>-0.02</v>
      </c>
      <c r="DY15" s="229">
        <v>-6.0600000000000001E-2</v>
      </c>
      <c r="DZ15" s="229">
        <v>2.6100000000000002E-2</v>
      </c>
      <c r="EA15" s="230">
        <v>2825000</v>
      </c>
      <c r="EB15" s="229">
        <v>-1.2200000000000001E-2</v>
      </c>
      <c r="EC15" s="229">
        <v>2.6100000000000002E-2</v>
      </c>
      <c r="ED15" s="228">
        <v>-1.65</v>
      </c>
      <c r="EE15" s="229">
        <v>-1.2E-2</v>
      </c>
      <c r="EF15" s="230">
        <v>7355075</v>
      </c>
      <c r="EG15" s="230">
        <v>7531489</v>
      </c>
      <c r="EH15" s="229">
        <v>-2.3400000000000001E-2</v>
      </c>
      <c r="EI15" s="229">
        <v>0.59379999999999999</v>
      </c>
      <c r="EJ15" s="231">
        <v>82313.69</v>
      </c>
      <c r="EK15" s="231">
        <v>23510.89</v>
      </c>
      <c r="EL15" s="231">
        <v>30094.76</v>
      </c>
      <c r="EM15" s="231">
        <v>11050</v>
      </c>
      <c r="EN15" s="231">
        <v>135919.34</v>
      </c>
      <c r="EO15" s="231">
        <v>175667.8</v>
      </c>
      <c r="EP15" s="231">
        <v>-39748.46</v>
      </c>
      <c r="EQ15" s="229">
        <v>-0.2263</v>
      </c>
      <c r="ER15" s="231">
        <v>94020</v>
      </c>
      <c r="ES15" s="231">
        <v>38679</v>
      </c>
      <c r="ET15" s="231">
        <v>178270</v>
      </c>
      <c r="EU15" s="231">
        <v>409181558</v>
      </c>
      <c r="EV15" s="231">
        <v>310969</v>
      </c>
      <c r="EW15" s="231">
        <v>310609</v>
      </c>
      <c r="EX15" s="228">
        <v>360</v>
      </c>
      <c r="EY15" s="229">
        <v>1.1999999999999999E-3</v>
      </c>
      <c r="EZ15" s="229">
        <v>0.54210000000000003</v>
      </c>
      <c r="FA15" s="227" t="s">
        <v>568</v>
      </c>
      <c r="FB15" s="161">
        <f t="shared" si="0"/>
        <v>3375000</v>
      </c>
    </row>
    <row r="16" spans="1:158" ht="17.25" hidden="1" thickBot="1" x14ac:dyDescent="0.3">
      <c r="A16" s="226">
        <v>45936</v>
      </c>
      <c r="B16" s="227" t="s">
        <v>168</v>
      </c>
      <c r="C16" s="227" t="s">
        <v>169</v>
      </c>
      <c r="D16" s="228">
        <v>250</v>
      </c>
      <c r="E16" s="231">
        <v>2366.3000000000002</v>
      </c>
      <c r="F16" s="231">
        <v>2361.8000000000002</v>
      </c>
      <c r="G16" s="228">
        <v>4.5</v>
      </c>
      <c r="H16" s="229">
        <v>1.9E-3</v>
      </c>
      <c r="I16" s="231">
        <v>2354.8000000000002</v>
      </c>
      <c r="J16" s="231">
        <v>2357.8000000000002</v>
      </c>
      <c r="K16" s="228">
        <v>-3</v>
      </c>
      <c r="L16" s="229">
        <v>-1.2999999999999999E-3</v>
      </c>
      <c r="M16" s="231">
        <v>2366.3000000000002</v>
      </c>
      <c r="N16" s="231">
        <v>2361.8000000000002</v>
      </c>
      <c r="O16" s="228">
        <v>4.5</v>
      </c>
      <c r="P16" s="229">
        <v>1.9E-3</v>
      </c>
      <c r="Q16" s="231">
        <v>2375</v>
      </c>
      <c r="R16" s="231">
        <v>2372.4</v>
      </c>
      <c r="S16" s="228">
        <v>2.6</v>
      </c>
      <c r="T16" s="229">
        <v>1.1000000000000001E-3</v>
      </c>
      <c r="U16" s="231">
        <v>2389.4</v>
      </c>
      <c r="V16" s="231">
        <v>2384.5</v>
      </c>
      <c r="W16" s="228">
        <v>4.9000000000000004</v>
      </c>
      <c r="X16" s="229">
        <v>2.0999999999999999E-3</v>
      </c>
      <c r="Y16" s="228">
        <v>11.5</v>
      </c>
      <c r="Z16" s="228">
        <v>4</v>
      </c>
      <c r="AA16" s="228">
        <v>7.5</v>
      </c>
      <c r="AB16" s="229">
        <v>4.8999999999999998E-3</v>
      </c>
      <c r="AC16" s="228">
        <v>11.5</v>
      </c>
      <c r="AD16" s="228">
        <v>4</v>
      </c>
      <c r="AE16" s="228">
        <v>7.5</v>
      </c>
      <c r="AF16" s="229">
        <v>4.8999999999999998E-3</v>
      </c>
      <c r="AG16" s="228">
        <v>20.2</v>
      </c>
      <c r="AH16" s="228">
        <v>14.6</v>
      </c>
      <c r="AI16" s="228">
        <v>5.6</v>
      </c>
      <c r="AJ16" s="229">
        <v>8.6E-3</v>
      </c>
      <c r="AK16" s="228">
        <v>34.6</v>
      </c>
      <c r="AL16" s="228">
        <v>26.7</v>
      </c>
      <c r="AM16" s="228">
        <v>7.9</v>
      </c>
      <c r="AN16" s="229">
        <v>1.47E-2</v>
      </c>
      <c r="AO16" s="231">
        <v>2358.5300000000002</v>
      </c>
      <c r="AP16" s="231">
        <v>2366.81</v>
      </c>
      <c r="AQ16" s="228">
        <v>0</v>
      </c>
      <c r="AR16" s="230">
        <v>845500</v>
      </c>
      <c r="AS16" s="230">
        <v>910500</v>
      </c>
      <c r="AT16" s="230">
        <v>-65000</v>
      </c>
      <c r="AU16" s="229">
        <v>-7.1400000000000005E-2</v>
      </c>
      <c r="AV16" s="230">
        <v>774250</v>
      </c>
      <c r="AW16" s="230">
        <v>853250</v>
      </c>
      <c r="AX16" s="230">
        <v>-79000</v>
      </c>
      <c r="AY16" s="229">
        <v>-9.2600000000000002E-2</v>
      </c>
      <c r="AZ16" s="230">
        <v>61250</v>
      </c>
      <c r="BA16" s="230">
        <v>50000</v>
      </c>
      <c r="BB16" s="230">
        <v>11250</v>
      </c>
      <c r="BC16" s="229">
        <v>0.22500000000000001</v>
      </c>
      <c r="BD16" s="230">
        <v>10000</v>
      </c>
      <c r="BE16" s="230">
        <v>7250</v>
      </c>
      <c r="BF16" s="230">
        <v>2750</v>
      </c>
      <c r="BG16" s="229">
        <v>0.37930000000000003</v>
      </c>
      <c r="BH16" s="230">
        <v>5291750</v>
      </c>
      <c r="BI16" s="230">
        <v>4897000</v>
      </c>
      <c r="BJ16" s="230">
        <v>394750</v>
      </c>
      <c r="BK16" s="229">
        <v>8.0600000000000005E-2</v>
      </c>
      <c r="BL16" s="230">
        <v>2026000</v>
      </c>
      <c r="BM16" s="230">
        <v>1674000</v>
      </c>
      <c r="BN16" s="230">
        <v>352000</v>
      </c>
      <c r="BO16" s="229">
        <v>0.21029999999999999</v>
      </c>
      <c r="BP16" s="230">
        <v>8163250</v>
      </c>
      <c r="BQ16" s="230">
        <v>7481500</v>
      </c>
      <c r="BR16" s="230">
        <v>681750</v>
      </c>
      <c r="BS16" s="229">
        <v>9.11E-2</v>
      </c>
      <c r="BT16" s="230">
        <v>389160</v>
      </c>
      <c r="BU16" s="230">
        <v>672531</v>
      </c>
      <c r="BV16" s="230">
        <v>-283371</v>
      </c>
      <c r="BW16" s="229">
        <v>-0.4214</v>
      </c>
      <c r="BX16" s="230">
        <v>13513000</v>
      </c>
      <c r="BY16" s="230">
        <v>13546000</v>
      </c>
      <c r="BZ16" s="230">
        <v>-33000</v>
      </c>
      <c r="CA16" s="229">
        <v>-2.3999999999999998E-3</v>
      </c>
      <c r="CB16" s="230">
        <v>13091000</v>
      </c>
      <c r="CC16" s="230">
        <v>13146750</v>
      </c>
      <c r="CD16" s="230">
        <v>-55750</v>
      </c>
      <c r="CE16" s="229">
        <v>-4.1999999999999997E-3</v>
      </c>
      <c r="CF16" s="230">
        <v>406250</v>
      </c>
      <c r="CG16" s="230">
        <v>389500</v>
      </c>
      <c r="CH16" s="230">
        <v>16750</v>
      </c>
      <c r="CI16" s="229">
        <v>4.2999999999999997E-2</v>
      </c>
      <c r="CJ16" s="230">
        <v>15750</v>
      </c>
      <c r="CK16" s="230">
        <v>9750</v>
      </c>
      <c r="CL16" s="230">
        <v>6000</v>
      </c>
      <c r="CM16" s="229">
        <v>0.61539999999999995</v>
      </c>
      <c r="CN16" s="230">
        <v>4924250</v>
      </c>
      <c r="CO16" s="230">
        <v>4593250</v>
      </c>
      <c r="CP16" s="230">
        <v>331000</v>
      </c>
      <c r="CQ16" s="229">
        <v>7.2099999999999997E-2</v>
      </c>
      <c r="CR16" s="230">
        <v>3242500</v>
      </c>
      <c r="CS16" s="230">
        <v>2983000</v>
      </c>
      <c r="CT16" s="230">
        <v>259500</v>
      </c>
      <c r="CU16" s="229">
        <v>8.6999999999999994E-2</v>
      </c>
      <c r="CV16" s="230">
        <v>21679750</v>
      </c>
      <c r="CW16" s="230">
        <v>21122250</v>
      </c>
      <c r="CX16" s="230">
        <v>557500</v>
      </c>
      <c r="CY16" s="229">
        <v>2.64E-2</v>
      </c>
      <c r="CZ16" s="228">
        <v>20</v>
      </c>
      <c r="DA16" s="228">
        <v>20.53</v>
      </c>
      <c r="DB16" s="228">
        <v>-0.53</v>
      </c>
      <c r="DC16" s="228">
        <v>-0.53</v>
      </c>
      <c r="DD16" s="228">
        <v>23.64</v>
      </c>
      <c r="DE16" s="228">
        <v>23.7</v>
      </c>
      <c r="DF16" s="228">
        <v>-3.64</v>
      </c>
      <c r="DG16" s="228">
        <v>-0.06</v>
      </c>
      <c r="DH16" s="228">
        <v>20.010000000000002</v>
      </c>
      <c r="DI16" s="228">
        <v>20.52</v>
      </c>
      <c r="DJ16" s="228">
        <v>-0.51</v>
      </c>
      <c r="DK16" s="228">
        <v>-0.51</v>
      </c>
      <c r="DL16" s="228">
        <v>20</v>
      </c>
      <c r="DM16" s="228">
        <v>20.56</v>
      </c>
      <c r="DN16" s="228">
        <v>-0.56000000000000005</v>
      </c>
      <c r="DO16" s="228">
        <v>-0.56000000000000005</v>
      </c>
      <c r="DP16" s="228">
        <v>0.66</v>
      </c>
      <c r="DQ16" s="228">
        <v>0.65</v>
      </c>
      <c r="DR16" s="228">
        <v>0.01</v>
      </c>
      <c r="DS16" s="229">
        <v>1.54E-2</v>
      </c>
      <c r="DT16" s="231">
        <v>2500</v>
      </c>
      <c r="DU16" s="231">
        <v>2300</v>
      </c>
      <c r="DV16" s="228">
        <v>0.38</v>
      </c>
      <c r="DW16" s="228">
        <v>0.34</v>
      </c>
      <c r="DX16" s="228">
        <v>0.04</v>
      </c>
      <c r="DY16" s="229">
        <v>0.1176</v>
      </c>
      <c r="DZ16" s="229">
        <v>3.1199999999999999E-2</v>
      </c>
      <c r="EA16" s="230">
        <v>399250</v>
      </c>
      <c r="EB16" s="229">
        <v>3.7000000000000002E-3</v>
      </c>
      <c r="EC16" s="229">
        <v>3.1199999999999999E-2</v>
      </c>
      <c r="ED16" s="228">
        <v>8.2799999999999994</v>
      </c>
      <c r="EE16" s="229">
        <v>3.5000000000000001E-3</v>
      </c>
      <c r="EF16" s="230">
        <v>192993</v>
      </c>
      <c r="EG16" s="230">
        <v>468833</v>
      </c>
      <c r="EH16" s="229">
        <v>-0.58840000000000003</v>
      </c>
      <c r="EI16" s="229">
        <v>0.49590000000000001</v>
      </c>
      <c r="EJ16" s="231">
        <v>130565.41</v>
      </c>
      <c r="EK16" s="231">
        <v>47025.08</v>
      </c>
      <c r="EL16" s="231">
        <v>19948.79</v>
      </c>
      <c r="EM16" s="231">
        <v>15265</v>
      </c>
      <c r="EN16" s="231">
        <v>197539.28</v>
      </c>
      <c r="EO16" s="231">
        <v>180826.77</v>
      </c>
      <c r="EP16" s="231">
        <v>16712.509999999998</v>
      </c>
      <c r="EQ16" s="229">
        <v>9.2399999999999996E-2</v>
      </c>
      <c r="ER16" s="231">
        <v>122991</v>
      </c>
      <c r="ES16" s="231">
        <v>74967</v>
      </c>
      <c r="ET16" s="231">
        <v>319797</v>
      </c>
      <c r="EU16" s="231">
        <v>52357280</v>
      </c>
      <c r="EV16" s="231">
        <v>517755</v>
      </c>
      <c r="EW16" s="231">
        <v>503980</v>
      </c>
      <c r="EX16" s="231">
        <v>13775</v>
      </c>
      <c r="EY16" s="229">
        <v>2.7300000000000001E-2</v>
      </c>
      <c r="EZ16" s="229">
        <v>0.41410000000000002</v>
      </c>
      <c r="FA16" s="227" t="s">
        <v>556</v>
      </c>
      <c r="FB16" s="161">
        <f t="shared" si="0"/>
        <v>422000</v>
      </c>
    </row>
    <row r="17" spans="1:158" ht="17.25" hidden="1" thickBot="1" x14ac:dyDescent="0.3">
      <c r="A17" s="226">
        <v>45936</v>
      </c>
      <c r="B17" s="227" t="s">
        <v>184</v>
      </c>
      <c r="C17" s="227" t="s">
        <v>503</v>
      </c>
      <c r="D17" s="228">
        <v>425</v>
      </c>
      <c r="E17" s="231">
        <v>1393.6</v>
      </c>
      <c r="F17" s="231">
        <v>1387</v>
      </c>
      <c r="G17" s="228">
        <v>6.6</v>
      </c>
      <c r="H17" s="229">
        <v>4.7999999999999996E-3</v>
      </c>
      <c r="I17" s="231">
        <v>1383.6</v>
      </c>
      <c r="J17" s="231">
        <v>1383.6</v>
      </c>
      <c r="K17" s="228">
        <v>0</v>
      </c>
      <c r="L17" s="229">
        <v>0</v>
      </c>
      <c r="M17" s="231">
        <v>1393.6</v>
      </c>
      <c r="N17" s="231">
        <v>1387</v>
      </c>
      <c r="O17" s="228">
        <v>6.6</v>
      </c>
      <c r="P17" s="229">
        <v>4.7999999999999996E-3</v>
      </c>
      <c r="Q17" s="231">
        <v>1398.2</v>
      </c>
      <c r="R17" s="231">
        <v>1393.5</v>
      </c>
      <c r="S17" s="228">
        <v>4.7</v>
      </c>
      <c r="T17" s="229">
        <v>3.3999999999999998E-3</v>
      </c>
      <c r="U17" s="231">
        <v>1402.1</v>
      </c>
      <c r="V17" s="231">
        <v>1395.9</v>
      </c>
      <c r="W17" s="228">
        <v>6.2</v>
      </c>
      <c r="X17" s="229">
        <v>4.4000000000000003E-3</v>
      </c>
      <c r="Y17" s="228">
        <v>10</v>
      </c>
      <c r="Z17" s="228">
        <v>3.4</v>
      </c>
      <c r="AA17" s="228">
        <v>6.6</v>
      </c>
      <c r="AB17" s="229">
        <v>7.1999999999999998E-3</v>
      </c>
      <c r="AC17" s="228">
        <v>10</v>
      </c>
      <c r="AD17" s="228">
        <v>3.4</v>
      </c>
      <c r="AE17" s="228">
        <v>6.6</v>
      </c>
      <c r="AF17" s="229">
        <v>7.1999999999999998E-3</v>
      </c>
      <c r="AG17" s="228">
        <v>14.6</v>
      </c>
      <c r="AH17" s="228">
        <v>9.9</v>
      </c>
      <c r="AI17" s="228">
        <v>4.7</v>
      </c>
      <c r="AJ17" s="229">
        <v>1.06E-2</v>
      </c>
      <c r="AK17" s="228">
        <v>18.5</v>
      </c>
      <c r="AL17" s="228">
        <v>12.3</v>
      </c>
      <c r="AM17" s="228">
        <v>6.2</v>
      </c>
      <c r="AN17" s="229">
        <v>1.34E-2</v>
      </c>
      <c r="AO17" s="231">
        <v>1386.91</v>
      </c>
      <c r="AP17" s="231">
        <v>1391.1</v>
      </c>
      <c r="AQ17" s="228">
        <v>0</v>
      </c>
      <c r="AR17" s="230">
        <v>962200</v>
      </c>
      <c r="AS17" s="230">
        <v>746725</v>
      </c>
      <c r="AT17" s="230">
        <v>215475</v>
      </c>
      <c r="AU17" s="229">
        <v>0.28860000000000002</v>
      </c>
      <c r="AV17" s="230">
        <v>872100</v>
      </c>
      <c r="AW17" s="230">
        <v>682125</v>
      </c>
      <c r="AX17" s="230">
        <v>189975</v>
      </c>
      <c r="AY17" s="229">
        <v>0.27850000000000003</v>
      </c>
      <c r="AZ17" s="230">
        <v>80750</v>
      </c>
      <c r="BA17" s="230">
        <v>58650</v>
      </c>
      <c r="BB17" s="230">
        <v>22100</v>
      </c>
      <c r="BC17" s="229">
        <v>0.37680000000000002</v>
      </c>
      <c r="BD17" s="230">
        <v>9350</v>
      </c>
      <c r="BE17" s="230">
        <v>5950</v>
      </c>
      <c r="BF17" s="230">
        <v>3400</v>
      </c>
      <c r="BG17" s="229">
        <v>0.57140000000000002</v>
      </c>
      <c r="BH17" s="230">
        <v>1372325</v>
      </c>
      <c r="BI17" s="230">
        <v>1400800</v>
      </c>
      <c r="BJ17" s="230">
        <v>-28475</v>
      </c>
      <c r="BK17" s="229">
        <v>-2.0299999999999999E-2</v>
      </c>
      <c r="BL17" s="230">
        <v>632825</v>
      </c>
      <c r="BM17" s="230">
        <v>821950</v>
      </c>
      <c r="BN17" s="230">
        <v>-189125</v>
      </c>
      <c r="BO17" s="229">
        <v>-0.2301</v>
      </c>
      <c r="BP17" s="230">
        <v>2967350</v>
      </c>
      <c r="BQ17" s="230">
        <v>2969475</v>
      </c>
      <c r="BR17" s="230">
        <v>-2125</v>
      </c>
      <c r="BS17" s="229">
        <v>-6.9999999999999999E-4</v>
      </c>
      <c r="BT17" s="230">
        <v>473811</v>
      </c>
      <c r="BU17" s="230">
        <v>524821</v>
      </c>
      <c r="BV17" s="230">
        <v>-51010</v>
      </c>
      <c r="BW17" s="229">
        <v>-9.7199999999999995E-2</v>
      </c>
      <c r="BX17" s="230">
        <v>7865475</v>
      </c>
      <c r="BY17" s="230">
        <v>7633000</v>
      </c>
      <c r="BZ17" s="230">
        <v>232475</v>
      </c>
      <c r="CA17" s="229">
        <v>3.0499999999999999E-2</v>
      </c>
      <c r="CB17" s="230">
        <v>7627475</v>
      </c>
      <c r="CC17" s="230">
        <v>7424750</v>
      </c>
      <c r="CD17" s="230">
        <v>202725</v>
      </c>
      <c r="CE17" s="229">
        <v>2.7300000000000001E-2</v>
      </c>
      <c r="CF17" s="230">
        <v>218875</v>
      </c>
      <c r="CG17" s="230">
        <v>197625</v>
      </c>
      <c r="CH17" s="230">
        <v>21250</v>
      </c>
      <c r="CI17" s="229">
        <v>0.1075</v>
      </c>
      <c r="CJ17" s="230">
        <v>19125</v>
      </c>
      <c r="CK17" s="230">
        <v>10625</v>
      </c>
      <c r="CL17" s="230">
        <v>8500</v>
      </c>
      <c r="CM17" s="229">
        <v>0.8</v>
      </c>
      <c r="CN17" s="230">
        <v>2183650</v>
      </c>
      <c r="CO17" s="230">
        <v>2000475</v>
      </c>
      <c r="CP17" s="230">
        <v>183175</v>
      </c>
      <c r="CQ17" s="229">
        <v>9.1600000000000001E-2</v>
      </c>
      <c r="CR17" s="230">
        <v>1220175</v>
      </c>
      <c r="CS17" s="230">
        <v>1164500</v>
      </c>
      <c r="CT17" s="230">
        <v>55675</v>
      </c>
      <c r="CU17" s="229">
        <v>4.7800000000000002E-2</v>
      </c>
      <c r="CV17" s="230">
        <v>11269300</v>
      </c>
      <c r="CW17" s="230">
        <v>10797975</v>
      </c>
      <c r="CX17" s="230">
        <v>471325</v>
      </c>
      <c r="CY17" s="229">
        <v>4.36E-2</v>
      </c>
      <c r="CZ17" s="228">
        <v>26.9</v>
      </c>
      <c r="DA17" s="228">
        <v>26.47</v>
      </c>
      <c r="DB17" s="228">
        <v>0.43</v>
      </c>
      <c r="DC17" s="228">
        <v>0.43</v>
      </c>
      <c r="DD17" s="228">
        <v>33.76</v>
      </c>
      <c r="DE17" s="228">
        <v>33.840000000000003</v>
      </c>
      <c r="DF17" s="228">
        <v>-6.86</v>
      </c>
      <c r="DG17" s="228">
        <v>-0.08</v>
      </c>
      <c r="DH17" s="228">
        <v>26.32</v>
      </c>
      <c r="DI17" s="228">
        <v>26.4</v>
      </c>
      <c r="DJ17" s="228">
        <v>-0.08</v>
      </c>
      <c r="DK17" s="228">
        <v>-0.08</v>
      </c>
      <c r="DL17" s="228">
        <v>28.17</v>
      </c>
      <c r="DM17" s="228">
        <v>26.59</v>
      </c>
      <c r="DN17" s="228">
        <v>1.58</v>
      </c>
      <c r="DO17" s="228">
        <v>1.58</v>
      </c>
      <c r="DP17" s="228">
        <v>0.56000000000000005</v>
      </c>
      <c r="DQ17" s="228">
        <v>0.57999999999999996</v>
      </c>
      <c r="DR17" s="228">
        <v>-0.02</v>
      </c>
      <c r="DS17" s="229">
        <v>-3.4500000000000003E-2</v>
      </c>
      <c r="DT17" s="231">
        <v>1500</v>
      </c>
      <c r="DU17" s="231">
        <v>1400</v>
      </c>
      <c r="DV17" s="228">
        <v>0.46</v>
      </c>
      <c r="DW17" s="228">
        <v>0.59</v>
      </c>
      <c r="DX17" s="228">
        <v>-0.13</v>
      </c>
      <c r="DY17" s="229">
        <v>-0.2203</v>
      </c>
      <c r="DZ17" s="229">
        <v>3.0300000000000001E-2</v>
      </c>
      <c r="EA17" s="230">
        <v>208250</v>
      </c>
      <c r="EB17" s="229">
        <v>3.3E-3</v>
      </c>
      <c r="EC17" s="229">
        <v>3.0300000000000001E-2</v>
      </c>
      <c r="ED17" s="228">
        <v>4.1900000000000004</v>
      </c>
      <c r="EE17" s="229">
        <v>3.0000000000000001E-3</v>
      </c>
      <c r="EF17" s="230">
        <v>250316</v>
      </c>
      <c r="EG17" s="230">
        <v>296322</v>
      </c>
      <c r="EH17" s="229">
        <v>-0.15529999999999999</v>
      </c>
      <c r="EI17" s="229">
        <v>0.52829999999999999</v>
      </c>
      <c r="EJ17" s="231">
        <v>19837.8</v>
      </c>
      <c r="EK17" s="231">
        <v>8725.58</v>
      </c>
      <c r="EL17" s="231">
        <v>13348.93</v>
      </c>
      <c r="EM17" s="231">
        <v>6074</v>
      </c>
      <c r="EN17" s="231">
        <v>41912.31</v>
      </c>
      <c r="EO17" s="231">
        <v>41850.839999999997</v>
      </c>
      <c r="EP17" s="228">
        <v>61.47</v>
      </c>
      <c r="EQ17" s="229">
        <v>1.5E-3</v>
      </c>
      <c r="ER17" s="231">
        <v>32322</v>
      </c>
      <c r="ES17" s="231">
        <v>16723</v>
      </c>
      <c r="ET17" s="231">
        <v>109625</v>
      </c>
      <c r="EU17" s="231">
        <v>18495534</v>
      </c>
      <c r="EV17" s="231">
        <v>158670</v>
      </c>
      <c r="EW17" s="231">
        <v>151523</v>
      </c>
      <c r="EX17" s="231">
        <v>7147</v>
      </c>
      <c r="EY17" s="229">
        <v>4.7199999999999999E-2</v>
      </c>
      <c r="EZ17" s="229">
        <v>0.60929999999999995</v>
      </c>
      <c r="FA17" s="227" t="s">
        <v>555</v>
      </c>
      <c r="FB17" s="161">
        <f t="shared" si="0"/>
        <v>238000</v>
      </c>
    </row>
    <row r="18" spans="1:158" ht="17.25" hidden="1" thickBot="1" x14ac:dyDescent="0.3">
      <c r="A18" s="226">
        <v>45936</v>
      </c>
      <c r="B18" s="227" t="s">
        <v>172</v>
      </c>
      <c r="C18" s="227" t="s">
        <v>495</v>
      </c>
      <c r="D18" s="228">
        <v>1000</v>
      </c>
      <c r="E18" s="228">
        <v>766.3</v>
      </c>
      <c r="F18" s="228">
        <v>745.1</v>
      </c>
      <c r="G18" s="228">
        <v>21.2</v>
      </c>
      <c r="H18" s="229">
        <v>2.8500000000000001E-2</v>
      </c>
      <c r="I18" s="228">
        <v>762.95</v>
      </c>
      <c r="J18" s="228">
        <v>741.9</v>
      </c>
      <c r="K18" s="228">
        <v>21.05</v>
      </c>
      <c r="L18" s="229">
        <v>2.8400000000000002E-2</v>
      </c>
      <c r="M18" s="228">
        <v>766.3</v>
      </c>
      <c r="N18" s="228">
        <v>745.1</v>
      </c>
      <c r="O18" s="228">
        <v>21.2</v>
      </c>
      <c r="P18" s="229">
        <v>2.8500000000000001E-2</v>
      </c>
      <c r="Q18" s="228">
        <v>769</v>
      </c>
      <c r="R18" s="228">
        <v>748.45</v>
      </c>
      <c r="S18" s="228">
        <v>20.55</v>
      </c>
      <c r="T18" s="229">
        <v>2.75E-2</v>
      </c>
      <c r="U18" s="228">
        <v>770.2</v>
      </c>
      <c r="V18" s="228">
        <v>750.5</v>
      </c>
      <c r="W18" s="228">
        <v>19.7</v>
      </c>
      <c r="X18" s="229">
        <v>2.6200000000000001E-2</v>
      </c>
      <c r="Y18" s="228">
        <v>3.35</v>
      </c>
      <c r="Z18" s="228">
        <v>3.2</v>
      </c>
      <c r="AA18" s="228">
        <v>0.15</v>
      </c>
      <c r="AB18" s="229">
        <v>4.4000000000000003E-3</v>
      </c>
      <c r="AC18" s="228">
        <v>3.35</v>
      </c>
      <c r="AD18" s="228">
        <v>3.2</v>
      </c>
      <c r="AE18" s="228">
        <v>0.15</v>
      </c>
      <c r="AF18" s="229">
        <v>4.4000000000000003E-3</v>
      </c>
      <c r="AG18" s="228">
        <v>6.05</v>
      </c>
      <c r="AH18" s="228">
        <v>6.55</v>
      </c>
      <c r="AI18" s="228">
        <v>-0.5</v>
      </c>
      <c r="AJ18" s="229">
        <v>7.9000000000000008E-3</v>
      </c>
      <c r="AK18" s="228">
        <v>7.25</v>
      </c>
      <c r="AL18" s="228">
        <v>8.6</v>
      </c>
      <c r="AM18" s="228">
        <v>-1.35</v>
      </c>
      <c r="AN18" s="229">
        <v>9.4999999999999998E-3</v>
      </c>
      <c r="AO18" s="228">
        <v>760.66</v>
      </c>
      <c r="AP18" s="228">
        <v>763.24</v>
      </c>
      <c r="AQ18" s="228">
        <v>0</v>
      </c>
      <c r="AR18" s="230">
        <v>7133000</v>
      </c>
      <c r="AS18" s="230">
        <v>4384000</v>
      </c>
      <c r="AT18" s="230">
        <v>2749000</v>
      </c>
      <c r="AU18" s="229">
        <v>0.62709999999999999</v>
      </c>
      <c r="AV18" s="230">
        <v>6794000</v>
      </c>
      <c r="AW18" s="230">
        <v>4212000</v>
      </c>
      <c r="AX18" s="230">
        <v>2582000</v>
      </c>
      <c r="AY18" s="229">
        <v>0.61299999999999999</v>
      </c>
      <c r="AZ18" s="230">
        <v>274000</v>
      </c>
      <c r="BA18" s="230">
        <v>157000</v>
      </c>
      <c r="BB18" s="230">
        <v>117000</v>
      </c>
      <c r="BC18" s="229">
        <v>0.74519999999999997</v>
      </c>
      <c r="BD18" s="230">
        <v>65000</v>
      </c>
      <c r="BE18" s="230">
        <v>15000</v>
      </c>
      <c r="BF18" s="230">
        <v>50000</v>
      </c>
      <c r="BG18" s="229">
        <v>3.3332999999999999</v>
      </c>
      <c r="BH18" s="230">
        <v>15602000</v>
      </c>
      <c r="BI18" s="230">
        <v>8863000</v>
      </c>
      <c r="BJ18" s="230">
        <v>6739000</v>
      </c>
      <c r="BK18" s="229">
        <v>0.76039999999999996</v>
      </c>
      <c r="BL18" s="230">
        <v>6480000</v>
      </c>
      <c r="BM18" s="230">
        <v>3579000</v>
      </c>
      <c r="BN18" s="230">
        <v>2901000</v>
      </c>
      <c r="BO18" s="229">
        <v>0.81059999999999999</v>
      </c>
      <c r="BP18" s="230">
        <v>29215000</v>
      </c>
      <c r="BQ18" s="230">
        <v>16826000</v>
      </c>
      <c r="BR18" s="230">
        <v>12389000</v>
      </c>
      <c r="BS18" s="229">
        <v>0.73629999999999995</v>
      </c>
      <c r="BT18" s="230">
        <v>2542536</v>
      </c>
      <c r="BU18" s="230">
        <v>2104381</v>
      </c>
      <c r="BV18" s="230">
        <v>438155</v>
      </c>
      <c r="BW18" s="229">
        <v>0.2082</v>
      </c>
      <c r="BX18" s="230">
        <v>22246000</v>
      </c>
      <c r="BY18" s="230">
        <v>22828000</v>
      </c>
      <c r="BZ18" s="230">
        <v>-582000</v>
      </c>
      <c r="CA18" s="229">
        <v>-2.5499999999999998E-2</v>
      </c>
      <c r="CB18" s="230">
        <v>21879000</v>
      </c>
      <c r="CC18" s="230">
        <v>22459000</v>
      </c>
      <c r="CD18" s="230">
        <v>-580000</v>
      </c>
      <c r="CE18" s="229">
        <v>-2.58E-2</v>
      </c>
      <c r="CF18" s="230">
        <v>327000</v>
      </c>
      <c r="CG18" s="230">
        <v>344000</v>
      </c>
      <c r="CH18" s="230">
        <v>-17000</v>
      </c>
      <c r="CI18" s="229">
        <v>-4.9399999999999999E-2</v>
      </c>
      <c r="CJ18" s="230">
        <v>40000</v>
      </c>
      <c r="CK18" s="230">
        <v>25000</v>
      </c>
      <c r="CL18" s="230">
        <v>15000</v>
      </c>
      <c r="CM18" s="229">
        <v>0.6</v>
      </c>
      <c r="CN18" s="230">
        <v>4562000</v>
      </c>
      <c r="CO18" s="230">
        <v>4220000</v>
      </c>
      <c r="CP18" s="230">
        <v>342000</v>
      </c>
      <c r="CQ18" s="229">
        <v>8.1000000000000003E-2</v>
      </c>
      <c r="CR18" s="230">
        <v>3618000</v>
      </c>
      <c r="CS18" s="230">
        <v>3264000</v>
      </c>
      <c r="CT18" s="230">
        <v>354000</v>
      </c>
      <c r="CU18" s="229">
        <v>0.1085</v>
      </c>
      <c r="CV18" s="230">
        <v>30426000</v>
      </c>
      <c r="CW18" s="230">
        <v>30312000</v>
      </c>
      <c r="CX18" s="230">
        <v>114000</v>
      </c>
      <c r="CY18" s="229">
        <v>3.8E-3</v>
      </c>
      <c r="CZ18" s="228">
        <v>29.47</v>
      </c>
      <c r="DA18" s="228">
        <v>29.12</v>
      </c>
      <c r="DB18" s="228">
        <v>0.35</v>
      </c>
      <c r="DC18" s="228">
        <v>0.35</v>
      </c>
      <c r="DD18" s="228">
        <v>36.340000000000003</v>
      </c>
      <c r="DE18" s="228">
        <v>36.24</v>
      </c>
      <c r="DF18" s="228">
        <v>-6.87</v>
      </c>
      <c r="DG18" s="228">
        <v>0.1</v>
      </c>
      <c r="DH18" s="228">
        <v>29.28</v>
      </c>
      <c r="DI18" s="228">
        <v>28.91</v>
      </c>
      <c r="DJ18" s="228">
        <v>0.37</v>
      </c>
      <c r="DK18" s="228">
        <v>0.37</v>
      </c>
      <c r="DL18" s="228">
        <v>29.94</v>
      </c>
      <c r="DM18" s="228">
        <v>29.65</v>
      </c>
      <c r="DN18" s="228">
        <v>0.28999999999999998</v>
      </c>
      <c r="DO18" s="228">
        <v>0.28999999999999998</v>
      </c>
      <c r="DP18" s="228">
        <v>0.79</v>
      </c>
      <c r="DQ18" s="228">
        <v>0.77</v>
      </c>
      <c r="DR18" s="228">
        <v>0.02</v>
      </c>
      <c r="DS18" s="229">
        <v>2.5999999999999999E-2</v>
      </c>
      <c r="DT18" s="228">
        <v>770</v>
      </c>
      <c r="DU18" s="228">
        <v>720</v>
      </c>
      <c r="DV18" s="228">
        <v>0.42</v>
      </c>
      <c r="DW18" s="228">
        <v>0.4</v>
      </c>
      <c r="DX18" s="228">
        <v>0.02</v>
      </c>
      <c r="DY18" s="229">
        <v>0.05</v>
      </c>
      <c r="DZ18" s="229">
        <v>1.6500000000000001E-2</v>
      </c>
      <c r="EA18" s="230">
        <v>369000</v>
      </c>
      <c r="EB18" s="229">
        <v>3.5000000000000001E-3</v>
      </c>
      <c r="EC18" s="229">
        <v>1.6500000000000001E-2</v>
      </c>
      <c r="ED18" s="228">
        <v>2.58</v>
      </c>
      <c r="EE18" s="229">
        <v>3.3999999999999998E-3</v>
      </c>
      <c r="EF18" s="230">
        <v>1058875</v>
      </c>
      <c r="EG18" s="230">
        <v>978063</v>
      </c>
      <c r="EH18" s="229">
        <v>8.2600000000000007E-2</v>
      </c>
      <c r="EI18" s="229">
        <v>0.41649999999999998</v>
      </c>
      <c r="EJ18" s="231">
        <v>124148.86</v>
      </c>
      <c r="EK18" s="231">
        <v>48269</v>
      </c>
      <c r="EL18" s="231">
        <v>54268.18</v>
      </c>
      <c r="EM18" s="231">
        <v>11146</v>
      </c>
      <c r="EN18" s="231">
        <v>226686.04</v>
      </c>
      <c r="EO18" s="231">
        <v>127792.57</v>
      </c>
      <c r="EP18" s="231">
        <v>98893.47</v>
      </c>
      <c r="EQ18" s="229">
        <v>0.77390000000000003</v>
      </c>
      <c r="ER18" s="231">
        <v>35393</v>
      </c>
      <c r="ES18" s="231">
        <v>25870</v>
      </c>
      <c r="ET18" s="231">
        <v>170481</v>
      </c>
      <c r="EU18" s="231">
        <v>86234186</v>
      </c>
      <c r="EV18" s="231">
        <v>231744</v>
      </c>
      <c r="EW18" s="231">
        <v>225646</v>
      </c>
      <c r="EX18" s="231">
        <v>6098</v>
      </c>
      <c r="EY18" s="229">
        <v>2.7E-2</v>
      </c>
      <c r="EZ18" s="229">
        <v>0.3528</v>
      </c>
      <c r="FA18" s="227" t="s">
        <v>556</v>
      </c>
      <c r="FB18" s="161">
        <f t="shared" si="0"/>
        <v>367000</v>
      </c>
    </row>
    <row r="19" spans="1:158" ht="17.25" hidden="1" thickBot="1" x14ac:dyDescent="0.3">
      <c r="A19" s="226">
        <v>45936</v>
      </c>
      <c r="B19" s="227" t="s">
        <v>170</v>
      </c>
      <c r="C19" s="227" t="s">
        <v>171</v>
      </c>
      <c r="D19" s="228">
        <v>550</v>
      </c>
      <c r="E19" s="231">
        <v>1102.7</v>
      </c>
      <c r="F19" s="231">
        <v>1097.5</v>
      </c>
      <c r="G19" s="228">
        <v>5.2</v>
      </c>
      <c r="H19" s="229">
        <v>4.7000000000000002E-3</v>
      </c>
      <c r="I19" s="231">
        <v>1096.5</v>
      </c>
      <c r="J19" s="231">
        <v>1093.3</v>
      </c>
      <c r="K19" s="228">
        <v>3.2</v>
      </c>
      <c r="L19" s="229">
        <v>2.8999999999999998E-3</v>
      </c>
      <c r="M19" s="231">
        <v>1102.7</v>
      </c>
      <c r="N19" s="231">
        <v>1097.5</v>
      </c>
      <c r="O19" s="228">
        <v>5.2</v>
      </c>
      <c r="P19" s="229">
        <v>4.7000000000000002E-3</v>
      </c>
      <c r="Q19" s="231">
        <v>1108.4000000000001</v>
      </c>
      <c r="R19" s="231">
        <v>1102.7</v>
      </c>
      <c r="S19" s="228">
        <v>5.7</v>
      </c>
      <c r="T19" s="229">
        <v>5.1999999999999998E-3</v>
      </c>
      <c r="U19" s="231">
        <v>1113.8</v>
      </c>
      <c r="V19" s="231">
        <v>1110.0999999999999</v>
      </c>
      <c r="W19" s="228">
        <v>3.7</v>
      </c>
      <c r="X19" s="229">
        <v>3.3E-3</v>
      </c>
      <c r="Y19" s="228">
        <v>6.2</v>
      </c>
      <c r="Z19" s="228">
        <v>4.2</v>
      </c>
      <c r="AA19" s="228">
        <v>2</v>
      </c>
      <c r="AB19" s="229">
        <v>5.7000000000000002E-3</v>
      </c>
      <c r="AC19" s="228">
        <v>6.2</v>
      </c>
      <c r="AD19" s="228">
        <v>4.2</v>
      </c>
      <c r="AE19" s="228">
        <v>2</v>
      </c>
      <c r="AF19" s="229">
        <v>5.7000000000000002E-3</v>
      </c>
      <c r="AG19" s="228">
        <v>11.9</v>
      </c>
      <c r="AH19" s="228">
        <v>9.4</v>
      </c>
      <c r="AI19" s="228">
        <v>2.5</v>
      </c>
      <c r="AJ19" s="229">
        <v>1.09E-2</v>
      </c>
      <c r="AK19" s="228">
        <v>17.3</v>
      </c>
      <c r="AL19" s="228">
        <v>16.8</v>
      </c>
      <c r="AM19" s="228">
        <v>0.5</v>
      </c>
      <c r="AN19" s="229">
        <v>1.5800000000000002E-2</v>
      </c>
      <c r="AO19" s="231">
        <v>1093.6199999999999</v>
      </c>
      <c r="AP19" s="231">
        <v>1102.05</v>
      </c>
      <c r="AQ19" s="228">
        <v>0</v>
      </c>
      <c r="AR19" s="230">
        <v>1242450</v>
      </c>
      <c r="AS19" s="230">
        <v>988350</v>
      </c>
      <c r="AT19" s="230">
        <v>254100</v>
      </c>
      <c r="AU19" s="229">
        <v>0.2571</v>
      </c>
      <c r="AV19" s="230">
        <v>1164350</v>
      </c>
      <c r="AW19" s="230">
        <v>940500</v>
      </c>
      <c r="AX19" s="230">
        <v>223850</v>
      </c>
      <c r="AY19" s="229">
        <v>0.23799999999999999</v>
      </c>
      <c r="AZ19" s="230">
        <v>74800</v>
      </c>
      <c r="BA19" s="230">
        <v>46200</v>
      </c>
      <c r="BB19" s="230">
        <v>28600</v>
      </c>
      <c r="BC19" s="229">
        <v>0.61899999999999999</v>
      </c>
      <c r="BD19" s="230">
        <v>3300</v>
      </c>
      <c r="BE19" s="230">
        <v>1650</v>
      </c>
      <c r="BF19" s="230">
        <v>1650</v>
      </c>
      <c r="BG19" s="229">
        <v>1</v>
      </c>
      <c r="BH19" s="230">
        <v>2105400</v>
      </c>
      <c r="BI19" s="230">
        <v>2244550</v>
      </c>
      <c r="BJ19" s="230">
        <v>-139150</v>
      </c>
      <c r="BK19" s="229">
        <v>-6.2E-2</v>
      </c>
      <c r="BL19" s="230">
        <v>1018600</v>
      </c>
      <c r="BM19" s="230">
        <v>1323300</v>
      </c>
      <c r="BN19" s="230">
        <v>-304700</v>
      </c>
      <c r="BO19" s="229">
        <v>-0.2303</v>
      </c>
      <c r="BP19" s="230">
        <v>4366450</v>
      </c>
      <c r="BQ19" s="230">
        <v>4556200</v>
      </c>
      <c r="BR19" s="230">
        <v>-189750</v>
      </c>
      <c r="BS19" s="229">
        <v>-4.1599999999999998E-2</v>
      </c>
      <c r="BT19" s="230">
        <v>663792</v>
      </c>
      <c r="BU19" s="230">
        <v>540756</v>
      </c>
      <c r="BV19" s="230">
        <v>123036</v>
      </c>
      <c r="BW19" s="229">
        <v>0.22750000000000001</v>
      </c>
      <c r="BX19" s="230">
        <v>19374300</v>
      </c>
      <c r="BY19" s="230">
        <v>19362200</v>
      </c>
      <c r="BZ19" s="230">
        <v>12100</v>
      </c>
      <c r="CA19" s="229">
        <v>5.9999999999999995E-4</v>
      </c>
      <c r="CB19" s="230">
        <v>19169150</v>
      </c>
      <c r="CC19" s="230">
        <v>19169150</v>
      </c>
      <c r="CD19" s="228">
        <v>0</v>
      </c>
      <c r="CE19" s="229">
        <v>0</v>
      </c>
      <c r="CF19" s="230">
        <v>201300</v>
      </c>
      <c r="CG19" s="230">
        <v>190300</v>
      </c>
      <c r="CH19" s="230">
        <v>11000</v>
      </c>
      <c r="CI19" s="229">
        <v>5.7799999999999997E-2</v>
      </c>
      <c r="CJ19" s="230">
        <v>3850</v>
      </c>
      <c r="CK19" s="230">
        <v>2750</v>
      </c>
      <c r="CL19" s="230">
        <v>1100</v>
      </c>
      <c r="CM19" s="229">
        <v>0.4</v>
      </c>
      <c r="CN19" s="230">
        <v>2453000</v>
      </c>
      <c r="CO19" s="230">
        <v>2287450</v>
      </c>
      <c r="CP19" s="230">
        <v>165550</v>
      </c>
      <c r="CQ19" s="229">
        <v>7.2400000000000006E-2</v>
      </c>
      <c r="CR19" s="230">
        <v>2233000</v>
      </c>
      <c r="CS19" s="230">
        <v>2188450</v>
      </c>
      <c r="CT19" s="230">
        <v>44550</v>
      </c>
      <c r="CU19" s="229">
        <v>2.0400000000000001E-2</v>
      </c>
      <c r="CV19" s="230">
        <v>24060300</v>
      </c>
      <c r="CW19" s="230">
        <v>23838100</v>
      </c>
      <c r="CX19" s="230">
        <v>222200</v>
      </c>
      <c r="CY19" s="229">
        <v>9.2999999999999992E-3</v>
      </c>
      <c r="CZ19" s="228">
        <v>26.89</v>
      </c>
      <c r="DA19" s="228">
        <v>25.92</v>
      </c>
      <c r="DB19" s="228">
        <v>0.97</v>
      </c>
      <c r="DC19" s="228">
        <v>0.97</v>
      </c>
      <c r="DD19" s="228">
        <v>34.71</v>
      </c>
      <c r="DE19" s="228">
        <v>34.79</v>
      </c>
      <c r="DF19" s="228">
        <v>-7.82</v>
      </c>
      <c r="DG19" s="228">
        <v>-0.08</v>
      </c>
      <c r="DH19" s="228">
        <v>26.42</v>
      </c>
      <c r="DI19" s="228">
        <v>25.59</v>
      </c>
      <c r="DJ19" s="228">
        <v>0.83</v>
      </c>
      <c r="DK19" s="228">
        <v>0.83</v>
      </c>
      <c r="DL19" s="228">
        <v>27.88</v>
      </c>
      <c r="DM19" s="228">
        <v>26.49</v>
      </c>
      <c r="DN19" s="228">
        <v>1.39</v>
      </c>
      <c r="DO19" s="228">
        <v>1.39</v>
      </c>
      <c r="DP19" s="228">
        <v>0.91</v>
      </c>
      <c r="DQ19" s="228">
        <v>0.96</v>
      </c>
      <c r="DR19" s="228">
        <v>-0.05</v>
      </c>
      <c r="DS19" s="229">
        <v>-5.21E-2</v>
      </c>
      <c r="DT19" s="231">
        <v>1100</v>
      </c>
      <c r="DU19" s="231">
        <v>1100</v>
      </c>
      <c r="DV19" s="228">
        <v>0.48</v>
      </c>
      <c r="DW19" s="228">
        <v>0.59</v>
      </c>
      <c r="DX19" s="228">
        <v>-0.11</v>
      </c>
      <c r="DY19" s="229">
        <v>-0.18640000000000001</v>
      </c>
      <c r="DZ19" s="229">
        <v>1.06E-2</v>
      </c>
      <c r="EA19" s="230">
        <v>193050</v>
      </c>
      <c r="EB19" s="229">
        <v>5.1999999999999998E-3</v>
      </c>
      <c r="EC19" s="229">
        <v>1.06E-2</v>
      </c>
      <c r="ED19" s="228">
        <v>8.43</v>
      </c>
      <c r="EE19" s="229">
        <v>7.7000000000000002E-3</v>
      </c>
      <c r="EF19" s="230">
        <v>363546</v>
      </c>
      <c r="EG19" s="230">
        <v>279549</v>
      </c>
      <c r="EH19" s="229">
        <v>0.30049999999999999</v>
      </c>
      <c r="EI19" s="229">
        <v>0.54769999999999996</v>
      </c>
      <c r="EJ19" s="231">
        <v>24093.61</v>
      </c>
      <c r="EK19" s="231">
        <v>11004</v>
      </c>
      <c r="EL19" s="231">
        <v>13594.32</v>
      </c>
      <c r="EM19" s="231">
        <v>7164</v>
      </c>
      <c r="EN19" s="231">
        <v>48691.93</v>
      </c>
      <c r="EO19" s="231">
        <v>51072.3</v>
      </c>
      <c r="EP19" s="231">
        <v>-2380.37</v>
      </c>
      <c r="EQ19" s="229">
        <v>-4.6600000000000003E-2</v>
      </c>
      <c r="ER19" s="231">
        <v>28235</v>
      </c>
      <c r="ES19" s="231">
        <v>23763</v>
      </c>
      <c r="ET19" s="231">
        <v>213652</v>
      </c>
      <c r="EU19" s="231">
        <v>41977935</v>
      </c>
      <c r="EV19" s="231">
        <v>265650</v>
      </c>
      <c r="EW19" s="231">
        <v>262138</v>
      </c>
      <c r="EX19" s="231">
        <v>3512</v>
      </c>
      <c r="EY19" s="229">
        <v>1.34E-2</v>
      </c>
      <c r="EZ19" s="229">
        <v>0.57320000000000004</v>
      </c>
      <c r="FA19" s="227" t="s">
        <v>555</v>
      </c>
      <c r="FB19" s="161">
        <f t="shared" si="0"/>
        <v>205150</v>
      </c>
    </row>
    <row r="20" spans="1:158" ht="17.25" hidden="1" thickBot="1" x14ac:dyDescent="0.3">
      <c r="A20" s="226">
        <v>45936</v>
      </c>
      <c r="B20" s="227" t="s">
        <v>172</v>
      </c>
      <c r="C20" s="227" t="s">
        <v>173</v>
      </c>
      <c r="D20" s="228">
        <v>625</v>
      </c>
      <c r="E20" s="231">
        <v>1216.2</v>
      </c>
      <c r="F20" s="231">
        <v>1186.8</v>
      </c>
      <c r="G20" s="228">
        <v>29.4</v>
      </c>
      <c r="H20" s="229">
        <v>2.4799999999999999E-2</v>
      </c>
      <c r="I20" s="231">
        <v>1212.8</v>
      </c>
      <c r="J20" s="231">
        <v>1181</v>
      </c>
      <c r="K20" s="228">
        <v>31.8</v>
      </c>
      <c r="L20" s="229">
        <v>2.69E-2</v>
      </c>
      <c r="M20" s="231">
        <v>1216.2</v>
      </c>
      <c r="N20" s="231">
        <v>1186.8</v>
      </c>
      <c r="O20" s="228">
        <v>29.4</v>
      </c>
      <c r="P20" s="229">
        <v>2.4799999999999999E-2</v>
      </c>
      <c r="Q20" s="231">
        <v>1222.0999999999999</v>
      </c>
      <c r="R20" s="231">
        <v>1193.2</v>
      </c>
      <c r="S20" s="228">
        <v>28.9</v>
      </c>
      <c r="T20" s="229">
        <v>2.4199999999999999E-2</v>
      </c>
      <c r="U20" s="231">
        <v>1228.2</v>
      </c>
      <c r="V20" s="231">
        <v>1199.3</v>
      </c>
      <c r="W20" s="228">
        <v>28.9</v>
      </c>
      <c r="X20" s="229">
        <v>2.41E-2</v>
      </c>
      <c r="Y20" s="228">
        <v>3.4</v>
      </c>
      <c r="Z20" s="228">
        <v>5.8</v>
      </c>
      <c r="AA20" s="228">
        <v>-2.4</v>
      </c>
      <c r="AB20" s="229">
        <v>2.8E-3</v>
      </c>
      <c r="AC20" s="228">
        <v>3.4</v>
      </c>
      <c r="AD20" s="228">
        <v>5.8</v>
      </c>
      <c r="AE20" s="228">
        <v>-2.4</v>
      </c>
      <c r="AF20" s="229">
        <v>2.8E-3</v>
      </c>
      <c r="AG20" s="228">
        <v>9.3000000000000007</v>
      </c>
      <c r="AH20" s="228">
        <v>12.2</v>
      </c>
      <c r="AI20" s="228">
        <v>-2.9</v>
      </c>
      <c r="AJ20" s="229">
        <v>7.7000000000000002E-3</v>
      </c>
      <c r="AK20" s="228">
        <v>15.4</v>
      </c>
      <c r="AL20" s="228">
        <v>18.3</v>
      </c>
      <c r="AM20" s="228">
        <v>-2.9</v>
      </c>
      <c r="AN20" s="229">
        <v>1.2699999999999999E-2</v>
      </c>
      <c r="AO20" s="231">
        <v>1208.1500000000001</v>
      </c>
      <c r="AP20" s="231">
        <v>1215.04</v>
      </c>
      <c r="AQ20" s="228">
        <v>0</v>
      </c>
      <c r="AR20" s="230">
        <v>23264375</v>
      </c>
      <c r="AS20" s="230">
        <v>12763125</v>
      </c>
      <c r="AT20" s="230">
        <v>10501250</v>
      </c>
      <c r="AU20" s="229">
        <v>0.82279999999999998</v>
      </c>
      <c r="AV20" s="230">
        <v>22558750</v>
      </c>
      <c r="AW20" s="230">
        <v>12402500</v>
      </c>
      <c r="AX20" s="230">
        <v>10156250</v>
      </c>
      <c r="AY20" s="229">
        <v>0.81889999999999996</v>
      </c>
      <c r="AZ20" s="230">
        <v>640000</v>
      </c>
      <c r="BA20" s="230">
        <v>306875</v>
      </c>
      <c r="BB20" s="230">
        <v>333125</v>
      </c>
      <c r="BC20" s="229">
        <v>1.0854999999999999</v>
      </c>
      <c r="BD20" s="230">
        <v>65625</v>
      </c>
      <c r="BE20" s="230">
        <v>53750</v>
      </c>
      <c r="BF20" s="230">
        <v>11875</v>
      </c>
      <c r="BG20" s="229">
        <v>0.22090000000000001</v>
      </c>
      <c r="BH20" s="230">
        <v>47083750</v>
      </c>
      <c r="BI20" s="230">
        <v>36533125</v>
      </c>
      <c r="BJ20" s="230">
        <v>10550625</v>
      </c>
      <c r="BK20" s="229">
        <v>0.2888</v>
      </c>
      <c r="BL20" s="230">
        <v>31864375</v>
      </c>
      <c r="BM20" s="230">
        <v>21325625</v>
      </c>
      <c r="BN20" s="230">
        <v>10538750</v>
      </c>
      <c r="BO20" s="229">
        <v>0.49419999999999997</v>
      </c>
      <c r="BP20" s="230">
        <v>102212500</v>
      </c>
      <c r="BQ20" s="230">
        <v>70621875</v>
      </c>
      <c r="BR20" s="230">
        <v>31590625</v>
      </c>
      <c r="BS20" s="229">
        <v>0.44729999999999998</v>
      </c>
      <c r="BT20" s="230">
        <v>20594501</v>
      </c>
      <c r="BU20" s="230">
        <v>11240422</v>
      </c>
      <c r="BV20" s="230">
        <v>9354079</v>
      </c>
      <c r="BW20" s="229">
        <v>0.83220000000000005</v>
      </c>
      <c r="BX20" s="230">
        <v>85150000</v>
      </c>
      <c r="BY20" s="230">
        <v>88435625</v>
      </c>
      <c r="BZ20" s="230">
        <v>-3285625</v>
      </c>
      <c r="CA20" s="229">
        <v>-3.7199999999999997E-2</v>
      </c>
      <c r="CB20" s="230">
        <v>83953750</v>
      </c>
      <c r="CC20" s="230">
        <v>87411875</v>
      </c>
      <c r="CD20" s="230">
        <v>-3458125</v>
      </c>
      <c r="CE20" s="229">
        <v>-3.9600000000000003E-2</v>
      </c>
      <c r="CF20" s="230">
        <v>1154375</v>
      </c>
      <c r="CG20" s="230">
        <v>989375</v>
      </c>
      <c r="CH20" s="230">
        <v>165000</v>
      </c>
      <c r="CI20" s="229">
        <v>0.1668</v>
      </c>
      <c r="CJ20" s="230">
        <v>41875</v>
      </c>
      <c r="CK20" s="230">
        <v>34375</v>
      </c>
      <c r="CL20" s="230">
        <v>7500</v>
      </c>
      <c r="CM20" s="229">
        <v>0.21820000000000001</v>
      </c>
      <c r="CN20" s="230">
        <v>22790000</v>
      </c>
      <c r="CO20" s="230">
        <v>22430000</v>
      </c>
      <c r="CP20" s="230">
        <v>360000</v>
      </c>
      <c r="CQ20" s="229">
        <v>1.6E-2</v>
      </c>
      <c r="CR20" s="230">
        <v>11818750</v>
      </c>
      <c r="CS20" s="230">
        <v>9668750</v>
      </c>
      <c r="CT20" s="230">
        <v>2150000</v>
      </c>
      <c r="CU20" s="229">
        <v>0.22239999999999999</v>
      </c>
      <c r="CV20" s="230">
        <v>119758750</v>
      </c>
      <c r="CW20" s="230">
        <v>120534375</v>
      </c>
      <c r="CX20" s="230">
        <v>-775625</v>
      </c>
      <c r="CY20" s="229">
        <v>-6.4000000000000003E-3</v>
      </c>
      <c r="CZ20" s="228">
        <v>24.11</v>
      </c>
      <c r="DA20" s="228">
        <v>22.16</v>
      </c>
      <c r="DB20" s="228">
        <v>1.95</v>
      </c>
      <c r="DC20" s="228">
        <v>1.95</v>
      </c>
      <c r="DD20" s="228">
        <v>27.03</v>
      </c>
      <c r="DE20" s="228">
        <v>26.86</v>
      </c>
      <c r="DF20" s="228">
        <v>-2.92</v>
      </c>
      <c r="DG20" s="228">
        <v>0.17</v>
      </c>
      <c r="DH20" s="228">
        <v>23.51</v>
      </c>
      <c r="DI20" s="228">
        <v>21.85</v>
      </c>
      <c r="DJ20" s="228">
        <v>1.66</v>
      </c>
      <c r="DK20" s="228">
        <v>1.66</v>
      </c>
      <c r="DL20" s="228">
        <v>25</v>
      </c>
      <c r="DM20" s="228">
        <v>22.69</v>
      </c>
      <c r="DN20" s="228">
        <v>2.31</v>
      </c>
      <c r="DO20" s="228">
        <v>2.31</v>
      </c>
      <c r="DP20" s="228">
        <v>0.52</v>
      </c>
      <c r="DQ20" s="228">
        <v>0.43</v>
      </c>
      <c r="DR20" s="228">
        <v>0.09</v>
      </c>
      <c r="DS20" s="229">
        <v>0.20930000000000001</v>
      </c>
      <c r="DT20" s="231">
        <v>1160</v>
      </c>
      <c r="DU20" s="231">
        <v>1200</v>
      </c>
      <c r="DV20" s="228">
        <v>0.68</v>
      </c>
      <c r="DW20" s="228">
        <v>0.57999999999999996</v>
      </c>
      <c r="DX20" s="228">
        <v>0.1</v>
      </c>
      <c r="DY20" s="229">
        <v>0.1724</v>
      </c>
      <c r="DZ20" s="229">
        <v>1.4E-2</v>
      </c>
      <c r="EA20" s="230">
        <v>1023750</v>
      </c>
      <c r="EB20" s="229">
        <v>4.8999999999999998E-3</v>
      </c>
      <c r="EC20" s="229">
        <v>1.4E-2</v>
      </c>
      <c r="ED20" s="228">
        <v>6.89</v>
      </c>
      <c r="EE20" s="229">
        <v>5.7000000000000002E-3</v>
      </c>
      <c r="EF20" s="230">
        <v>15128737</v>
      </c>
      <c r="EG20" s="230">
        <v>7696177</v>
      </c>
      <c r="EH20" s="229">
        <v>0.9657</v>
      </c>
      <c r="EI20" s="229">
        <v>0.73460000000000003</v>
      </c>
      <c r="EJ20" s="231">
        <v>588440.31999999995</v>
      </c>
      <c r="EK20" s="231">
        <v>377716.39</v>
      </c>
      <c r="EL20" s="231">
        <v>281121.17</v>
      </c>
      <c r="EM20" s="231">
        <v>38473</v>
      </c>
      <c r="EN20" s="231">
        <v>1247277.8799999999</v>
      </c>
      <c r="EO20" s="231">
        <v>849184</v>
      </c>
      <c r="EP20" s="231">
        <v>398093.88</v>
      </c>
      <c r="EQ20" s="229">
        <v>0.46879999999999999</v>
      </c>
      <c r="ER20" s="231">
        <v>274746</v>
      </c>
      <c r="ES20" s="231">
        <v>135126</v>
      </c>
      <c r="ET20" s="231">
        <v>1035667</v>
      </c>
      <c r="EU20" s="231">
        <v>316147681</v>
      </c>
      <c r="EV20" s="231">
        <v>1445540</v>
      </c>
      <c r="EW20" s="231">
        <v>1427323</v>
      </c>
      <c r="EX20" s="231">
        <v>18217</v>
      </c>
      <c r="EY20" s="229">
        <v>1.2800000000000001E-2</v>
      </c>
      <c r="EZ20" s="229">
        <v>0.37880000000000003</v>
      </c>
      <c r="FA20" s="227" t="s">
        <v>556</v>
      </c>
      <c r="FB20" s="161">
        <f t="shared" si="0"/>
        <v>1196250</v>
      </c>
    </row>
    <row r="21" spans="1:158" ht="17.25" hidden="1" thickBot="1" x14ac:dyDescent="0.3">
      <c r="A21" s="226">
        <v>45936</v>
      </c>
      <c r="B21" s="227" t="s">
        <v>162</v>
      </c>
      <c r="C21" s="227" t="s">
        <v>174</v>
      </c>
      <c r="D21" s="228">
        <v>75</v>
      </c>
      <c r="E21" s="231">
        <v>8841</v>
      </c>
      <c r="F21" s="231">
        <v>8734.5</v>
      </c>
      <c r="G21" s="228">
        <v>106.5</v>
      </c>
      <c r="H21" s="229">
        <v>1.2200000000000001E-2</v>
      </c>
      <c r="I21" s="231">
        <v>8792</v>
      </c>
      <c r="J21" s="231">
        <v>8679.5</v>
      </c>
      <c r="K21" s="228">
        <v>112.5</v>
      </c>
      <c r="L21" s="229">
        <v>1.2999999999999999E-2</v>
      </c>
      <c r="M21" s="231">
        <v>8841</v>
      </c>
      <c r="N21" s="231">
        <v>8734.5</v>
      </c>
      <c r="O21" s="228">
        <v>106.5</v>
      </c>
      <c r="P21" s="229">
        <v>1.2200000000000001E-2</v>
      </c>
      <c r="Q21" s="231">
        <v>8864.5</v>
      </c>
      <c r="R21" s="231">
        <v>8759.5</v>
      </c>
      <c r="S21" s="228">
        <v>105</v>
      </c>
      <c r="T21" s="229">
        <v>1.2E-2</v>
      </c>
      <c r="U21" s="231">
        <v>8900</v>
      </c>
      <c r="V21" s="231">
        <v>8797.5</v>
      </c>
      <c r="W21" s="228">
        <v>102.5</v>
      </c>
      <c r="X21" s="229">
        <v>1.17E-2</v>
      </c>
      <c r="Y21" s="228">
        <v>49</v>
      </c>
      <c r="Z21" s="228">
        <v>55</v>
      </c>
      <c r="AA21" s="228">
        <v>-6</v>
      </c>
      <c r="AB21" s="229">
        <v>5.5999999999999999E-3</v>
      </c>
      <c r="AC21" s="228">
        <v>49</v>
      </c>
      <c r="AD21" s="228">
        <v>55</v>
      </c>
      <c r="AE21" s="228">
        <v>-6</v>
      </c>
      <c r="AF21" s="229">
        <v>5.5999999999999999E-3</v>
      </c>
      <c r="AG21" s="228">
        <v>72.5</v>
      </c>
      <c r="AH21" s="228">
        <v>80</v>
      </c>
      <c r="AI21" s="228">
        <v>-7.5</v>
      </c>
      <c r="AJ21" s="229">
        <v>8.2000000000000007E-3</v>
      </c>
      <c r="AK21" s="228">
        <v>108</v>
      </c>
      <c r="AL21" s="228">
        <v>118</v>
      </c>
      <c r="AM21" s="228">
        <v>-10</v>
      </c>
      <c r="AN21" s="229">
        <v>1.23E-2</v>
      </c>
      <c r="AO21" s="231">
        <v>8783.61</v>
      </c>
      <c r="AP21" s="231">
        <v>8799.77</v>
      </c>
      <c r="AQ21" s="228">
        <v>0</v>
      </c>
      <c r="AR21" s="230">
        <v>503625</v>
      </c>
      <c r="AS21" s="230">
        <v>937650</v>
      </c>
      <c r="AT21" s="230">
        <v>-434025</v>
      </c>
      <c r="AU21" s="229">
        <v>-0.46289999999999998</v>
      </c>
      <c r="AV21" s="230">
        <v>478500</v>
      </c>
      <c r="AW21" s="230">
        <v>900225</v>
      </c>
      <c r="AX21" s="230">
        <v>-421725</v>
      </c>
      <c r="AY21" s="229">
        <v>-0.46850000000000003</v>
      </c>
      <c r="AZ21" s="230">
        <v>21675</v>
      </c>
      <c r="BA21" s="230">
        <v>33150</v>
      </c>
      <c r="BB21" s="230">
        <v>-11475</v>
      </c>
      <c r="BC21" s="229">
        <v>-0.34620000000000001</v>
      </c>
      <c r="BD21" s="230">
        <v>3450</v>
      </c>
      <c r="BE21" s="230">
        <v>4275</v>
      </c>
      <c r="BF21" s="228">
        <v>-825</v>
      </c>
      <c r="BG21" s="229">
        <v>-0.193</v>
      </c>
      <c r="BH21" s="230">
        <v>2412225</v>
      </c>
      <c r="BI21" s="230">
        <v>5192475</v>
      </c>
      <c r="BJ21" s="230">
        <v>-2780250</v>
      </c>
      <c r="BK21" s="229">
        <v>-0.53539999999999999</v>
      </c>
      <c r="BL21" s="230">
        <v>972000</v>
      </c>
      <c r="BM21" s="230">
        <v>1792575</v>
      </c>
      <c r="BN21" s="230">
        <v>-820575</v>
      </c>
      <c r="BO21" s="229">
        <v>-0.45779999999999998</v>
      </c>
      <c r="BP21" s="230">
        <v>3887850</v>
      </c>
      <c r="BQ21" s="230">
        <v>7922700</v>
      </c>
      <c r="BR21" s="230">
        <v>-4034850</v>
      </c>
      <c r="BS21" s="229">
        <v>-0.50929999999999997</v>
      </c>
      <c r="BT21" s="230">
        <v>310088</v>
      </c>
      <c r="BU21" s="230">
        <v>923559</v>
      </c>
      <c r="BV21" s="230">
        <v>-613471</v>
      </c>
      <c r="BW21" s="229">
        <v>-0.66420000000000001</v>
      </c>
      <c r="BX21" s="230">
        <v>3187950</v>
      </c>
      <c r="BY21" s="230">
        <v>3286050</v>
      </c>
      <c r="BZ21" s="230">
        <v>-98100</v>
      </c>
      <c r="CA21" s="229">
        <v>-2.9899999999999999E-2</v>
      </c>
      <c r="CB21" s="230">
        <v>3116625</v>
      </c>
      <c r="CC21" s="230">
        <v>3215850</v>
      </c>
      <c r="CD21" s="230">
        <v>-99225</v>
      </c>
      <c r="CE21" s="229">
        <v>-3.09E-2</v>
      </c>
      <c r="CF21" s="230">
        <v>64650</v>
      </c>
      <c r="CG21" s="230">
        <v>64950</v>
      </c>
      <c r="CH21" s="228">
        <v>-300</v>
      </c>
      <c r="CI21" s="229">
        <v>-4.5999999999999999E-3</v>
      </c>
      <c r="CJ21" s="230">
        <v>6675</v>
      </c>
      <c r="CK21" s="230">
        <v>5250</v>
      </c>
      <c r="CL21" s="230">
        <v>1425</v>
      </c>
      <c r="CM21" s="229">
        <v>0.27139999999999997</v>
      </c>
      <c r="CN21" s="230">
        <v>1556700</v>
      </c>
      <c r="CO21" s="230">
        <v>1581375</v>
      </c>
      <c r="CP21" s="230">
        <v>-24675</v>
      </c>
      <c r="CQ21" s="229">
        <v>-1.5599999999999999E-2</v>
      </c>
      <c r="CR21" s="230">
        <v>901950</v>
      </c>
      <c r="CS21" s="230">
        <v>865500</v>
      </c>
      <c r="CT21" s="230">
        <v>36450</v>
      </c>
      <c r="CU21" s="229">
        <v>4.2099999999999999E-2</v>
      </c>
      <c r="CV21" s="230">
        <v>5646600</v>
      </c>
      <c r="CW21" s="230">
        <v>5732925</v>
      </c>
      <c r="CX21" s="230">
        <v>-86325</v>
      </c>
      <c r="CY21" s="229">
        <v>-1.5100000000000001E-2</v>
      </c>
      <c r="CZ21" s="228">
        <v>24.64</v>
      </c>
      <c r="DA21" s="228">
        <v>24.03</v>
      </c>
      <c r="DB21" s="228">
        <v>0.61</v>
      </c>
      <c r="DC21" s="228">
        <v>0.61</v>
      </c>
      <c r="DD21" s="228">
        <v>30.79</v>
      </c>
      <c r="DE21" s="228">
        <v>30.82</v>
      </c>
      <c r="DF21" s="228">
        <v>-6.15</v>
      </c>
      <c r="DG21" s="228">
        <v>-0.03</v>
      </c>
      <c r="DH21" s="228">
        <v>24.41</v>
      </c>
      <c r="DI21" s="228">
        <v>24.11</v>
      </c>
      <c r="DJ21" s="228">
        <v>0.3</v>
      </c>
      <c r="DK21" s="228">
        <v>0.3</v>
      </c>
      <c r="DL21" s="228">
        <v>25.22</v>
      </c>
      <c r="DM21" s="228">
        <v>23.77</v>
      </c>
      <c r="DN21" s="228">
        <v>1.45</v>
      </c>
      <c r="DO21" s="228">
        <v>1.45</v>
      </c>
      <c r="DP21" s="228">
        <v>0.57999999999999996</v>
      </c>
      <c r="DQ21" s="228">
        <v>0.55000000000000004</v>
      </c>
      <c r="DR21" s="228">
        <v>0.03</v>
      </c>
      <c r="DS21" s="229">
        <v>5.45E-2</v>
      </c>
      <c r="DT21" s="231">
        <v>9000</v>
      </c>
      <c r="DU21" s="231">
        <v>8500</v>
      </c>
      <c r="DV21" s="228">
        <v>0.4</v>
      </c>
      <c r="DW21" s="228">
        <v>0.35</v>
      </c>
      <c r="DX21" s="228">
        <v>0.05</v>
      </c>
      <c r="DY21" s="229">
        <v>0.1429</v>
      </c>
      <c r="DZ21" s="229">
        <v>2.24E-2</v>
      </c>
      <c r="EA21" s="230">
        <v>70200</v>
      </c>
      <c r="EB21" s="229">
        <v>2.7000000000000001E-3</v>
      </c>
      <c r="EC21" s="229">
        <v>2.24E-2</v>
      </c>
      <c r="ED21" s="228">
        <v>16.16</v>
      </c>
      <c r="EE21" s="229">
        <v>1.8E-3</v>
      </c>
      <c r="EF21" s="230">
        <v>168692</v>
      </c>
      <c r="EG21" s="230">
        <v>569991</v>
      </c>
      <c r="EH21" s="229">
        <v>-0.70399999999999996</v>
      </c>
      <c r="EI21" s="229">
        <v>0.54400000000000004</v>
      </c>
      <c r="EJ21" s="231">
        <v>221336.56</v>
      </c>
      <c r="EK21" s="231">
        <v>82161.78</v>
      </c>
      <c r="EL21" s="231">
        <v>44241.42</v>
      </c>
      <c r="EM21" s="231">
        <v>18832</v>
      </c>
      <c r="EN21" s="231">
        <v>347739.76</v>
      </c>
      <c r="EO21" s="231">
        <v>706908.9</v>
      </c>
      <c r="EP21" s="231">
        <v>-359169.14</v>
      </c>
      <c r="EQ21" s="229">
        <v>-0.5081</v>
      </c>
      <c r="ER21" s="231">
        <v>144095</v>
      </c>
      <c r="ES21" s="231">
        <v>76196</v>
      </c>
      <c r="ET21" s="231">
        <v>281866</v>
      </c>
      <c r="EU21" s="231">
        <v>12547731</v>
      </c>
      <c r="EV21" s="231">
        <v>502157</v>
      </c>
      <c r="EW21" s="231">
        <v>506333</v>
      </c>
      <c r="EX21" s="231">
        <v>-4176</v>
      </c>
      <c r="EY21" s="229">
        <v>-8.2000000000000007E-3</v>
      </c>
      <c r="EZ21" s="229">
        <v>0.45</v>
      </c>
      <c r="FA21" s="227" t="s">
        <v>556</v>
      </c>
      <c r="FB21" s="161">
        <f t="shared" si="0"/>
        <v>71325</v>
      </c>
    </row>
    <row r="22" spans="1:158" ht="17.25" hidden="1" thickBot="1" x14ac:dyDescent="0.3">
      <c r="A22" s="226">
        <v>45936</v>
      </c>
      <c r="B22" s="227" t="s">
        <v>175</v>
      </c>
      <c r="C22" s="227" t="s">
        <v>176</v>
      </c>
      <c r="D22" s="228">
        <v>500</v>
      </c>
      <c r="E22" s="231">
        <v>2042.1</v>
      </c>
      <c r="F22" s="231">
        <v>2009.2</v>
      </c>
      <c r="G22" s="228">
        <v>32.9</v>
      </c>
      <c r="H22" s="229">
        <v>1.6400000000000001E-2</v>
      </c>
      <c r="I22" s="231">
        <v>2033.2</v>
      </c>
      <c r="J22" s="231">
        <v>2000.9</v>
      </c>
      <c r="K22" s="228">
        <v>32.299999999999997</v>
      </c>
      <c r="L22" s="229">
        <v>1.61E-2</v>
      </c>
      <c r="M22" s="231">
        <v>2042.1</v>
      </c>
      <c r="N22" s="231">
        <v>2009.2</v>
      </c>
      <c r="O22" s="228">
        <v>32.9</v>
      </c>
      <c r="P22" s="229">
        <v>1.6400000000000001E-2</v>
      </c>
      <c r="Q22" s="231">
        <v>2052.4</v>
      </c>
      <c r="R22" s="231">
        <v>2019.4</v>
      </c>
      <c r="S22" s="228">
        <v>33</v>
      </c>
      <c r="T22" s="229">
        <v>1.6299999999999999E-2</v>
      </c>
      <c r="U22" s="231">
        <v>2065.9</v>
      </c>
      <c r="V22" s="231">
        <v>2029</v>
      </c>
      <c r="W22" s="228">
        <v>36.9</v>
      </c>
      <c r="X22" s="229">
        <v>1.8200000000000001E-2</v>
      </c>
      <c r="Y22" s="228">
        <v>8.9</v>
      </c>
      <c r="Z22" s="228">
        <v>8.3000000000000007</v>
      </c>
      <c r="AA22" s="228">
        <v>0.6</v>
      </c>
      <c r="AB22" s="229">
        <v>4.4000000000000003E-3</v>
      </c>
      <c r="AC22" s="228">
        <v>8.9</v>
      </c>
      <c r="AD22" s="228">
        <v>8.3000000000000007</v>
      </c>
      <c r="AE22" s="228">
        <v>0.6</v>
      </c>
      <c r="AF22" s="229">
        <v>4.4000000000000003E-3</v>
      </c>
      <c r="AG22" s="228">
        <v>19.2</v>
      </c>
      <c r="AH22" s="228">
        <v>18.5</v>
      </c>
      <c r="AI22" s="228">
        <v>0.7</v>
      </c>
      <c r="AJ22" s="229">
        <v>9.4000000000000004E-3</v>
      </c>
      <c r="AK22" s="228">
        <v>32.700000000000003</v>
      </c>
      <c r="AL22" s="228">
        <v>28.1</v>
      </c>
      <c r="AM22" s="228">
        <v>4.5999999999999996</v>
      </c>
      <c r="AN22" s="229">
        <v>1.61E-2</v>
      </c>
      <c r="AO22" s="231">
        <v>2037.8</v>
      </c>
      <c r="AP22" s="231">
        <v>2046.5</v>
      </c>
      <c r="AQ22" s="228">
        <v>0</v>
      </c>
      <c r="AR22" s="230">
        <v>1744000</v>
      </c>
      <c r="AS22" s="230">
        <v>1386500</v>
      </c>
      <c r="AT22" s="230">
        <v>357500</v>
      </c>
      <c r="AU22" s="229">
        <v>0.25779999999999997</v>
      </c>
      <c r="AV22" s="230">
        <v>1607500</v>
      </c>
      <c r="AW22" s="230">
        <v>1286500</v>
      </c>
      <c r="AX22" s="230">
        <v>321000</v>
      </c>
      <c r="AY22" s="229">
        <v>0.2495</v>
      </c>
      <c r="AZ22" s="230">
        <v>123000</v>
      </c>
      <c r="BA22" s="230">
        <v>91000</v>
      </c>
      <c r="BB22" s="230">
        <v>32000</v>
      </c>
      <c r="BC22" s="229">
        <v>0.35160000000000002</v>
      </c>
      <c r="BD22" s="230">
        <v>13500</v>
      </c>
      <c r="BE22" s="230">
        <v>9000</v>
      </c>
      <c r="BF22" s="230">
        <v>4500</v>
      </c>
      <c r="BG22" s="229">
        <v>0.5</v>
      </c>
      <c r="BH22" s="230">
        <v>9515000</v>
      </c>
      <c r="BI22" s="230">
        <v>5094500</v>
      </c>
      <c r="BJ22" s="230">
        <v>4420500</v>
      </c>
      <c r="BK22" s="229">
        <v>0.86770000000000003</v>
      </c>
      <c r="BL22" s="230">
        <v>3530000</v>
      </c>
      <c r="BM22" s="230">
        <v>2960500</v>
      </c>
      <c r="BN22" s="230">
        <v>569500</v>
      </c>
      <c r="BO22" s="229">
        <v>0.19239999999999999</v>
      </c>
      <c r="BP22" s="230">
        <v>14789000</v>
      </c>
      <c r="BQ22" s="230">
        <v>9441500</v>
      </c>
      <c r="BR22" s="230">
        <v>5347500</v>
      </c>
      <c r="BS22" s="229">
        <v>0.56640000000000001</v>
      </c>
      <c r="BT22" s="230">
        <v>864207</v>
      </c>
      <c r="BU22" s="230">
        <v>812768</v>
      </c>
      <c r="BV22" s="230">
        <v>51439</v>
      </c>
      <c r="BW22" s="229">
        <v>6.3299999999999995E-2</v>
      </c>
      <c r="BX22" s="230">
        <v>17434500</v>
      </c>
      <c r="BY22" s="230">
        <v>17465000</v>
      </c>
      <c r="BZ22" s="230">
        <v>-30500</v>
      </c>
      <c r="CA22" s="229">
        <v>-1.6999999999999999E-3</v>
      </c>
      <c r="CB22" s="230">
        <v>17277500</v>
      </c>
      <c r="CC22" s="230">
        <v>17320500</v>
      </c>
      <c r="CD22" s="230">
        <v>-43000</v>
      </c>
      <c r="CE22" s="229">
        <v>-2.5000000000000001E-3</v>
      </c>
      <c r="CF22" s="230">
        <v>150000</v>
      </c>
      <c r="CG22" s="230">
        <v>138000</v>
      </c>
      <c r="CH22" s="230">
        <v>12000</v>
      </c>
      <c r="CI22" s="229">
        <v>8.6999999999999994E-2</v>
      </c>
      <c r="CJ22" s="230">
        <v>7000</v>
      </c>
      <c r="CK22" s="230">
        <v>6500</v>
      </c>
      <c r="CL22" s="228">
        <v>500</v>
      </c>
      <c r="CM22" s="229">
        <v>7.6899999999999996E-2</v>
      </c>
      <c r="CN22" s="230">
        <v>3491000</v>
      </c>
      <c r="CO22" s="230">
        <v>3011000</v>
      </c>
      <c r="CP22" s="230">
        <v>480000</v>
      </c>
      <c r="CQ22" s="229">
        <v>0.15939999999999999</v>
      </c>
      <c r="CR22" s="230">
        <v>2572000</v>
      </c>
      <c r="CS22" s="230">
        <v>2149500</v>
      </c>
      <c r="CT22" s="230">
        <v>422500</v>
      </c>
      <c r="CU22" s="229">
        <v>0.1966</v>
      </c>
      <c r="CV22" s="230">
        <v>23497500</v>
      </c>
      <c r="CW22" s="230">
        <v>22625500</v>
      </c>
      <c r="CX22" s="230">
        <v>872000</v>
      </c>
      <c r="CY22" s="229">
        <v>3.85E-2</v>
      </c>
      <c r="CZ22" s="228">
        <v>21.66</v>
      </c>
      <c r="DA22" s="228">
        <v>21.79</v>
      </c>
      <c r="DB22" s="228">
        <v>-0.13</v>
      </c>
      <c r="DC22" s="228">
        <v>-0.13</v>
      </c>
      <c r="DD22" s="228">
        <v>28.35</v>
      </c>
      <c r="DE22" s="228">
        <v>28.33</v>
      </c>
      <c r="DF22" s="228">
        <v>-6.69</v>
      </c>
      <c r="DG22" s="228">
        <v>0.02</v>
      </c>
      <c r="DH22" s="228">
        <v>21.26</v>
      </c>
      <c r="DI22" s="228">
        <v>21.44</v>
      </c>
      <c r="DJ22" s="228">
        <v>-0.18</v>
      </c>
      <c r="DK22" s="228">
        <v>-0.18</v>
      </c>
      <c r="DL22" s="228">
        <v>22.75</v>
      </c>
      <c r="DM22" s="228">
        <v>22.4</v>
      </c>
      <c r="DN22" s="228">
        <v>0.35</v>
      </c>
      <c r="DO22" s="228">
        <v>0.35</v>
      </c>
      <c r="DP22" s="228">
        <v>0.74</v>
      </c>
      <c r="DQ22" s="228">
        <v>0.71</v>
      </c>
      <c r="DR22" s="228">
        <v>0.03</v>
      </c>
      <c r="DS22" s="229">
        <v>4.2299999999999997E-2</v>
      </c>
      <c r="DT22" s="231">
        <v>2100</v>
      </c>
      <c r="DU22" s="231">
        <v>1800</v>
      </c>
      <c r="DV22" s="228">
        <v>0.37</v>
      </c>
      <c r="DW22" s="228">
        <v>0.57999999999999996</v>
      </c>
      <c r="DX22" s="228">
        <v>-0.21</v>
      </c>
      <c r="DY22" s="229">
        <v>-0.36209999999999998</v>
      </c>
      <c r="DZ22" s="229">
        <v>8.9999999999999993E-3</v>
      </c>
      <c r="EA22" s="230">
        <v>144500</v>
      </c>
      <c r="EB22" s="229">
        <v>5.0000000000000001E-3</v>
      </c>
      <c r="EC22" s="229">
        <v>8.9999999999999993E-3</v>
      </c>
      <c r="ED22" s="228">
        <v>8.6999999999999993</v>
      </c>
      <c r="EE22" s="229">
        <v>4.3E-3</v>
      </c>
      <c r="EF22" s="230">
        <v>351703</v>
      </c>
      <c r="EG22" s="230">
        <v>411730</v>
      </c>
      <c r="EH22" s="229">
        <v>-0.14580000000000001</v>
      </c>
      <c r="EI22" s="229">
        <v>0.40699999999999997</v>
      </c>
      <c r="EJ22" s="231">
        <v>201490.29</v>
      </c>
      <c r="EK22" s="231">
        <v>69668.320000000007</v>
      </c>
      <c r="EL22" s="231">
        <v>35552.959999999999</v>
      </c>
      <c r="EM22" s="231">
        <v>10422</v>
      </c>
      <c r="EN22" s="231">
        <v>306711.57</v>
      </c>
      <c r="EO22" s="231">
        <v>191938.63</v>
      </c>
      <c r="EP22" s="231">
        <v>114772.94</v>
      </c>
      <c r="EQ22" s="229">
        <v>0.59799999999999998</v>
      </c>
      <c r="ER22" s="231">
        <v>73874</v>
      </c>
      <c r="ES22" s="231">
        <v>49245</v>
      </c>
      <c r="ET22" s="231">
        <v>356047</v>
      </c>
      <c r="EU22" s="231">
        <v>65659712</v>
      </c>
      <c r="EV22" s="231">
        <v>479166</v>
      </c>
      <c r="EW22" s="231">
        <v>455653</v>
      </c>
      <c r="EX22" s="231">
        <v>23513</v>
      </c>
      <c r="EY22" s="229">
        <v>5.16E-2</v>
      </c>
      <c r="EZ22" s="229">
        <v>0.3579</v>
      </c>
      <c r="FA22" s="227" t="s">
        <v>556</v>
      </c>
      <c r="FB22" s="161">
        <f t="shared" si="0"/>
        <v>157000</v>
      </c>
    </row>
    <row r="23" spans="1:158" ht="17.25" hidden="1" thickBot="1" x14ac:dyDescent="0.3">
      <c r="A23" s="226">
        <v>45936</v>
      </c>
      <c r="B23" s="227" t="s">
        <v>175</v>
      </c>
      <c r="C23" s="227" t="s">
        <v>177</v>
      </c>
      <c r="D23" s="228">
        <v>750</v>
      </c>
      <c r="E23" s="231">
        <v>1014.9</v>
      </c>
      <c r="F23" s="228">
        <v>993.7</v>
      </c>
      <c r="G23" s="228">
        <v>21.2</v>
      </c>
      <c r="H23" s="229">
        <v>2.1299999999999999E-2</v>
      </c>
      <c r="I23" s="231">
        <v>1008.9</v>
      </c>
      <c r="J23" s="228">
        <v>989.75</v>
      </c>
      <c r="K23" s="228">
        <v>19.149999999999999</v>
      </c>
      <c r="L23" s="229">
        <v>1.9300000000000001E-2</v>
      </c>
      <c r="M23" s="231">
        <v>1014.9</v>
      </c>
      <c r="N23" s="228">
        <v>993.7</v>
      </c>
      <c r="O23" s="228">
        <v>21.2</v>
      </c>
      <c r="P23" s="229">
        <v>2.1299999999999999E-2</v>
      </c>
      <c r="Q23" s="231">
        <v>1020.5</v>
      </c>
      <c r="R23" s="228">
        <v>999.25</v>
      </c>
      <c r="S23" s="228">
        <v>21.25</v>
      </c>
      <c r="T23" s="229">
        <v>2.1299999999999999E-2</v>
      </c>
      <c r="U23" s="231">
        <v>1025.5999999999999</v>
      </c>
      <c r="V23" s="231">
        <v>1005.15</v>
      </c>
      <c r="W23" s="228">
        <v>20.45</v>
      </c>
      <c r="X23" s="229">
        <v>2.0299999999999999E-2</v>
      </c>
      <c r="Y23" s="228">
        <v>6</v>
      </c>
      <c r="Z23" s="228">
        <v>3.95</v>
      </c>
      <c r="AA23" s="228">
        <v>2.0499999999999998</v>
      </c>
      <c r="AB23" s="229">
        <v>5.8999999999999999E-3</v>
      </c>
      <c r="AC23" s="228">
        <v>6</v>
      </c>
      <c r="AD23" s="228">
        <v>3.95</v>
      </c>
      <c r="AE23" s="228">
        <v>2.0499999999999998</v>
      </c>
      <c r="AF23" s="229">
        <v>5.8999999999999999E-3</v>
      </c>
      <c r="AG23" s="228">
        <v>11.6</v>
      </c>
      <c r="AH23" s="228">
        <v>9.5</v>
      </c>
      <c r="AI23" s="228">
        <v>2.1</v>
      </c>
      <c r="AJ23" s="229">
        <v>1.15E-2</v>
      </c>
      <c r="AK23" s="228">
        <v>16.7</v>
      </c>
      <c r="AL23" s="228">
        <v>15.4</v>
      </c>
      <c r="AM23" s="228">
        <v>1.3</v>
      </c>
      <c r="AN23" s="229">
        <v>1.66E-2</v>
      </c>
      <c r="AO23" s="231">
        <v>1015.18</v>
      </c>
      <c r="AP23" s="231">
        <v>1020.61</v>
      </c>
      <c r="AQ23" s="228">
        <v>0</v>
      </c>
      <c r="AR23" s="230">
        <v>15865500</v>
      </c>
      <c r="AS23" s="230">
        <v>7433250</v>
      </c>
      <c r="AT23" s="230">
        <v>8432250</v>
      </c>
      <c r="AU23" s="229">
        <v>1.1344000000000001</v>
      </c>
      <c r="AV23" s="230">
        <v>15078000</v>
      </c>
      <c r="AW23" s="230">
        <v>7077750</v>
      </c>
      <c r="AX23" s="230">
        <v>8000250</v>
      </c>
      <c r="AY23" s="229">
        <v>1.1303000000000001</v>
      </c>
      <c r="AZ23" s="230">
        <v>695250</v>
      </c>
      <c r="BA23" s="230">
        <v>287250</v>
      </c>
      <c r="BB23" s="230">
        <v>408000</v>
      </c>
      <c r="BC23" s="229">
        <v>1.4204000000000001</v>
      </c>
      <c r="BD23" s="230">
        <v>92250</v>
      </c>
      <c r="BE23" s="230">
        <v>68250</v>
      </c>
      <c r="BF23" s="230">
        <v>24000</v>
      </c>
      <c r="BG23" s="229">
        <v>0.35160000000000002</v>
      </c>
      <c r="BH23" s="230">
        <v>66227250</v>
      </c>
      <c r="BI23" s="230">
        <v>19993500</v>
      </c>
      <c r="BJ23" s="230">
        <v>46233750</v>
      </c>
      <c r="BK23" s="229">
        <v>2.3123999999999998</v>
      </c>
      <c r="BL23" s="230">
        <v>25674750</v>
      </c>
      <c r="BM23" s="230">
        <v>9873750</v>
      </c>
      <c r="BN23" s="230">
        <v>15801000</v>
      </c>
      <c r="BO23" s="229">
        <v>1.6003000000000001</v>
      </c>
      <c r="BP23" s="230">
        <v>107767500</v>
      </c>
      <c r="BQ23" s="230">
        <v>37300500</v>
      </c>
      <c r="BR23" s="230">
        <v>70467000</v>
      </c>
      <c r="BS23" s="229">
        <v>1.8892</v>
      </c>
      <c r="BT23" s="230">
        <v>9576599</v>
      </c>
      <c r="BU23" s="230">
        <v>7797354</v>
      </c>
      <c r="BV23" s="230">
        <v>1779245</v>
      </c>
      <c r="BW23" s="229">
        <v>0.22819999999999999</v>
      </c>
      <c r="BX23" s="230">
        <v>90971250</v>
      </c>
      <c r="BY23" s="230">
        <v>90063750</v>
      </c>
      <c r="BZ23" s="230">
        <v>907500</v>
      </c>
      <c r="CA23" s="229">
        <v>1.01E-2</v>
      </c>
      <c r="CB23" s="230">
        <v>90003000</v>
      </c>
      <c r="CC23" s="230">
        <v>89139750</v>
      </c>
      <c r="CD23" s="230">
        <v>863250</v>
      </c>
      <c r="CE23" s="229">
        <v>9.7000000000000003E-3</v>
      </c>
      <c r="CF23" s="230">
        <v>897750</v>
      </c>
      <c r="CG23" s="230">
        <v>867000</v>
      </c>
      <c r="CH23" s="230">
        <v>30750</v>
      </c>
      <c r="CI23" s="229">
        <v>3.5499999999999997E-2</v>
      </c>
      <c r="CJ23" s="230">
        <v>70500</v>
      </c>
      <c r="CK23" s="230">
        <v>57000</v>
      </c>
      <c r="CL23" s="230">
        <v>13500</v>
      </c>
      <c r="CM23" s="229">
        <v>0.23680000000000001</v>
      </c>
      <c r="CN23" s="230">
        <v>18005250</v>
      </c>
      <c r="CO23" s="230">
        <v>14652000</v>
      </c>
      <c r="CP23" s="230">
        <v>3353250</v>
      </c>
      <c r="CQ23" s="229">
        <v>0.22889999999999999</v>
      </c>
      <c r="CR23" s="230">
        <v>11558250</v>
      </c>
      <c r="CS23" s="230">
        <v>10522500</v>
      </c>
      <c r="CT23" s="230">
        <v>1035750</v>
      </c>
      <c r="CU23" s="229">
        <v>9.8400000000000001E-2</v>
      </c>
      <c r="CV23" s="230">
        <v>120534750</v>
      </c>
      <c r="CW23" s="230">
        <v>115238250</v>
      </c>
      <c r="CX23" s="230">
        <v>5296500</v>
      </c>
      <c r="CY23" s="229">
        <v>4.5999999999999999E-2</v>
      </c>
      <c r="CZ23" s="228">
        <v>25.27</v>
      </c>
      <c r="DA23" s="228">
        <v>25.19</v>
      </c>
      <c r="DB23" s="228">
        <v>0.08</v>
      </c>
      <c r="DC23" s="228">
        <v>0.08</v>
      </c>
      <c r="DD23" s="228">
        <v>31.4</v>
      </c>
      <c r="DE23" s="228">
        <v>31.37</v>
      </c>
      <c r="DF23" s="228">
        <v>-6.13</v>
      </c>
      <c r="DG23" s="228">
        <v>0.03</v>
      </c>
      <c r="DH23" s="228">
        <v>25.14</v>
      </c>
      <c r="DI23" s="228">
        <v>25.14</v>
      </c>
      <c r="DJ23" s="228">
        <v>0</v>
      </c>
      <c r="DK23" s="228">
        <v>0</v>
      </c>
      <c r="DL23" s="228">
        <v>25.61</v>
      </c>
      <c r="DM23" s="228">
        <v>25.29</v>
      </c>
      <c r="DN23" s="228">
        <v>0.32</v>
      </c>
      <c r="DO23" s="228">
        <v>0.32</v>
      </c>
      <c r="DP23" s="228">
        <v>0.64</v>
      </c>
      <c r="DQ23" s="228">
        <v>0.72</v>
      </c>
      <c r="DR23" s="228">
        <v>-0.08</v>
      </c>
      <c r="DS23" s="229">
        <v>-0.1111</v>
      </c>
      <c r="DT23" s="231">
        <v>1100</v>
      </c>
      <c r="DU23" s="231">
        <v>1000</v>
      </c>
      <c r="DV23" s="228">
        <v>0.39</v>
      </c>
      <c r="DW23" s="228">
        <v>0.49</v>
      </c>
      <c r="DX23" s="228">
        <v>-0.1</v>
      </c>
      <c r="DY23" s="229">
        <v>-0.2041</v>
      </c>
      <c r="DZ23" s="229">
        <v>1.06E-2</v>
      </c>
      <c r="EA23" s="230">
        <v>924000</v>
      </c>
      <c r="EB23" s="229">
        <v>5.4999999999999997E-3</v>
      </c>
      <c r="EC23" s="229">
        <v>1.06E-2</v>
      </c>
      <c r="ED23" s="228">
        <v>5.43</v>
      </c>
      <c r="EE23" s="229">
        <v>5.3E-3</v>
      </c>
      <c r="EF23" s="230">
        <v>4492276</v>
      </c>
      <c r="EG23" s="230">
        <v>4875520</v>
      </c>
      <c r="EH23" s="229">
        <v>-7.8600000000000003E-2</v>
      </c>
      <c r="EI23" s="229">
        <v>0.46910000000000002</v>
      </c>
      <c r="EJ23" s="231">
        <v>698434.16</v>
      </c>
      <c r="EK23" s="231">
        <v>254971.5</v>
      </c>
      <c r="EL23" s="231">
        <v>161110.79999999999</v>
      </c>
      <c r="EM23" s="231">
        <v>23929</v>
      </c>
      <c r="EN23" s="231">
        <v>1114516.46</v>
      </c>
      <c r="EO23" s="231">
        <v>377549.63</v>
      </c>
      <c r="EP23" s="231">
        <v>736966.83</v>
      </c>
      <c r="EQ23" s="229">
        <v>1.952</v>
      </c>
      <c r="ER23" s="231">
        <v>188008</v>
      </c>
      <c r="ES23" s="231">
        <v>111100</v>
      </c>
      <c r="ET23" s="231">
        <v>923325</v>
      </c>
      <c r="EU23" s="231">
        <v>281116345</v>
      </c>
      <c r="EV23" s="231">
        <v>1222432</v>
      </c>
      <c r="EW23" s="231">
        <v>1147852</v>
      </c>
      <c r="EX23" s="231">
        <v>74580</v>
      </c>
      <c r="EY23" s="229">
        <v>6.5000000000000002E-2</v>
      </c>
      <c r="EZ23" s="229">
        <v>0.42880000000000001</v>
      </c>
      <c r="FA23" s="227" t="s">
        <v>555</v>
      </c>
      <c r="FB23" s="161">
        <f t="shared" si="0"/>
        <v>968250</v>
      </c>
    </row>
    <row r="24" spans="1:158" ht="17.25" hidden="1" thickBot="1" x14ac:dyDescent="0.3">
      <c r="A24" s="226">
        <v>45936</v>
      </c>
      <c r="B24" s="227" t="s">
        <v>172</v>
      </c>
      <c r="C24" s="227" t="s">
        <v>179</v>
      </c>
      <c r="D24" s="228">
        <v>3600</v>
      </c>
      <c r="E24" s="228">
        <v>165.9</v>
      </c>
      <c r="F24" s="228">
        <v>166.77</v>
      </c>
      <c r="G24" s="228">
        <v>-0.87</v>
      </c>
      <c r="H24" s="229">
        <v>-5.1999999999999998E-3</v>
      </c>
      <c r="I24" s="228">
        <v>164.79</v>
      </c>
      <c r="J24" s="228">
        <v>165.96</v>
      </c>
      <c r="K24" s="228">
        <v>-1.17</v>
      </c>
      <c r="L24" s="229">
        <v>-7.0000000000000001E-3</v>
      </c>
      <c r="M24" s="228">
        <v>165.9</v>
      </c>
      <c r="N24" s="228">
        <v>166.77</v>
      </c>
      <c r="O24" s="228">
        <v>-0.87</v>
      </c>
      <c r="P24" s="229">
        <v>-5.1999999999999998E-3</v>
      </c>
      <c r="Q24" s="228">
        <v>166.95</v>
      </c>
      <c r="R24" s="228">
        <v>167.73</v>
      </c>
      <c r="S24" s="228">
        <v>-0.78</v>
      </c>
      <c r="T24" s="229">
        <v>-4.7000000000000002E-3</v>
      </c>
      <c r="U24" s="228">
        <v>167.79</v>
      </c>
      <c r="V24" s="228">
        <v>168.53</v>
      </c>
      <c r="W24" s="228">
        <v>-0.74</v>
      </c>
      <c r="X24" s="229">
        <v>-4.4000000000000003E-3</v>
      </c>
      <c r="Y24" s="228">
        <v>1.1100000000000001</v>
      </c>
      <c r="Z24" s="228">
        <v>0.81</v>
      </c>
      <c r="AA24" s="228">
        <v>0.3</v>
      </c>
      <c r="AB24" s="229">
        <v>6.7000000000000002E-3</v>
      </c>
      <c r="AC24" s="228">
        <v>1.1100000000000001</v>
      </c>
      <c r="AD24" s="228">
        <v>0.81</v>
      </c>
      <c r="AE24" s="228">
        <v>0.3</v>
      </c>
      <c r="AF24" s="229">
        <v>6.7000000000000002E-3</v>
      </c>
      <c r="AG24" s="228">
        <v>2.16</v>
      </c>
      <c r="AH24" s="228">
        <v>1.77</v>
      </c>
      <c r="AI24" s="228">
        <v>0.39</v>
      </c>
      <c r="AJ24" s="229">
        <v>1.3100000000000001E-2</v>
      </c>
      <c r="AK24" s="228">
        <v>3</v>
      </c>
      <c r="AL24" s="228">
        <v>2.57</v>
      </c>
      <c r="AM24" s="228">
        <v>0.43</v>
      </c>
      <c r="AN24" s="229">
        <v>1.8200000000000001E-2</v>
      </c>
      <c r="AO24" s="228">
        <v>166.19</v>
      </c>
      <c r="AP24" s="228">
        <v>167.13</v>
      </c>
      <c r="AQ24" s="228">
        <v>0</v>
      </c>
      <c r="AR24" s="230">
        <v>13996800</v>
      </c>
      <c r="AS24" s="230">
        <v>24523200</v>
      </c>
      <c r="AT24" s="230">
        <v>-10526400</v>
      </c>
      <c r="AU24" s="229">
        <v>-0.42920000000000003</v>
      </c>
      <c r="AV24" s="230">
        <v>13190400</v>
      </c>
      <c r="AW24" s="230">
        <v>22669200</v>
      </c>
      <c r="AX24" s="230">
        <v>-9478800</v>
      </c>
      <c r="AY24" s="229">
        <v>-0.41810000000000003</v>
      </c>
      <c r="AZ24" s="230">
        <v>597600</v>
      </c>
      <c r="BA24" s="230">
        <v>1670400</v>
      </c>
      <c r="BB24" s="230">
        <v>-1072800</v>
      </c>
      <c r="BC24" s="229">
        <v>-0.64219999999999999</v>
      </c>
      <c r="BD24" s="230">
        <v>208800</v>
      </c>
      <c r="BE24" s="230">
        <v>183600</v>
      </c>
      <c r="BF24" s="230">
        <v>25200</v>
      </c>
      <c r="BG24" s="229">
        <v>0.13730000000000001</v>
      </c>
      <c r="BH24" s="230">
        <v>19656000</v>
      </c>
      <c r="BI24" s="230">
        <v>37314000</v>
      </c>
      <c r="BJ24" s="230">
        <v>-17658000</v>
      </c>
      <c r="BK24" s="229">
        <v>-0.47320000000000001</v>
      </c>
      <c r="BL24" s="230">
        <v>8341200</v>
      </c>
      <c r="BM24" s="230">
        <v>18997200</v>
      </c>
      <c r="BN24" s="230">
        <v>-10656000</v>
      </c>
      <c r="BO24" s="229">
        <v>-0.56089999999999995</v>
      </c>
      <c r="BP24" s="230">
        <v>41994000</v>
      </c>
      <c r="BQ24" s="230">
        <v>80834400</v>
      </c>
      <c r="BR24" s="230">
        <v>-38840400</v>
      </c>
      <c r="BS24" s="229">
        <v>-0.48049999999999998</v>
      </c>
      <c r="BT24" s="230">
        <v>6359295</v>
      </c>
      <c r="BU24" s="230">
        <v>8202370</v>
      </c>
      <c r="BV24" s="230">
        <v>-1843075</v>
      </c>
      <c r="BW24" s="229">
        <v>-0.22470000000000001</v>
      </c>
      <c r="BX24" s="230">
        <v>95108400</v>
      </c>
      <c r="BY24" s="230">
        <v>94006800</v>
      </c>
      <c r="BZ24" s="230">
        <v>1101600</v>
      </c>
      <c r="CA24" s="229">
        <v>1.17E-2</v>
      </c>
      <c r="CB24" s="230">
        <v>90324000</v>
      </c>
      <c r="CC24" s="230">
        <v>89499600</v>
      </c>
      <c r="CD24" s="230">
        <v>824400</v>
      </c>
      <c r="CE24" s="229">
        <v>9.1999999999999998E-3</v>
      </c>
      <c r="CF24" s="230">
        <v>4521600</v>
      </c>
      <c r="CG24" s="230">
        <v>4356000</v>
      </c>
      <c r="CH24" s="230">
        <v>165600</v>
      </c>
      <c r="CI24" s="229">
        <v>3.7999999999999999E-2</v>
      </c>
      <c r="CJ24" s="230">
        <v>262800</v>
      </c>
      <c r="CK24" s="230">
        <v>151200</v>
      </c>
      <c r="CL24" s="230">
        <v>111600</v>
      </c>
      <c r="CM24" s="229">
        <v>0.73809999999999998</v>
      </c>
      <c r="CN24" s="230">
        <v>25120800</v>
      </c>
      <c r="CO24" s="230">
        <v>23612400</v>
      </c>
      <c r="CP24" s="230">
        <v>1508400</v>
      </c>
      <c r="CQ24" s="229">
        <v>6.3899999999999998E-2</v>
      </c>
      <c r="CR24" s="230">
        <v>22201200</v>
      </c>
      <c r="CS24" s="230">
        <v>21430800</v>
      </c>
      <c r="CT24" s="230">
        <v>770400</v>
      </c>
      <c r="CU24" s="229">
        <v>3.5900000000000001E-2</v>
      </c>
      <c r="CV24" s="230">
        <v>142430400</v>
      </c>
      <c r="CW24" s="230">
        <v>139050000</v>
      </c>
      <c r="CX24" s="230">
        <v>3380400</v>
      </c>
      <c r="CY24" s="229">
        <v>2.4299999999999999E-2</v>
      </c>
      <c r="CZ24" s="228">
        <v>33.85</v>
      </c>
      <c r="DA24" s="228">
        <v>33.04</v>
      </c>
      <c r="DB24" s="228">
        <v>0.81</v>
      </c>
      <c r="DC24" s="228">
        <v>0.81</v>
      </c>
      <c r="DD24" s="228">
        <v>42.04</v>
      </c>
      <c r="DE24" s="228">
        <v>42.14</v>
      </c>
      <c r="DF24" s="228">
        <v>-8.19</v>
      </c>
      <c r="DG24" s="228">
        <v>-0.1</v>
      </c>
      <c r="DH24" s="228">
        <v>33.71</v>
      </c>
      <c r="DI24" s="228">
        <v>32.39</v>
      </c>
      <c r="DJ24" s="228">
        <v>1.32</v>
      </c>
      <c r="DK24" s="228">
        <v>1.32</v>
      </c>
      <c r="DL24" s="228">
        <v>34.18</v>
      </c>
      <c r="DM24" s="228">
        <v>34.32</v>
      </c>
      <c r="DN24" s="228">
        <v>-0.14000000000000001</v>
      </c>
      <c r="DO24" s="228">
        <v>-0.14000000000000001</v>
      </c>
      <c r="DP24" s="228">
        <v>0.88</v>
      </c>
      <c r="DQ24" s="228">
        <v>0.91</v>
      </c>
      <c r="DR24" s="228">
        <v>-0.03</v>
      </c>
      <c r="DS24" s="229">
        <v>-3.3000000000000002E-2</v>
      </c>
      <c r="DT24" s="228">
        <v>170</v>
      </c>
      <c r="DU24" s="228">
        <v>150</v>
      </c>
      <c r="DV24" s="228">
        <v>0.42</v>
      </c>
      <c r="DW24" s="228">
        <v>0.51</v>
      </c>
      <c r="DX24" s="228">
        <v>-0.09</v>
      </c>
      <c r="DY24" s="229">
        <v>-0.17649999999999999</v>
      </c>
      <c r="DZ24" s="229">
        <v>5.0299999999999997E-2</v>
      </c>
      <c r="EA24" s="230">
        <v>4507200</v>
      </c>
      <c r="EB24" s="229">
        <v>6.3E-3</v>
      </c>
      <c r="EC24" s="229">
        <v>5.0299999999999997E-2</v>
      </c>
      <c r="ED24" s="228">
        <v>0.94</v>
      </c>
      <c r="EE24" s="229">
        <v>5.7000000000000002E-3</v>
      </c>
      <c r="EF24" s="230">
        <v>3082210</v>
      </c>
      <c r="EG24" s="230">
        <v>3503908</v>
      </c>
      <c r="EH24" s="229">
        <v>-0.12039999999999999</v>
      </c>
      <c r="EI24" s="229">
        <v>0.48470000000000002</v>
      </c>
      <c r="EJ24" s="231">
        <v>34423.74</v>
      </c>
      <c r="EK24" s="231">
        <v>13874.12</v>
      </c>
      <c r="EL24" s="231">
        <v>23270.65</v>
      </c>
      <c r="EM24" s="231">
        <v>11763</v>
      </c>
      <c r="EN24" s="231">
        <v>71568.509999999995</v>
      </c>
      <c r="EO24" s="231">
        <v>136476.44</v>
      </c>
      <c r="EP24" s="231">
        <v>-64907.93</v>
      </c>
      <c r="EQ24" s="229">
        <v>-0.47560000000000002</v>
      </c>
      <c r="ER24" s="231">
        <v>42922</v>
      </c>
      <c r="ES24" s="231">
        <v>35204</v>
      </c>
      <c r="ET24" s="231">
        <v>157837</v>
      </c>
      <c r="EU24" s="231">
        <v>142752962</v>
      </c>
      <c r="EV24" s="231">
        <v>235963</v>
      </c>
      <c r="EW24" s="231">
        <v>231053</v>
      </c>
      <c r="EX24" s="231">
        <v>4910</v>
      </c>
      <c r="EY24" s="229">
        <v>2.1299999999999999E-2</v>
      </c>
      <c r="EZ24" s="229">
        <v>0.99770000000000003</v>
      </c>
      <c r="FA24" s="227" t="s">
        <v>567</v>
      </c>
      <c r="FB24" s="161">
        <f t="shared" si="0"/>
        <v>4784400</v>
      </c>
    </row>
    <row r="25" spans="1:158" ht="17.25" hidden="1" thickBot="1" x14ac:dyDescent="0.3">
      <c r="A25" s="226">
        <v>45936</v>
      </c>
      <c r="B25" s="227" t="s">
        <v>172</v>
      </c>
      <c r="C25" s="227" t="s">
        <v>180</v>
      </c>
      <c r="D25" s="228">
        <v>2925</v>
      </c>
      <c r="E25" s="228">
        <v>267.60000000000002</v>
      </c>
      <c r="F25" s="228">
        <v>265.64999999999998</v>
      </c>
      <c r="G25" s="228">
        <v>1.95</v>
      </c>
      <c r="H25" s="229">
        <v>7.3000000000000001E-3</v>
      </c>
      <c r="I25" s="228">
        <v>266.60000000000002</v>
      </c>
      <c r="J25" s="228">
        <v>263.95</v>
      </c>
      <c r="K25" s="228">
        <v>2.65</v>
      </c>
      <c r="L25" s="229">
        <v>0.01</v>
      </c>
      <c r="M25" s="228">
        <v>267.60000000000002</v>
      </c>
      <c r="N25" s="228">
        <v>265.64999999999998</v>
      </c>
      <c r="O25" s="228">
        <v>1.95</v>
      </c>
      <c r="P25" s="229">
        <v>7.3000000000000001E-3</v>
      </c>
      <c r="Q25" s="228">
        <v>269</v>
      </c>
      <c r="R25" s="228">
        <v>267.05</v>
      </c>
      <c r="S25" s="228">
        <v>1.95</v>
      </c>
      <c r="T25" s="229">
        <v>7.3000000000000001E-3</v>
      </c>
      <c r="U25" s="228">
        <v>270.2</v>
      </c>
      <c r="V25" s="228">
        <v>268.45</v>
      </c>
      <c r="W25" s="228">
        <v>1.75</v>
      </c>
      <c r="X25" s="229">
        <v>6.4999999999999997E-3</v>
      </c>
      <c r="Y25" s="228">
        <v>1</v>
      </c>
      <c r="Z25" s="228">
        <v>1.7</v>
      </c>
      <c r="AA25" s="228">
        <v>-0.7</v>
      </c>
      <c r="AB25" s="229">
        <v>3.8E-3</v>
      </c>
      <c r="AC25" s="228">
        <v>1</v>
      </c>
      <c r="AD25" s="228">
        <v>1.7</v>
      </c>
      <c r="AE25" s="228">
        <v>-0.7</v>
      </c>
      <c r="AF25" s="229">
        <v>3.8E-3</v>
      </c>
      <c r="AG25" s="228">
        <v>2.4</v>
      </c>
      <c r="AH25" s="228">
        <v>3.1</v>
      </c>
      <c r="AI25" s="228">
        <v>-0.7</v>
      </c>
      <c r="AJ25" s="229">
        <v>8.9999999999999993E-3</v>
      </c>
      <c r="AK25" s="228">
        <v>3.6</v>
      </c>
      <c r="AL25" s="228">
        <v>4.5</v>
      </c>
      <c r="AM25" s="228">
        <v>-0.9</v>
      </c>
      <c r="AN25" s="229">
        <v>1.35E-2</v>
      </c>
      <c r="AO25" s="228">
        <v>268.86</v>
      </c>
      <c r="AP25" s="228">
        <v>270.33999999999997</v>
      </c>
      <c r="AQ25" s="228">
        <v>0</v>
      </c>
      <c r="AR25" s="230">
        <v>33619950</v>
      </c>
      <c r="AS25" s="230">
        <v>28817100</v>
      </c>
      <c r="AT25" s="230">
        <v>4802850</v>
      </c>
      <c r="AU25" s="229">
        <v>0.16669999999999999</v>
      </c>
      <c r="AV25" s="230">
        <v>32347575</v>
      </c>
      <c r="AW25" s="230">
        <v>27275625</v>
      </c>
      <c r="AX25" s="230">
        <v>5071950</v>
      </c>
      <c r="AY25" s="229">
        <v>0.186</v>
      </c>
      <c r="AZ25" s="230">
        <v>1082250</v>
      </c>
      <c r="BA25" s="230">
        <v>1398150</v>
      </c>
      <c r="BB25" s="230">
        <v>-315900</v>
      </c>
      <c r="BC25" s="229">
        <v>-0.22589999999999999</v>
      </c>
      <c r="BD25" s="230">
        <v>190125</v>
      </c>
      <c r="BE25" s="230">
        <v>143325</v>
      </c>
      <c r="BF25" s="230">
        <v>46800</v>
      </c>
      <c r="BG25" s="229">
        <v>0.32650000000000001</v>
      </c>
      <c r="BH25" s="230">
        <v>85088250</v>
      </c>
      <c r="BI25" s="230">
        <v>73657350</v>
      </c>
      <c r="BJ25" s="230">
        <v>11430900</v>
      </c>
      <c r="BK25" s="229">
        <v>0.1552</v>
      </c>
      <c r="BL25" s="230">
        <v>48388275</v>
      </c>
      <c r="BM25" s="230">
        <v>45062550</v>
      </c>
      <c r="BN25" s="230">
        <v>3325725</v>
      </c>
      <c r="BO25" s="229">
        <v>7.3800000000000004E-2</v>
      </c>
      <c r="BP25" s="230">
        <v>167096475</v>
      </c>
      <c r="BQ25" s="230">
        <v>147537000</v>
      </c>
      <c r="BR25" s="230">
        <v>19559475</v>
      </c>
      <c r="BS25" s="229">
        <v>0.1326</v>
      </c>
      <c r="BT25" s="230">
        <v>15233907</v>
      </c>
      <c r="BU25" s="230">
        <v>13390132</v>
      </c>
      <c r="BV25" s="230">
        <v>1843775</v>
      </c>
      <c r="BW25" s="229">
        <v>0.13769999999999999</v>
      </c>
      <c r="BX25" s="230">
        <v>131256450</v>
      </c>
      <c r="BY25" s="230">
        <v>131949675</v>
      </c>
      <c r="BZ25" s="230">
        <v>-693225</v>
      </c>
      <c r="CA25" s="229">
        <v>-5.3E-3</v>
      </c>
      <c r="CB25" s="230">
        <v>129112425</v>
      </c>
      <c r="CC25" s="230">
        <v>129881700</v>
      </c>
      <c r="CD25" s="230">
        <v>-769275</v>
      </c>
      <c r="CE25" s="229">
        <v>-5.8999999999999999E-3</v>
      </c>
      <c r="CF25" s="230">
        <v>1968525</v>
      </c>
      <c r="CG25" s="230">
        <v>1956825</v>
      </c>
      <c r="CH25" s="230">
        <v>11700</v>
      </c>
      <c r="CI25" s="229">
        <v>6.0000000000000001E-3</v>
      </c>
      <c r="CJ25" s="230">
        <v>175500</v>
      </c>
      <c r="CK25" s="230">
        <v>111150</v>
      </c>
      <c r="CL25" s="230">
        <v>64350</v>
      </c>
      <c r="CM25" s="229">
        <v>0.57889999999999997</v>
      </c>
      <c r="CN25" s="230">
        <v>32332950</v>
      </c>
      <c r="CO25" s="230">
        <v>28904850</v>
      </c>
      <c r="CP25" s="230">
        <v>3428100</v>
      </c>
      <c r="CQ25" s="229">
        <v>0.1186</v>
      </c>
      <c r="CR25" s="230">
        <v>29893500</v>
      </c>
      <c r="CS25" s="230">
        <v>28600650</v>
      </c>
      <c r="CT25" s="230">
        <v>1292850</v>
      </c>
      <c r="CU25" s="229">
        <v>4.5199999999999997E-2</v>
      </c>
      <c r="CV25" s="230">
        <v>193482900</v>
      </c>
      <c r="CW25" s="230">
        <v>189455175</v>
      </c>
      <c r="CX25" s="230">
        <v>4027725</v>
      </c>
      <c r="CY25" s="229">
        <v>2.1299999999999999E-2</v>
      </c>
      <c r="CZ25" s="228">
        <v>26.04</v>
      </c>
      <c r="DA25" s="228">
        <v>25.67</v>
      </c>
      <c r="DB25" s="228">
        <v>0.37</v>
      </c>
      <c r="DC25" s="228">
        <v>0.37</v>
      </c>
      <c r="DD25" s="228">
        <v>35.82</v>
      </c>
      <c r="DE25" s="228">
        <v>35.89</v>
      </c>
      <c r="DF25" s="228">
        <v>-9.7799999999999994</v>
      </c>
      <c r="DG25" s="228">
        <v>-7.0000000000000007E-2</v>
      </c>
      <c r="DH25" s="228">
        <v>25.89</v>
      </c>
      <c r="DI25" s="228">
        <v>25.21</v>
      </c>
      <c r="DJ25" s="228">
        <v>0.68</v>
      </c>
      <c r="DK25" s="228">
        <v>0.68</v>
      </c>
      <c r="DL25" s="228">
        <v>26.31</v>
      </c>
      <c r="DM25" s="228">
        <v>26.44</v>
      </c>
      <c r="DN25" s="228">
        <v>-0.13</v>
      </c>
      <c r="DO25" s="228">
        <v>-0.13</v>
      </c>
      <c r="DP25" s="228">
        <v>0.92</v>
      </c>
      <c r="DQ25" s="228">
        <v>0.99</v>
      </c>
      <c r="DR25" s="228">
        <v>-7.0000000000000007E-2</v>
      </c>
      <c r="DS25" s="229">
        <v>-7.0699999999999999E-2</v>
      </c>
      <c r="DT25" s="228">
        <v>270</v>
      </c>
      <c r="DU25" s="228">
        <v>240</v>
      </c>
      <c r="DV25" s="228">
        <v>0.56999999999999995</v>
      </c>
      <c r="DW25" s="228">
        <v>0.61</v>
      </c>
      <c r="DX25" s="228">
        <v>-0.04</v>
      </c>
      <c r="DY25" s="229">
        <v>-6.5600000000000006E-2</v>
      </c>
      <c r="DZ25" s="229">
        <v>1.6299999999999999E-2</v>
      </c>
      <c r="EA25" s="230">
        <v>2067975</v>
      </c>
      <c r="EB25" s="229">
        <v>5.1999999999999998E-3</v>
      </c>
      <c r="EC25" s="229">
        <v>1.6299999999999999E-2</v>
      </c>
      <c r="ED25" s="228">
        <v>1.48</v>
      </c>
      <c r="EE25" s="229">
        <v>5.4999999999999997E-3</v>
      </c>
      <c r="EF25" s="230">
        <v>7007460</v>
      </c>
      <c r="EG25" s="230">
        <v>6559187</v>
      </c>
      <c r="EH25" s="229">
        <v>6.83E-2</v>
      </c>
      <c r="EI25" s="229">
        <v>0.46</v>
      </c>
      <c r="EJ25" s="231">
        <v>236425.37</v>
      </c>
      <c r="EK25" s="231">
        <v>128749.03</v>
      </c>
      <c r="EL25" s="231">
        <v>90411.98</v>
      </c>
      <c r="EM25" s="231">
        <v>15011</v>
      </c>
      <c r="EN25" s="231">
        <v>455586.38</v>
      </c>
      <c r="EO25" s="231">
        <v>395755.51</v>
      </c>
      <c r="EP25" s="231">
        <v>59830.87</v>
      </c>
      <c r="EQ25" s="229">
        <v>0.1512</v>
      </c>
      <c r="ER25" s="231">
        <v>85941</v>
      </c>
      <c r="ES25" s="231">
        <v>75836</v>
      </c>
      <c r="ET25" s="231">
        <v>351274</v>
      </c>
      <c r="EU25" s="231">
        <v>257509827</v>
      </c>
      <c r="EV25" s="231">
        <v>513051</v>
      </c>
      <c r="EW25" s="231">
        <v>498994</v>
      </c>
      <c r="EX25" s="231">
        <v>14057</v>
      </c>
      <c r="EY25" s="229">
        <v>2.8199999999999999E-2</v>
      </c>
      <c r="EZ25" s="229">
        <v>0.75139999999999996</v>
      </c>
      <c r="FA25" s="227" t="s">
        <v>556</v>
      </c>
      <c r="FB25" s="161">
        <f t="shared" si="0"/>
        <v>2144025</v>
      </c>
    </row>
    <row r="26" spans="1:158" ht="17.25" hidden="1" thickBot="1" x14ac:dyDescent="0.3">
      <c r="A26" s="226">
        <v>45936</v>
      </c>
      <c r="B26" s="227" t="s">
        <v>172</v>
      </c>
      <c r="C26" s="227" t="s">
        <v>603</v>
      </c>
      <c r="D26" s="228">
        <v>5200</v>
      </c>
      <c r="E26" s="228">
        <v>126.86</v>
      </c>
      <c r="F26" s="228">
        <v>126.34</v>
      </c>
      <c r="G26" s="228">
        <v>0.52</v>
      </c>
      <c r="H26" s="229">
        <v>4.1000000000000003E-3</v>
      </c>
      <c r="I26" s="228">
        <v>126.04</v>
      </c>
      <c r="J26" s="228">
        <v>125.53</v>
      </c>
      <c r="K26" s="228">
        <v>0.51</v>
      </c>
      <c r="L26" s="229">
        <v>4.1000000000000003E-3</v>
      </c>
      <c r="M26" s="228">
        <v>126.86</v>
      </c>
      <c r="N26" s="228">
        <v>126.34</v>
      </c>
      <c r="O26" s="228">
        <v>0.52</v>
      </c>
      <c r="P26" s="229">
        <v>4.1000000000000003E-3</v>
      </c>
      <c r="Q26" s="228">
        <v>127.47</v>
      </c>
      <c r="R26" s="228">
        <v>126.99</v>
      </c>
      <c r="S26" s="228">
        <v>0.48</v>
      </c>
      <c r="T26" s="229">
        <v>3.8E-3</v>
      </c>
      <c r="U26" s="228">
        <v>128.02000000000001</v>
      </c>
      <c r="V26" s="228">
        <v>127.6</v>
      </c>
      <c r="W26" s="228">
        <v>0.42</v>
      </c>
      <c r="X26" s="229">
        <v>3.3E-3</v>
      </c>
      <c r="Y26" s="228">
        <v>0.82</v>
      </c>
      <c r="Z26" s="228">
        <v>0.81</v>
      </c>
      <c r="AA26" s="228">
        <v>0.01</v>
      </c>
      <c r="AB26" s="229">
        <v>6.4999999999999997E-3</v>
      </c>
      <c r="AC26" s="228">
        <v>0.82</v>
      </c>
      <c r="AD26" s="228">
        <v>0.81</v>
      </c>
      <c r="AE26" s="228">
        <v>0.01</v>
      </c>
      <c r="AF26" s="229">
        <v>6.4999999999999997E-3</v>
      </c>
      <c r="AG26" s="228">
        <v>1.43</v>
      </c>
      <c r="AH26" s="228">
        <v>1.46</v>
      </c>
      <c r="AI26" s="228">
        <v>-0.03</v>
      </c>
      <c r="AJ26" s="229">
        <v>1.1299999999999999E-2</v>
      </c>
      <c r="AK26" s="228">
        <v>1.98</v>
      </c>
      <c r="AL26" s="228">
        <v>2.0699999999999998</v>
      </c>
      <c r="AM26" s="228">
        <v>-0.09</v>
      </c>
      <c r="AN26" s="229">
        <v>1.5699999999999999E-2</v>
      </c>
      <c r="AO26" s="228">
        <v>126.05</v>
      </c>
      <c r="AP26" s="228">
        <v>126.84</v>
      </c>
      <c r="AQ26" s="228">
        <v>0</v>
      </c>
      <c r="AR26" s="230">
        <v>14710800</v>
      </c>
      <c r="AS26" s="230">
        <v>15927600</v>
      </c>
      <c r="AT26" s="230">
        <v>-1216800</v>
      </c>
      <c r="AU26" s="229">
        <v>-7.6399999999999996E-2</v>
      </c>
      <c r="AV26" s="230">
        <v>14008800</v>
      </c>
      <c r="AW26" s="230">
        <v>14918800</v>
      </c>
      <c r="AX26" s="230">
        <v>-910000</v>
      </c>
      <c r="AY26" s="229">
        <v>-6.0999999999999999E-2</v>
      </c>
      <c r="AZ26" s="230">
        <v>629200</v>
      </c>
      <c r="BA26" s="230">
        <v>884000</v>
      </c>
      <c r="BB26" s="230">
        <v>-254800</v>
      </c>
      <c r="BC26" s="229">
        <v>-0.28820000000000001</v>
      </c>
      <c r="BD26" s="230">
        <v>72800</v>
      </c>
      <c r="BE26" s="230">
        <v>124800</v>
      </c>
      <c r="BF26" s="230">
        <v>-52000</v>
      </c>
      <c r="BG26" s="229">
        <v>-0.41670000000000001</v>
      </c>
      <c r="BH26" s="230">
        <v>17212000</v>
      </c>
      <c r="BI26" s="230">
        <v>21689200</v>
      </c>
      <c r="BJ26" s="230">
        <v>-4477200</v>
      </c>
      <c r="BK26" s="229">
        <v>-0.2064</v>
      </c>
      <c r="BL26" s="230">
        <v>7545200</v>
      </c>
      <c r="BM26" s="230">
        <v>9994400</v>
      </c>
      <c r="BN26" s="230">
        <v>-2449200</v>
      </c>
      <c r="BO26" s="229">
        <v>-0.24510000000000001</v>
      </c>
      <c r="BP26" s="230">
        <v>39468000</v>
      </c>
      <c r="BQ26" s="230">
        <v>47611200</v>
      </c>
      <c r="BR26" s="230">
        <v>-8143200</v>
      </c>
      <c r="BS26" s="229">
        <v>-0.17100000000000001</v>
      </c>
      <c r="BT26" s="230">
        <v>7928835</v>
      </c>
      <c r="BU26" s="230">
        <v>9524372</v>
      </c>
      <c r="BV26" s="230">
        <v>-1595537</v>
      </c>
      <c r="BW26" s="229">
        <v>-0.16750000000000001</v>
      </c>
      <c r="BX26" s="230">
        <v>68260400</v>
      </c>
      <c r="BY26" s="230">
        <v>68016000</v>
      </c>
      <c r="BZ26" s="230">
        <v>244400</v>
      </c>
      <c r="CA26" s="229">
        <v>3.5999999999999999E-3</v>
      </c>
      <c r="CB26" s="230">
        <v>65988000</v>
      </c>
      <c r="CC26" s="230">
        <v>65785200</v>
      </c>
      <c r="CD26" s="230">
        <v>202800</v>
      </c>
      <c r="CE26" s="229">
        <v>3.0999999999999999E-3</v>
      </c>
      <c r="CF26" s="230">
        <v>2095600</v>
      </c>
      <c r="CG26" s="230">
        <v>2090400</v>
      </c>
      <c r="CH26" s="230">
        <v>5200</v>
      </c>
      <c r="CI26" s="229">
        <v>2.5000000000000001E-3</v>
      </c>
      <c r="CJ26" s="230">
        <v>176800</v>
      </c>
      <c r="CK26" s="230">
        <v>140400</v>
      </c>
      <c r="CL26" s="230">
        <v>36400</v>
      </c>
      <c r="CM26" s="229">
        <v>0.25929999999999997</v>
      </c>
      <c r="CN26" s="230">
        <v>18460000</v>
      </c>
      <c r="CO26" s="230">
        <v>18122000</v>
      </c>
      <c r="CP26" s="230">
        <v>338000</v>
      </c>
      <c r="CQ26" s="229">
        <v>1.8700000000000001E-2</v>
      </c>
      <c r="CR26" s="230">
        <v>13478400</v>
      </c>
      <c r="CS26" s="230">
        <v>13223600</v>
      </c>
      <c r="CT26" s="230">
        <v>254800</v>
      </c>
      <c r="CU26" s="229">
        <v>1.9300000000000001E-2</v>
      </c>
      <c r="CV26" s="230">
        <v>100198800</v>
      </c>
      <c r="CW26" s="230">
        <v>99361600</v>
      </c>
      <c r="CX26" s="230">
        <v>837200</v>
      </c>
      <c r="CY26" s="229">
        <v>8.3999999999999995E-3</v>
      </c>
      <c r="CZ26" s="228">
        <v>30.17</v>
      </c>
      <c r="DA26" s="228">
        <v>29.69</v>
      </c>
      <c r="DB26" s="228">
        <v>0.48</v>
      </c>
      <c r="DC26" s="228">
        <v>0.48</v>
      </c>
      <c r="DD26" s="228">
        <v>39.86</v>
      </c>
      <c r="DE26" s="228">
        <v>39.96</v>
      </c>
      <c r="DF26" s="228">
        <v>-9.69</v>
      </c>
      <c r="DG26" s="228">
        <v>-0.1</v>
      </c>
      <c r="DH26" s="228">
        <v>29.7</v>
      </c>
      <c r="DI26" s="228">
        <v>29.22</v>
      </c>
      <c r="DJ26" s="228">
        <v>0.48</v>
      </c>
      <c r="DK26" s="228">
        <v>0.48</v>
      </c>
      <c r="DL26" s="228">
        <v>31.24</v>
      </c>
      <c r="DM26" s="228">
        <v>30.71</v>
      </c>
      <c r="DN26" s="228">
        <v>0.53</v>
      </c>
      <c r="DO26" s="228">
        <v>0.53</v>
      </c>
      <c r="DP26" s="228">
        <v>0.73</v>
      </c>
      <c r="DQ26" s="228">
        <v>0.73</v>
      </c>
      <c r="DR26" s="228">
        <v>0</v>
      </c>
      <c r="DS26" s="229">
        <v>0</v>
      </c>
      <c r="DT26" s="228">
        <v>130</v>
      </c>
      <c r="DU26" s="228">
        <v>125</v>
      </c>
      <c r="DV26" s="228">
        <v>0.44</v>
      </c>
      <c r="DW26" s="228">
        <v>0.46</v>
      </c>
      <c r="DX26" s="228">
        <v>-0.02</v>
      </c>
      <c r="DY26" s="229">
        <v>-4.3499999999999997E-2</v>
      </c>
      <c r="DZ26" s="229">
        <v>3.3300000000000003E-2</v>
      </c>
      <c r="EA26" s="230">
        <v>2230800</v>
      </c>
      <c r="EB26" s="229">
        <v>4.7999999999999996E-3</v>
      </c>
      <c r="EC26" s="229">
        <v>3.3300000000000003E-2</v>
      </c>
      <c r="ED26" s="228">
        <v>0.79</v>
      </c>
      <c r="EE26" s="229">
        <v>6.3E-3</v>
      </c>
      <c r="EF26" s="230">
        <v>2937409</v>
      </c>
      <c r="EG26" s="230">
        <v>3468285</v>
      </c>
      <c r="EH26" s="229">
        <v>-0.15310000000000001</v>
      </c>
      <c r="EI26" s="229">
        <v>0.3705</v>
      </c>
      <c r="EJ26" s="231">
        <v>22574.2</v>
      </c>
      <c r="EK26" s="231">
        <v>9565.3700000000008</v>
      </c>
      <c r="EL26" s="231">
        <v>18548.72</v>
      </c>
      <c r="EM26" s="231">
        <v>5339</v>
      </c>
      <c r="EN26" s="231">
        <v>50688.29</v>
      </c>
      <c r="EO26" s="231">
        <v>60740.27</v>
      </c>
      <c r="EP26" s="231">
        <v>-10051.98</v>
      </c>
      <c r="EQ26" s="229">
        <v>-0.16550000000000001</v>
      </c>
      <c r="ER26" s="231">
        <v>23590</v>
      </c>
      <c r="ES26" s="231">
        <v>15818</v>
      </c>
      <c r="ET26" s="231">
        <v>86610</v>
      </c>
      <c r="EU26" s="231">
        <v>181770921</v>
      </c>
      <c r="EV26" s="231">
        <v>126018</v>
      </c>
      <c r="EW26" s="231">
        <v>124545</v>
      </c>
      <c r="EX26" s="231">
        <v>1473</v>
      </c>
      <c r="EY26" s="229">
        <v>1.18E-2</v>
      </c>
      <c r="EZ26" s="229">
        <v>0.55120000000000002</v>
      </c>
      <c r="FA26" s="227" t="s">
        <v>555</v>
      </c>
      <c r="FB26" s="161">
        <f t="shared" si="0"/>
        <v>2272400</v>
      </c>
    </row>
    <row r="27" spans="1:158" ht="17.25" hidden="1" thickBot="1" x14ac:dyDescent="0.3">
      <c r="A27" s="226">
        <v>45936</v>
      </c>
      <c r="B27" s="227" t="s">
        <v>181</v>
      </c>
      <c r="C27" s="227" t="s">
        <v>182</v>
      </c>
      <c r="D27" s="228">
        <v>35</v>
      </c>
      <c r="E27" s="231">
        <v>56297.8</v>
      </c>
      <c r="F27" s="231">
        <v>55854.2</v>
      </c>
      <c r="G27" s="228">
        <v>443.6</v>
      </c>
      <c r="H27" s="229">
        <v>7.9000000000000008E-3</v>
      </c>
      <c r="I27" s="231">
        <v>56104.85</v>
      </c>
      <c r="J27" s="231">
        <v>55589.25</v>
      </c>
      <c r="K27" s="228">
        <v>515.6</v>
      </c>
      <c r="L27" s="229">
        <v>9.2999999999999992E-3</v>
      </c>
      <c r="M27" s="231">
        <v>56297.8</v>
      </c>
      <c r="N27" s="231">
        <v>55854.2</v>
      </c>
      <c r="O27" s="228">
        <v>443.6</v>
      </c>
      <c r="P27" s="229">
        <v>7.9000000000000008E-3</v>
      </c>
      <c r="Q27" s="231">
        <v>56597.2</v>
      </c>
      <c r="R27" s="231">
        <v>56152.2</v>
      </c>
      <c r="S27" s="228">
        <v>445</v>
      </c>
      <c r="T27" s="229">
        <v>7.9000000000000008E-3</v>
      </c>
      <c r="U27" s="231">
        <v>56943.4</v>
      </c>
      <c r="V27" s="231">
        <v>56497.599999999999</v>
      </c>
      <c r="W27" s="228">
        <v>445.8</v>
      </c>
      <c r="X27" s="229">
        <v>7.9000000000000008E-3</v>
      </c>
      <c r="Y27" s="228">
        <v>192.95</v>
      </c>
      <c r="Z27" s="228">
        <v>264.95</v>
      </c>
      <c r="AA27" s="228">
        <v>-72</v>
      </c>
      <c r="AB27" s="229">
        <v>3.3999999999999998E-3</v>
      </c>
      <c r="AC27" s="228">
        <v>192.95</v>
      </c>
      <c r="AD27" s="228">
        <v>264.95</v>
      </c>
      <c r="AE27" s="228">
        <v>-72</v>
      </c>
      <c r="AF27" s="229">
        <v>3.3999999999999998E-3</v>
      </c>
      <c r="AG27" s="228">
        <v>492.35</v>
      </c>
      <c r="AH27" s="228">
        <v>562.95000000000005</v>
      </c>
      <c r="AI27" s="228">
        <v>-70.599999999999994</v>
      </c>
      <c r="AJ27" s="229">
        <v>8.8000000000000005E-3</v>
      </c>
      <c r="AK27" s="228">
        <v>838.55</v>
      </c>
      <c r="AL27" s="228">
        <v>908.35</v>
      </c>
      <c r="AM27" s="228">
        <v>-69.8</v>
      </c>
      <c r="AN27" s="229">
        <v>1.49E-2</v>
      </c>
      <c r="AO27" s="231">
        <v>56202.75</v>
      </c>
      <c r="AP27" s="231">
        <v>56496.23</v>
      </c>
      <c r="AQ27" s="228">
        <v>0</v>
      </c>
      <c r="AR27" s="230">
        <v>943530</v>
      </c>
      <c r="AS27" s="230">
        <v>726390</v>
      </c>
      <c r="AT27" s="230">
        <v>217140</v>
      </c>
      <c r="AU27" s="229">
        <v>0.2989</v>
      </c>
      <c r="AV27" s="230">
        <v>841540</v>
      </c>
      <c r="AW27" s="230">
        <v>650160</v>
      </c>
      <c r="AX27" s="230">
        <v>191380</v>
      </c>
      <c r="AY27" s="229">
        <v>0.2944</v>
      </c>
      <c r="AZ27" s="230">
        <v>65135</v>
      </c>
      <c r="BA27" s="230">
        <v>53165</v>
      </c>
      <c r="BB27" s="230">
        <v>11970</v>
      </c>
      <c r="BC27" s="229">
        <v>0.22509999999999999</v>
      </c>
      <c r="BD27" s="230">
        <v>36855</v>
      </c>
      <c r="BE27" s="230">
        <v>23065</v>
      </c>
      <c r="BF27" s="230">
        <v>13790</v>
      </c>
      <c r="BG27" s="229">
        <v>0.59789999999999999</v>
      </c>
      <c r="BH27" s="230">
        <v>49508060</v>
      </c>
      <c r="BI27" s="230">
        <v>42458255</v>
      </c>
      <c r="BJ27" s="230">
        <v>7049805</v>
      </c>
      <c r="BK27" s="229">
        <v>0.16600000000000001</v>
      </c>
      <c r="BL27" s="230">
        <v>43750105</v>
      </c>
      <c r="BM27" s="230">
        <v>38513965</v>
      </c>
      <c r="BN27" s="230">
        <v>5236140</v>
      </c>
      <c r="BO27" s="229">
        <v>0.13600000000000001</v>
      </c>
      <c r="BP27" s="230">
        <v>94201695</v>
      </c>
      <c r="BQ27" s="230">
        <v>81698610</v>
      </c>
      <c r="BR27" s="230">
        <v>12503085</v>
      </c>
      <c r="BS27" s="229">
        <v>0.153</v>
      </c>
      <c r="BT27" s="228">
        <v>0</v>
      </c>
      <c r="BU27" s="228">
        <v>0</v>
      </c>
      <c r="BV27" s="228">
        <v>0</v>
      </c>
      <c r="BW27" s="229">
        <v>0</v>
      </c>
      <c r="BX27" s="230">
        <v>2038925</v>
      </c>
      <c r="BY27" s="230">
        <v>2109065</v>
      </c>
      <c r="BZ27" s="230">
        <v>-70140</v>
      </c>
      <c r="CA27" s="229">
        <v>-3.3300000000000003E-2</v>
      </c>
      <c r="CB27" s="230">
        <v>1849260</v>
      </c>
      <c r="CC27" s="230">
        <v>1917125</v>
      </c>
      <c r="CD27" s="230">
        <v>-67865</v>
      </c>
      <c r="CE27" s="229">
        <v>-3.5400000000000001E-2</v>
      </c>
      <c r="CF27" s="230">
        <v>162015</v>
      </c>
      <c r="CG27" s="230">
        <v>162785</v>
      </c>
      <c r="CH27" s="228">
        <v>-770</v>
      </c>
      <c r="CI27" s="229">
        <v>-4.7000000000000002E-3</v>
      </c>
      <c r="CJ27" s="230">
        <v>27650</v>
      </c>
      <c r="CK27" s="230">
        <v>29155</v>
      </c>
      <c r="CL27" s="230">
        <v>-1505</v>
      </c>
      <c r="CM27" s="229">
        <v>-5.16E-2</v>
      </c>
      <c r="CN27" s="230">
        <v>15140890</v>
      </c>
      <c r="CO27" s="230">
        <v>13836475</v>
      </c>
      <c r="CP27" s="230">
        <v>1304415</v>
      </c>
      <c r="CQ27" s="229">
        <v>9.4299999999999995E-2</v>
      </c>
      <c r="CR27" s="230">
        <v>17096095</v>
      </c>
      <c r="CS27" s="230">
        <v>15945225</v>
      </c>
      <c r="CT27" s="230">
        <v>1150870</v>
      </c>
      <c r="CU27" s="229">
        <v>7.22E-2</v>
      </c>
      <c r="CV27" s="230">
        <v>34275910</v>
      </c>
      <c r="CW27" s="230">
        <v>31890765</v>
      </c>
      <c r="CX27" s="230">
        <v>2385145</v>
      </c>
      <c r="CY27" s="229">
        <v>7.4800000000000005E-2</v>
      </c>
      <c r="CZ27" s="228">
        <v>11.46</v>
      </c>
      <c r="DA27" s="228">
        <v>11.24</v>
      </c>
      <c r="DB27" s="228">
        <v>0.22</v>
      </c>
      <c r="DC27" s="228">
        <v>0.22</v>
      </c>
      <c r="DD27" s="228">
        <v>17.45</v>
      </c>
      <c r="DE27" s="228">
        <v>17.45</v>
      </c>
      <c r="DF27" s="228">
        <v>-5.99</v>
      </c>
      <c r="DG27" s="228">
        <v>0</v>
      </c>
      <c r="DH27" s="228">
        <v>10.45</v>
      </c>
      <c r="DI27" s="228">
        <v>10.35</v>
      </c>
      <c r="DJ27" s="228">
        <v>0.1</v>
      </c>
      <c r="DK27" s="228">
        <v>0.1</v>
      </c>
      <c r="DL27" s="228">
        <v>12.59</v>
      </c>
      <c r="DM27" s="228">
        <v>12.23</v>
      </c>
      <c r="DN27" s="228">
        <v>0.36</v>
      </c>
      <c r="DO27" s="228">
        <v>0.36</v>
      </c>
      <c r="DP27" s="228">
        <v>1.1299999999999999</v>
      </c>
      <c r="DQ27" s="228">
        <v>1.1499999999999999</v>
      </c>
      <c r="DR27" s="228">
        <v>-0.02</v>
      </c>
      <c r="DS27" s="229">
        <v>-1.7399999999999999E-2</v>
      </c>
      <c r="DT27" s="231">
        <v>57000</v>
      </c>
      <c r="DU27" s="231">
        <v>55000</v>
      </c>
      <c r="DV27" s="228">
        <v>0.88</v>
      </c>
      <c r="DW27" s="228">
        <v>0.91</v>
      </c>
      <c r="DX27" s="228">
        <v>-0.03</v>
      </c>
      <c r="DY27" s="229">
        <v>-3.3000000000000002E-2</v>
      </c>
      <c r="DZ27" s="229">
        <v>9.2999999999999999E-2</v>
      </c>
      <c r="EA27" s="230">
        <v>191940</v>
      </c>
      <c r="EB27" s="229">
        <v>5.3E-3</v>
      </c>
      <c r="EC27" s="229">
        <v>9.2999999999999999E-2</v>
      </c>
      <c r="ED27" s="228">
        <v>293.48</v>
      </c>
      <c r="EE27" s="229">
        <v>5.1999999999999998E-3</v>
      </c>
      <c r="EF27" s="228">
        <v>0</v>
      </c>
      <c r="EG27" s="228">
        <v>0</v>
      </c>
      <c r="EH27" s="229">
        <v>0</v>
      </c>
      <c r="EI27" s="229">
        <v>0</v>
      </c>
      <c r="EJ27" s="231">
        <v>28474028.899999999</v>
      </c>
      <c r="EK27" s="231">
        <v>23984873.629999999</v>
      </c>
      <c r="EL27" s="231">
        <v>530718.98</v>
      </c>
      <c r="EM27" s="228">
        <v>0</v>
      </c>
      <c r="EN27" s="231">
        <v>52989621.509999998</v>
      </c>
      <c r="EO27" s="231">
        <v>45637382.439999998</v>
      </c>
      <c r="EP27" s="231">
        <v>7352239.0700000003</v>
      </c>
      <c r="EQ27" s="229">
        <v>0.16109999999999999</v>
      </c>
      <c r="ER27" s="231">
        <v>8635193</v>
      </c>
      <c r="ES27" s="231">
        <v>9262513</v>
      </c>
      <c r="ET27" s="231">
        <v>1148533</v>
      </c>
      <c r="EU27" s="228">
        <v>0</v>
      </c>
      <c r="EV27" s="231">
        <v>19046239</v>
      </c>
      <c r="EW27" s="231">
        <v>17641689</v>
      </c>
      <c r="EX27" s="231">
        <v>1404550</v>
      </c>
      <c r="EY27" s="229">
        <v>7.9600000000000004E-2</v>
      </c>
      <c r="EZ27" s="229">
        <v>0</v>
      </c>
      <c r="FA27" s="227" t="s">
        <v>556</v>
      </c>
      <c r="FB27" s="161">
        <f t="shared" si="0"/>
        <v>189665</v>
      </c>
    </row>
    <row r="28" spans="1:158" ht="17.25" hidden="1" thickBot="1" x14ac:dyDescent="0.3">
      <c r="A28" s="226">
        <v>45936</v>
      </c>
      <c r="B28" s="227" t="s">
        <v>184</v>
      </c>
      <c r="C28" s="227" t="s">
        <v>673</v>
      </c>
      <c r="D28" s="228">
        <v>325</v>
      </c>
      <c r="E28" s="231">
        <v>1568.6</v>
      </c>
      <c r="F28" s="231">
        <v>1567.7</v>
      </c>
      <c r="G28" s="228">
        <v>0.9</v>
      </c>
      <c r="H28" s="229">
        <v>5.9999999999999995E-4</v>
      </c>
      <c r="I28" s="231">
        <v>1559.1</v>
      </c>
      <c r="J28" s="231">
        <v>1560.9</v>
      </c>
      <c r="K28" s="228">
        <v>-1.8</v>
      </c>
      <c r="L28" s="229">
        <v>-1.1999999999999999E-3</v>
      </c>
      <c r="M28" s="231">
        <v>1568.6</v>
      </c>
      <c r="N28" s="231">
        <v>1567.7</v>
      </c>
      <c r="O28" s="228">
        <v>0.9</v>
      </c>
      <c r="P28" s="229">
        <v>5.9999999999999995E-4</v>
      </c>
      <c r="Q28" s="231">
        <v>1576.5</v>
      </c>
      <c r="R28" s="231">
        <v>1575.2</v>
      </c>
      <c r="S28" s="228">
        <v>1.3</v>
      </c>
      <c r="T28" s="229">
        <v>8.0000000000000004E-4</v>
      </c>
      <c r="U28" s="231">
        <v>1583.7</v>
      </c>
      <c r="V28" s="231">
        <v>1584.8</v>
      </c>
      <c r="W28" s="228">
        <v>-1.1000000000000001</v>
      </c>
      <c r="X28" s="229">
        <v>-6.9999999999999999E-4</v>
      </c>
      <c r="Y28" s="228">
        <v>9.5</v>
      </c>
      <c r="Z28" s="228">
        <v>6.8</v>
      </c>
      <c r="AA28" s="228">
        <v>2.7</v>
      </c>
      <c r="AB28" s="229">
        <v>6.1000000000000004E-3</v>
      </c>
      <c r="AC28" s="228">
        <v>9.5</v>
      </c>
      <c r="AD28" s="228">
        <v>6.8</v>
      </c>
      <c r="AE28" s="228">
        <v>2.7</v>
      </c>
      <c r="AF28" s="229">
        <v>6.1000000000000004E-3</v>
      </c>
      <c r="AG28" s="228">
        <v>17.399999999999999</v>
      </c>
      <c r="AH28" s="228">
        <v>14.3</v>
      </c>
      <c r="AI28" s="228">
        <v>3.1</v>
      </c>
      <c r="AJ28" s="229">
        <v>1.12E-2</v>
      </c>
      <c r="AK28" s="228">
        <v>24.6</v>
      </c>
      <c r="AL28" s="228">
        <v>23.9</v>
      </c>
      <c r="AM28" s="228">
        <v>0.7</v>
      </c>
      <c r="AN28" s="229">
        <v>1.5800000000000002E-2</v>
      </c>
      <c r="AO28" s="231">
        <v>1569.69</v>
      </c>
      <c r="AP28" s="231">
        <v>1578.92</v>
      </c>
      <c r="AQ28" s="228">
        <v>0</v>
      </c>
      <c r="AR28" s="230">
        <v>868725</v>
      </c>
      <c r="AS28" s="230">
        <v>2058550</v>
      </c>
      <c r="AT28" s="230">
        <v>-1189825</v>
      </c>
      <c r="AU28" s="229">
        <v>-0.57799999999999996</v>
      </c>
      <c r="AV28" s="230">
        <v>829725</v>
      </c>
      <c r="AW28" s="230">
        <v>1990625</v>
      </c>
      <c r="AX28" s="230">
        <v>-1160900</v>
      </c>
      <c r="AY28" s="229">
        <v>-0.58320000000000005</v>
      </c>
      <c r="AZ28" s="230">
        <v>32825</v>
      </c>
      <c r="BA28" s="230">
        <v>57525</v>
      </c>
      <c r="BB28" s="230">
        <v>-24700</v>
      </c>
      <c r="BC28" s="229">
        <v>-0.4294</v>
      </c>
      <c r="BD28" s="230">
        <v>6175</v>
      </c>
      <c r="BE28" s="230">
        <v>10400</v>
      </c>
      <c r="BF28" s="230">
        <v>-4225</v>
      </c>
      <c r="BG28" s="229">
        <v>-0.40629999999999999</v>
      </c>
      <c r="BH28" s="230">
        <v>2554175</v>
      </c>
      <c r="BI28" s="230">
        <v>6530550</v>
      </c>
      <c r="BJ28" s="230">
        <v>-3976375</v>
      </c>
      <c r="BK28" s="229">
        <v>-0.6089</v>
      </c>
      <c r="BL28" s="230">
        <v>892775</v>
      </c>
      <c r="BM28" s="230">
        <v>2278900</v>
      </c>
      <c r="BN28" s="230">
        <v>-1386125</v>
      </c>
      <c r="BO28" s="229">
        <v>-0.60819999999999996</v>
      </c>
      <c r="BP28" s="230">
        <v>4315675</v>
      </c>
      <c r="BQ28" s="230">
        <v>10868000</v>
      </c>
      <c r="BR28" s="230">
        <v>-6552325</v>
      </c>
      <c r="BS28" s="229">
        <v>-0.60289999999999999</v>
      </c>
      <c r="BT28" s="230">
        <v>941037</v>
      </c>
      <c r="BU28" s="230">
        <v>1641547</v>
      </c>
      <c r="BV28" s="230">
        <v>-700510</v>
      </c>
      <c r="BW28" s="229">
        <v>-0.42670000000000002</v>
      </c>
      <c r="BX28" s="230">
        <v>4447300</v>
      </c>
      <c r="BY28" s="230">
        <v>4335175</v>
      </c>
      <c r="BZ28" s="230">
        <v>112125</v>
      </c>
      <c r="CA28" s="229">
        <v>2.5899999999999999E-2</v>
      </c>
      <c r="CB28" s="230">
        <v>4279600</v>
      </c>
      <c r="CC28" s="230">
        <v>4176575</v>
      </c>
      <c r="CD28" s="230">
        <v>103025</v>
      </c>
      <c r="CE28" s="229">
        <v>2.47E-2</v>
      </c>
      <c r="CF28" s="230">
        <v>149500</v>
      </c>
      <c r="CG28" s="230">
        <v>144625</v>
      </c>
      <c r="CH28" s="230">
        <v>4875</v>
      </c>
      <c r="CI28" s="229">
        <v>3.3700000000000001E-2</v>
      </c>
      <c r="CJ28" s="230">
        <v>18200</v>
      </c>
      <c r="CK28" s="230">
        <v>13975</v>
      </c>
      <c r="CL28" s="230">
        <v>4225</v>
      </c>
      <c r="CM28" s="229">
        <v>0.30230000000000001</v>
      </c>
      <c r="CN28" s="230">
        <v>2475525</v>
      </c>
      <c r="CO28" s="230">
        <v>2185950</v>
      </c>
      <c r="CP28" s="230">
        <v>289575</v>
      </c>
      <c r="CQ28" s="229">
        <v>0.13250000000000001</v>
      </c>
      <c r="CR28" s="230">
        <v>1620450</v>
      </c>
      <c r="CS28" s="230">
        <v>1620775</v>
      </c>
      <c r="CT28" s="228">
        <v>-325</v>
      </c>
      <c r="CU28" s="229">
        <v>-2.0000000000000001E-4</v>
      </c>
      <c r="CV28" s="230">
        <v>8543275</v>
      </c>
      <c r="CW28" s="230">
        <v>8141900</v>
      </c>
      <c r="CX28" s="230">
        <v>401375</v>
      </c>
      <c r="CY28" s="229">
        <v>4.9299999999999997E-2</v>
      </c>
      <c r="CZ28" s="228">
        <v>35.25</v>
      </c>
      <c r="DA28" s="228">
        <v>33.5</v>
      </c>
      <c r="DB28" s="228">
        <v>1.75</v>
      </c>
      <c r="DC28" s="228">
        <v>1.75</v>
      </c>
      <c r="DD28" s="228">
        <v>53.64</v>
      </c>
      <c r="DE28" s="228">
        <v>53.78</v>
      </c>
      <c r="DF28" s="228">
        <v>-18.39</v>
      </c>
      <c r="DG28" s="228">
        <v>-0.14000000000000001</v>
      </c>
      <c r="DH28" s="228">
        <v>35.21</v>
      </c>
      <c r="DI28" s="228">
        <v>33.409999999999997</v>
      </c>
      <c r="DJ28" s="228">
        <v>1.8</v>
      </c>
      <c r="DK28" s="228">
        <v>1.8</v>
      </c>
      <c r="DL28" s="228">
        <v>35.380000000000003</v>
      </c>
      <c r="DM28" s="228">
        <v>33.76</v>
      </c>
      <c r="DN28" s="228">
        <v>1.62</v>
      </c>
      <c r="DO28" s="228">
        <v>1.62</v>
      </c>
      <c r="DP28" s="228">
        <v>0.65</v>
      </c>
      <c r="DQ28" s="228">
        <v>0.74</v>
      </c>
      <c r="DR28" s="228">
        <v>-0.09</v>
      </c>
      <c r="DS28" s="229">
        <v>-0.1216</v>
      </c>
      <c r="DT28" s="231">
        <v>1600</v>
      </c>
      <c r="DU28" s="231">
        <v>1500</v>
      </c>
      <c r="DV28" s="228">
        <v>0.35</v>
      </c>
      <c r="DW28" s="228">
        <v>0.35</v>
      </c>
      <c r="DX28" s="228">
        <v>0</v>
      </c>
      <c r="DY28" s="229">
        <v>0</v>
      </c>
      <c r="DZ28" s="229">
        <v>3.7699999999999997E-2</v>
      </c>
      <c r="EA28" s="230">
        <v>158600</v>
      </c>
      <c r="EB28" s="229">
        <v>5.0000000000000001E-3</v>
      </c>
      <c r="EC28" s="229">
        <v>3.7699999999999997E-2</v>
      </c>
      <c r="ED28" s="228">
        <v>9.23</v>
      </c>
      <c r="EE28" s="229">
        <v>5.8999999999999999E-3</v>
      </c>
      <c r="EF28" s="230">
        <v>350154</v>
      </c>
      <c r="EG28" s="230">
        <v>482534</v>
      </c>
      <c r="EH28" s="229">
        <v>-0.27429999999999999</v>
      </c>
      <c r="EI28" s="229">
        <v>0.37209999999999999</v>
      </c>
      <c r="EJ28" s="231">
        <v>42211.519999999997</v>
      </c>
      <c r="EK28" s="231">
        <v>13528.25</v>
      </c>
      <c r="EL28" s="231">
        <v>13640.24</v>
      </c>
      <c r="EM28" s="231">
        <v>8108</v>
      </c>
      <c r="EN28" s="231">
        <v>69380.009999999995</v>
      </c>
      <c r="EO28" s="231">
        <v>175690.14</v>
      </c>
      <c r="EP28" s="231">
        <v>-106310.13</v>
      </c>
      <c r="EQ28" s="229">
        <v>-0.60509999999999997</v>
      </c>
      <c r="ER28" s="231">
        <v>40493</v>
      </c>
      <c r="ES28" s="231">
        <v>24459</v>
      </c>
      <c r="ET28" s="231">
        <v>69775</v>
      </c>
      <c r="EU28" s="231">
        <v>13786716</v>
      </c>
      <c r="EV28" s="231">
        <v>134727</v>
      </c>
      <c r="EW28" s="231">
        <v>128100</v>
      </c>
      <c r="EX28" s="231">
        <v>6627</v>
      </c>
      <c r="EY28" s="229">
        <v>5.1700000000000003E-2</v>
      </c>
      <c r="EZ28" s="229">
        <v>0.61970000000000003</v>
      </c>
      <c r="FA28" s="227" t="s">
        <v>555</v>
      </c>
      <c r="FB28" s="161">
        <f t="shared" si="0"/>
        <v>167700</v>
      </c>
    </row>
    <row r="29" spans="1:158" ht="17.25" thickBot="1" x14ac:dyDescent="0.3">
      <c r="A29" s="226">
        <v>45936</v>
      </c>
      <c r="B29" s="227" t="s">
        <v>184</v>
      </c>
      <c r="C29" s="227" t="s">
        <v>185</v>
      </c>
      <c r="D29" s="228">
        <v>2850</v>
      </c>
      <c r="E29" s="228">
        <v>415.55</v>
      </c>
      <c r="F29" s="228">
        <v>415.15</v>
      </c>
      <c r="G29" s="228">
        <v>0.4</v>
      </c>
      <c r="H29" s="229">
        <v>1E-3</v>
      </c>
      <c r="I29" s="228">
        <v>413.25</v>
      </c>
      <c r="J29" s="228">
        <v>412.65</v>
      </c>
      <c r="K29" s="228">
        <v>0.6</v>
      </c>
      <c r="L29" s="229">
        <v>1.5E-3</v>
      </c>
      <c r="M29" s="228">
        <v>415.55</v>
      </c>
      <c r="N29" s="228">
        <v>415.15</v>
      </c>
      <c r="O29" s="228">
        <v>0.4</v>
      </c>
      <c r="P29" s="229">
        <v>1E-3</v>
      </c>
      <c r="Q29" s="228">
        <v>417.75</v>
      </c>
      <c r="R29" s="228">
        <v>417.35</v>
      </c>
      <c r="S29" s="228">
        <v>0.4</v>
      </c>
      <c r="T29" s="229">
        <v>1E-3</v>
      </c>
      <c r="U29" s="228">
        <v>420.15</v>
      </c>
      <c r="V29" s="228">
        <v>419.75</v>
      </c>
      <c r="W29" s="228">
        <v>0.4</v>
      </c>
      <c r="X29" s="229">
        <v>1E-3</v>
      </c>
      <c r="Y29" s="228">
        <v>2.2999999999999998</v>
      </c>
      <c r="Z29" s="228">
        <v>2.5</v>
      </c>
      <c r="AA29" s="228">
        <v>-0.2</v>
      </c>
      <c r="AB29" s="229">
        <v>5.5999999999999999E-3</v>
      </c>
      <c r="AC29" s="228">
        <v>2.2999999999999998</v>
      </c>
      <c r="AD29" s="228">
        <v>2.5</v>
      </c>
      <c r="AE29" s="228">
        <v>-0.2</v>
      </c>
      <c r="AF29" s="229">
        <v>5.5999999999999999E-3</v>
      </c>
      <c r="AG29" s="228">
        <v>4.5</v>
      </c>
      <c r="AH29" s="228">
        <v>4.7</v>
      </c>
      <c r="AI29" s="228">
        <v>-0.2</v>
      </c>
      <c r="AJ29" s="229">
        <v>1.09E-2</v>
      </c>
      <c r="AK29" s="228">
        <v>6.9</v>
      </c>
      <c r="AL29" s="228">
        <v>7.1</v>
      </c>
      <c r="AM29" s="228">
        <v>-0.2</v>
      </c>
      <c r="AN29" s="229">
        <v>1.67E-2</v>
      </c>
      <c r="AO29" s="228">
        <v>413.48</v>
      </c>
      <c r="AP29" s="228">
        <v>415.58</v>
      </c>
      <c r="AQ29" s="228">
        <v>0</v>
      </c>
      <c r="AR29" s="230">
        <v>22554900</v>
      </c>
      <c r="AS29" s="230">
        <v>26068950</v>
      </c>
      <c r="AT29" s="230">
        <v>-3514050</v>
      </c>
      <c r="AU29" s="229">
        <v>-0.1348</v>
      </c>
      <c r="AV29" s="230">
        <v>20474400</v>
      </c>
      <c r="AW29" s="230">
        <v>23449800</v>
      </c>
      <c r="AX29" s="230">
        <v>-2975400</v>
      </c>
      <c r="AY29" s="229">
        <v>-0.12690000000000001</v>
      </c>
      <c r="AZ29" s="230">
        <v>1692900</v>
      </c>
      <c r="BA29" s="230">
        <v>2066250</v>
      </c>
      <c r="BB29" s="230">
        <v>-373350</v>
      </c>
      <c r="BC29" s="229">
        <v>-0.1807</v>
      </c>
      <c r="BD29" s="230">
        <v>387600</v>
      </c>
      <c r="BE29" s="230">
        <v>552900</v>
      </c>
      <c r="BF29" s="230">
        <v>-165300</v>
      </c>
      <c r="BG29" s="229">
        <v>-0.29899999999999999</v>
      </c>
      <c r="BH29" s="230">
        <v>72486900</v>
      </c>
      <c r="BI29" s="230">
        <v>101810550</v>
      </c>
      <c r="BJ29" s="230">
        <v>-29323650</v>
      </c>
      <c r="BK29" s="229">
        <v>-0.28799999999999998</v>
      </c>
      <c r="BL29" s="230">
        <v>36465750</v>
      </c>
      <c r="BM29" s="230">
        <v>47443950</v>
      </c>
      <c r="BN29" s="230">
        <v>-10978200</v>
      </c>
      <c r="BO29" s="229">
        <v>-0.23139999999999999</v>
      </c>
      <c r="BP29" s="230">
        <v>131507550</v>
      </c>
      <c r="BQ29" s="230">
        <v>175323450</v>
      </c>
      <c r="BR29" s="230">
        <v>-43815900</v>
      </c>
      <c r="BS29" s="229">
        <v>-0.24990000000000001</v>
      </c>
      <c r="BT29" s="230">
        <v>15217057</v>
      </c>
      <c r="BU29" s="230">
        <v>17348314</v>
      </c>
      <c r="BV29" s="230">
        <v>-2131257</v>
      </c>
      <c r="BW29" s="229">
        <v>-0.1229</v>
      </c>
      <c r="BX29" s="230">
        <v>106219500</v>
      </c>
      <c r="BY29" s="230">
        <v>106444650</v>
      </c>
      <c r="BZ29" s="230">
        <v>-225150</v>
      </c>
      <c r="CA29" s="229">
        <v>-2.0999999999999999E-3</v>
      </c>
      <c r="CB29" s="230">
        <v>101337450</v>
      </c>
      <c r="CC29" s="230">
        <v>101970150</v>
      </c>
      <c r="CD29" s="230">
        <v>-632700</v>
      </c>
      <c r="CE29" s="229">
        <v>-6.1999999999999998E-3</v>
      </c>
      <c r="CF29" s="230">
        <v>4312050</v>
      </c>
      <c r="CG29" s="230">
        <v>4055550</v>
      </c>
      <c r="CH29" s="230">
        <v>256500</v>
      </c>
      <c r="CI29" s="229">
        <v>6.3200000000000006E-2</v>
      </c>
      <c r="CJ29" s="230">
        <v>570000</v>
      </c>
      <c r="CK29" s="230">
        <v>418950</v>
      </c>
      <c r="CL29" s="230">
        <v>151050</v>
      </c>
      <c r="CM29" s="229">
        <v>0.36049999999999999</v>
      </c>
      <c r="CN29" s="230">
        <v>49835100</v>
      </c>
      <c r="CO29" s="230">
        <v>47158950</v>
      </c>
      <c r="CP29" s="230">
        <v>2676150</v>
      </c>
      <c r="CQ29" s="229">
        <v>5.67E-2</v>
      </c>
      <c r="CR29" s="230">
        <v>35391300</v>
      </c>
      <c r="CS29" s="230">
        <v>33068550</v>
      </c>
      <c r="CT29" s="230">
        <v>2322750</v>
      </c>
      <c r="CU29" s="229">
        <v>7.0199999999999999E-2</v>
      </c>
      <c r="CV29" s="230">
        <v>191445900</v>
      </c>
      <c r="CW29" s="230">
        <v>186672150</v>
      </c>
      <c r="CX29" s="230">
        <v>4773750</v>
      </c>
      <c r="CY29" s="229">
        <v>2.5600000000000001E-2</v>
      </c>
      <c r="CZ29" s="228">
        <v>25.9</v>
      </c>
      <c r="DA29" s="228">
        <v>25.32</v>
      </c>
      <c r="DB29" s="228">
        <v>0.57999999999999996</v>
      </c>
      <c r="DC29" s="228">
        <v>0.57999999999999996</v>
      </c>
      <c r="DD29" s="228">
        <v>38.1</v>
      </c>
      <c r="DE29" s="228">
        <v>38.19</v>
      </c>
      <c r="DF29" s="228">
        <v>-12.2</v>
      </c>
      <c r="DG29" s="228">
        <v>-0.09</v>
      </c>
      <c r="DH29" s="228">
        <v>25.75</v>
      </c>
      <c r="DI29" s="228">
        <v>25.13</v>
      </c>
      <c r="DJ29" s="228">
        <v>0.62</v>
      </c>
      <c r="DK29" s="228">
        <v>0.62</v>
      </c>
      <c r="DL29" s="228">
        <v>26.2</v>
      </c>
      <c r="DM29" s="228">
        <v>25.72</v>
      </c>
      <c r="DN29" s="228">
        <v>0.48</v>
      </c>
      <c r="DO29" s="228">
        <v>0.48</v>
      </c>
      <c r="DP29" s="228">
        <v>0.71</v>
      </c>
      <c r="DQ29" s="228">
        <v>0.7</v>
      </c>
      <c r="DR29" s="228">
        <v>0.01</v>
      </c>
      <c r="DS29" s="229">
        <v>1.43E-2</v>
      </c>
      <c r="DT29" s="228">
        <v>420</v>
      </c>
      <c r="DU29" s="228">
        <v>400</v>
      </c>
      <c r="DV29" s="228">
        <v>0.5</v>
      </c>
      <c r="DW29" s="228">
        <v>0.47</v>
      </c>
      <c r="DX29" s="228">
        <v>0.03</v>
      </c>
      <c r="DY29" s="229">
        <v>6.3799999999999996E-2</v>
      </c>
      <c r="DZ29" s="229">
        <v>4.5999999999999999E-2</v>
      </c>
      <c r="EA29" s="230">
        <v>4474500</v>
      </c>
      <c r="EB29" s="229">
        <v>5.3E-3</v>
      </c>
      <c r="EC29" s="229">
        <v>4.5999999999999999E-2</v>
      </c>
      <c r="ED29" s="228">
        <v>2.1</v>
      </c>
      <c r="EE29" s="229">
        <v>5.1000000000000004E-3</v>
      </c>
      <c r="EF29" s="230">
        <v>8305204</v>
      </c>
      <c r="EG29" s="230">
        <v>9568772</v>
      </c>
      <c r="EH29" s="229">
        <v>-0.1321</v>
      </c>
      <c r="EI29" s="229">
        <v>0.54579999999999995</v>
      </c>
      <c r="EJ29" s="231">
        <v>312391.82</v>
      </c>
      <c r="EK29" s="231">
        <v>147830.57999999999</v>
      </c>
      <c r="EL29" s="231">
        <v>93315.01</v>
      </c>
      <c r="EM29" s="231">
        <v>14754</v>
      </c>
      <c r="EN29" s="231">
        <v>553537.41</v>
      </c>
      <c r="EO29" s="231">
        <v>739994.64</v>
      </c>
      <c r="EP29" s="231">
        <v>-186457.23</v>
      </c>
      <c r="EQ29" s="229">
        <v>-0.252</v>
      </c>
      <c r="ER29" s="231">
        <v>211593</v>
      </c>
      <c r="ES29" s="231">
        <v>139385</v>
      </c>
      <c r="ET29" s="231">
        <v>441516</v>
      </c>
      <c r="EU29" s="231">
        <v>535778534</v>
      </c>
      <c r="EV29" s="231">
        <v>792494</v>
      </c>
      <c r="EW29" s="231">
        <v>771788</v>
      </c>
      <c r="EX29" s="231">
        <v>20706</v>
      </c>
      <c r="EY29" s="229">
        <v>2.6800000000000001E-2</v>
      </c>
      <c r="EZ29" s="229">
        <v>0.35730000000000001</v>
      </c>
      <c r="FA29" s="227" t="s">
        <v>556</v>
      </c>
      <c r="FB29" s="161">
        <f t="shared" si="0"/>
        <v>4882050</v>
      </c>
    </row>
    <row r="30" spans="1:158" ht="17.25" hidden="1" thickBot="1" x14ac:dyDescent="0.3">
      <c r="A30" s="226">
        <v>45936</v>
      </c>
      <c r="B30" s="227" t="s">
        <v>162</v>
      </c>
      <c r="C30" s="227" t="s">
        <v>187</v>
      </c>
      <c r="D30" s="228">
        <v>500</v>
      </c>
      <c r="E30" s="231">
        <v>1229.5999999999999</v>
      </c>
      <c r="F30" s="231">
        <v>1221.0999999999999</v>
      </c>
      <c r="G30" s="228">
        <v>8.5</v>
      </c>
      <c r="H30" s="229">
        <v>7.0000000000000001E-3</v>
      </c>
      <c r="I30" s="231">
        <v>1234.5999999999999</v>
      </c>
      <c r="J30" s="231">
        <v>1220.2</v>
      </c>
      <c r="K30" s="228">
        <v>14.4</v>
      </c>
      <c r="L30" s="229">
        <v>1.18E-2</v>
      </c>
      <c r="M30" s="231">
        <v>1229.5999999999999</v>
      </c>
      <c r="N30" s="231">
        <v>1221.0999999999999</v>
      </c>
      <c r="O30" s="228">
        <v>8.5</v>
      </c>
      <c r="P30" s="229">
        <v>7.0000000000000001E-3</v>
      </c>
      <c r="Q30" s="231">
        <v>1229.2</v>
      </c>
      <c r="R30" s="231">
        <v>1220.9000000000001</v>
      </c>
      <c r="S30" s="228">
        <v>8.3000000000000007</v>
      </c>
      <c r="T30" s="229">
        <v>6.7999999999999996E-3</v>
      </c>
      <c r="U30" s="231">
        <v>1231.4000000000001</v>
      </c>
      <c r="V30" s="231">
        <v>1217</v>
      </c>
      <c r="W30" s="228">
        <v>14.4</v>
      </c>
      <c r="X30" s="229">
        <v>1.18E-2</v>
      </c>
      <c r="Y30" s="228">
        <v>-5</v>
      </c>
      <c r="Z30" s="228">
        <v>0.9</v>
      </c>
      <c r="AA30" s="228">
        <v>-5.9</v>
      </c>
      <c r="AB30" s="229">
        <v>-4.0000000000000001E-3</v>
      </c>
      <c r="AC30" s="228">
        <v>-5</v>
      </c>
      <c r="AD30" s="228">
        <v>0.9</v>
      </c>
      <c r="AE30" s="228">
        <v>-5.9</v>
      </c>
      <c r="AF30" s="229">
        <v>-4.0000000000000001E-3</v>
      </c>
      <c r="AG30" s="228">
        <v>-5.4</v>
      </c>
      <c r="AH30" s="228">
        <v>0.7</v>
      </c>
      <c r="AI30" s="228">
        <v>-6.1</v>
      </c>
      <c r="AJ30" s="229">
        <v>-4.4000000000000003E-3</v>
      </c>
      <c r="AK30" s="228">
        <v>-3.2</v>
      </c>
      <c r="AL30" s="228">
        <v>-3.2</v>
      </c>
      <c r="AM30" s="228">
        <v>0</v>
      </c>
      <c r="AN30" s="229">
        <v>-2.5999999999999999E-3</v>
      </c>
      <c r="AO30" s="231">
        <v>1223.6500000000001</v>
      </c>
      <c r="AP30" s="231">
        <v>1226.5899999999999</v>
      </c>
      <c r="AQ30" s="228">
        <v>0</v>
      </c>
      <c r="AR30" s="230">
        <v>1559000</v>
      </c>
      <c r="AS30" s="230">
        <v>1148000</v>
      </c>
      <c r="AT30" s="230">
        <v>411000</v>
      </c>
      <c r="AU30" s="229">
        <v>0.35799999999999998</v>
      </c>
      <c r="AV30" s="230">
        <v>1423000</v>
      </c>
      <c r="AW30" s="230">
        <v>1093000</v>
      </c>
      <c r="AX30" s="230">
        <v>330000</v>
      </c>
      <c r="AY30" s="229">
        <v>0.3019</v>
      </c>
      <c r="AZ30" s="230">
        <v>131500</v>
      </c>
      <c r="BA30" s="230">
        <v>53500</v>
      </c>
      <c r="BB30" s="230">
        <v>78000</v>
      </c>
      <c r="BC30" s="229">
        <v>1.4579</v>
      </c>
      <c r="BD30" s="230">
        <v>4500</v>
      </c>
      <c r="BE30" s="230">
        <v>1500</v>
      </c>
      <c r="BF30" s="230">
        <v>3000</v>
      </c>
      <c r="BG30" s="229">
        <v>2</v>
      </c>
      <c r="BH30" s="230">
        <v>3553500</v>
      </c>
      <c r="BI30" s="230">
        <v>2580000</v>
      </c>
      <c r="BJ30" s="230">
        <v>973500</v>
      </c>
      <c r="BK30" s="229">
        <v>0.37730000000000002</v>
      </c>
      <c r="BL30" s="230">
        <v>1069500</v>
      </c>
      <c r="BM30" s="230">
        <v>860000</v>
      </c>
      <c r="BN30" s="230">
        <v>209500</v>
      </c>
      <c r="BO30" s="229">
        <v>0.24360000000000001</v>
      </c>
      <c r="BP30" s="230">
        <v>6182000</v>
      </c>
      <c r="BQ30" s="230">
        <v>4588000</v>
      </c>
      <c r="BR30" s="230">
        <v>1594000</v>
      </c>
      <c r="BS30" s="229">
        <v>0.34739999999999999</v>
      </c>
      <c r="BT30" s="230">
        <v>333789</v>
      </c>
      <c r="BU30" s="230">
        <v>967811</v>
      </c>
      <c r="BV30" s="230">
        <v>-634022</v>
      </c>
      <c r="BW30" s="229">
        <v>-0.65510000000000002</v>
      </c>
      <c r="BX30" s="230">
        <v>10402000</v>
      </c>
      <c r="BY30" s="230">
        <v>10173000</v>
      </c>
      <c r="BZ30" s="230">
        <v>229000</v>
      </c>
      <c r="CA30" s="229">
        <v>2.2499999999999999E-2</v>
      </c>
      <c r="CB30" s="230">
        <v>10168500</v>
      </c>
      <c r="CC30" s="230">
        <v>9989000</v>
      </c>
      <c r="CD30" s="230">
        <v>179500</v>
      </c>
      <c r="CE30" s="229">
        <v>1.7999999999999999E-2</v>
      </c>
      <c r="CF30" s="230">
        <v>225000</v>
      </c>
      <c r="CG30" s="230">
        <v>178500</v>
      </c>
      <c r="CH30" s="230">
        <v>46500</v>
      </c>
      <c r="CI30" s="229">
        <v>0.26050000000000001</v>
      </c>
      <c r="CJ30" s="230">
        <v>8500</v>
      </c>
      <c r="CK30" s="230">
        <v>5500</v>
      </c>
      <c r="CL30" s="230">
        <v>3000</v>
      </c>
      <c r="CM30" s="229">
        <v>0.54549999999999998</v>
      </c>
      <c r="CN30" s="230">
        <v>2349500</v>
      </c>
      <c r="CO30" s="230">
        <v>2079500</v>
      </c>
      <c r="CP30" s="230">
        <v>270000</v>
      </c>
      <c r="CQ30" s="229">
        <v>0.1298</v>
      </c>
      <c r="CR30" s="230">
        <v>1752500</v>
      </c>
      <c r="CS30" s="230">
        <v>1642500</v>
      </c>
      <c r="CT30" s="230">
        <v>110000</v>
      </c>
      <c r="CU30" s="229">
        <v>6.7000000000000004E-2</v>
      </c>
      <c r="CV30" s="230">
        <v>14504000</v>
      </c>
      <c r="CW30" s="230">
        <v>13895000</v>
      </c>
      <c r="CX30" s="230">
        <v>609000</v>
      </c>
      <c r="CY30" s="229">
        <v>4.3799999999999999E-2</v>
      </c>
      <c r="CZ30" s="228">
        <v>27.67</v>
      </c>
      <c r="DA30" s="228">
        <v>26.92</v>
      </c>
      <c r="DB30" s="228">
        <v>0.75</v>
      </c>
      <c r="DC30" s="228">
        <v>0.75</v>
      </c>
      <c r="DD30" s="228">
        <v>38.729999999999997</v>
      </c>
      <c r="DE30" s="228">
        <v>38.82</v>
      </c>
      <c r="DF30" s="228">
        <v>-11.06</v>
      </c>
      <c r="DG30" s="228">
        <v>-0.09</v>
      </c>
      <c r="DH30" s="228">
        <v>27.65</v>
      </c>
      <c r="DI30" s="228">
        <v>26.71</v>
      </c>
      <c r="DJ30" s="228">
        <v>0.94</v>
      </c>
      <c r="DK30" s="228">
        <v>0.94</v>
      </c>
      <c r="DL30" s="228">
        <v>27.75</v>
      </c>
      <c r="DM30" s="228">
        <v>27.55</v>
      </c>
      <c r="DN30" s="228">
        <v>0.2</v>
      </c>
      <c r="DO30" s="228">
        <v>0.2</v>
      </c>
      <c r="DP30" s="228">
        <v>0.75</v>
      </c>
      <c r="DQ30" s="228">
        <v>0.79</v>
      </c>
      <c r="DR30" s="228">
        <v>-0.04</v>
      </c>
      <c r="DS30" s="229">
        <v>-5.0599999999999999E-2</v>
      </c>
      <c r="DT30" s="231">
        <v>1220</v>
      </c>
      <c r="DU30" s="231">
        <v>1200</v>
      </c>
      <c r="DV30" s="228">
        <v>0.3</v>
      </c>
      <c r="DW30" s="228">
        <v>0.33</v>
      </c>
      <c r="DX30" s="228">
        <v>-0.03</v>
      </c>
      <c r="DY30" s="229">
        <v>-9.0899999999999995E-2</v>
      </c>
      <c r="DZ30" s="229">
        <v>2.24E-2</v>
      </c>
      <c r="EA30" s="230">
        <v>184000</v>
      </c>
      <c r="EB30" s="229">
        <v>-2.9999999999999997E-4</v>
      </c>
      <c r="EC30" s="229">
        <v>2.24E-2</v>
      </c>
      <c r="ED30" s="228">
        <v>2.94</v>
      </c>
      <c r="EE30" s="229">
        <v>2.3999999999999998E-3</v>
      </c>
      <c r="EF30" s="230">
        <v>131023</v>
      </c>
      <c r="EG30" s="230">
        <v>709071</v>
      </c>
      <c r="EH30" s="229">
        <v>-0.81520000000000004</v>
      </c>
      <c r="EI30" s="229">
        <v>0.39250000000000002</v>
      </c>
      <c r="EJ30" s="231">
        <v>45519.64</v>
      </c>
      <c r="EK30" s="231">
        <v>13057.54</v>
      </c>
      <c r="EL30" s="231">
        <v>19080.79</v>
      </c>
      <c r="EM30" s="231">
        <v>10207</v>
      </c>
      <c r="EN30" s="231">
        <v>77657.97</v>
      </c>
      <c r="EO30" s="231">
        <v>57184.12</v>
      </c>
      <c r="EP30" s="231">
        <v>20473.849999999999</v>
      </c>
      <c r="EQ30" s="229">
        <v>0.35799999999999998</v>
      </c>
      <c r="ER30" s="231">
        <v>29672</v>
      </c>
      <c r="ES30" s="231">
        <v>20831</v>
      </c>
      <c r="ET30" s="231">
        <v>127902</v>
      </c>
      <c r="EU30" s="231">
        <v>35155737</v>
      </c>
      <c r="EV30" s="231">
        <v>178405</v>
      </c>
      <c r="EW30" s="231">
        <v>169902</v>
      </c>
      <c r="EX30" s="231">
        <v>8503</v>
      </c>
      <c r="EY30" s="229">
        <v>0.05</v>
      </c>
      <c r="EZ30" s="229">
        <v>0.41260000000000002</v>
      </c>
      <c r="FA30" s="227" t="s">
        <v>555</v>
      </c>
      <c r="FB30" s="161">
        <f t="shared" si="0"/>
        <v>233500</v>
      </c>
    </row>
    <row r="31" spans="1:158" ht="17.25" hidden="1" thickBot="1" x14ac:dyDescent="0.3">
      <c r="A31" s="226">
        <v>45936</v>
      </c>
      <c r="B31" s="227" t="s">
        <v>188</v>
      </c>
      <c r="C31" s="227" t="s">
        <v>189</v>
      </c>
      <c r="D31" s="228">
        <v>475</v>
      </c>
      <c r="E31" s="231">
        <v>1912.2</v>
      </c>
      <c r="F31" s="231">
        <v>1904</v>
      </c>
      <c r="G31" s="228">
        <v>8.1999999999999993</v>
      </c>
      <c r="H31" s="229">
        <v>4.3E-3</v>
      </c>
      <c r="I31" s="231">
        <v>1903.1</v>
      </c>
      <c r="J31" s="231">
        <v>1896.7</v>
      </c>
      <c r="K31" s="228">
        <v>6.4</v>
      </c>
      <c r="L31" s="229">
        <v>3.3999999999999998E-3</v>
      </c>
      <c r="M31" s="231">
        <v>1912.2</v>
      </c>
      <c r="N31" s="231">
        <v>1904</v>
      </c>
      <c r="O31" s="228">
        <v>8.1999999999999993</v>
      </c>
      <c r="P31" s="229">
        <v>4.3E-3</v>
      </c>
      <c r="Q31" s="231">
        <v>1923.2</v>
      </c>
      <c r="R31" s="231">
        <v>1915.2</v>
      </c>
      <c r="S31" s="228">
        <v>8</v>
      </c>
      <c r="T31" s="229">
        <v>4.1999999999999997E-3</v>
      </c>
      <c r="U31" s="231">
        <v>1934.1</v>
      </c>
      <c r="V31" s="231">
        <v>1925.6</v>
      </c>
      <c r="W31" s="228">
        <v>8.5</v>
      </c>
      <c r="X31" s="229">
        <v>4.4000000000000003E-3</v>
      </c>
      <c r="Y31" s="228">
        <v>9.1</v>
      </c>
      <c r="Z31" s="228">
        <v>7.3</v>
      </c>
      <c r="AA31" s="228">
        <v>1.8</v>
      </c>
      <c r="AB31" s="229">
        <v>4.7999999999999996E-3</v>
      </c>
      <c r="AC31" s="228">
        <v>9.1</v>
      </c>
      <c r="AD31" s="228">
        <v>7.3</v>
      </c>
      <c r="AE31" s="228">
        <v>1.8</v>
      </c>
      <c r="AF31" s="229">
        <v>4.7999999999999996E-3</v>
      </c>
      <c r="AG31" s="228">
        <v>20.100000000000001</v>
      </c>
      <c r="AH31" s="228">
        <v>18.5</v>
      </c>
      <c r="AI31" s="228">
        <v>1.6</v>
      </c>
      <c r="AJ31" s="229">
        <v>1.06E-2</v>
      </c>
      <c r="AK31" s="228">
        <v>31</v>
      </c>
      <c r="AL31" s="228">
        <v>28.9</v>
      </c>
      <c r="AM31" s="228">
        <v>2.1</v>
      </c>
      <c r="AN31" s="229">
        <v>1.6299999999999999E-2</v>
      </c>
      <c r="AO31" s="231">
        <v>1905.83</v>
      </c>
      <c r="AP31" s="231">
        <v>1916.19</v>
      </c>
      <c r="AQ31" s="228">
        <v>0</v>
      </c>
      <c r="AR31" s="230">
        <v>3683150</v>
      </c>
      <c r="AS31" s="230">
        <v>10352150</v>
      </c>
      <c r="AT31" s="230">
        <v>-6669000</v>
      </c>
      <c r="AU31" s="229">
        <v>-0.64419999999999999</v>
      </c>
      <c r="AV31" s="230">
        <v>3545400</v>
      </c>
      <c r="AW31" s="230">
        <v>8499175</v>
      </c>
      <c r="AX31" s="230">
        <v>-4953775</v>
      </c>
      <c r="AY31" s="229">
        <v>-0.58289999999999997</v>
      </c>
      <c r="AZ31" s="230">
        <v>128250</v>
      </c>
      <c r="BA31" s="230">
        <v>173375</v>
      </c>
      <c r="BB31" s="230">
        <v>-45125</v>
      </c>
      <c r="BC31" s="229">
        <v>-0.26029999999999998</v>
      </c>
      <c r="BD31" s="230">
        <v>9500</v>
      </c>
      <c r="BE31" s="230">
        <v>1679600</v>
      </c>
      <c r="BF31" s="230">
        <v>-1670100</v>
      </c>
      <c r="BG31" s="229">
        <v>-0.99429999999999996</v>
      </c>
      <c r="BH31" s="230">
        <v>13655775</v>
      </c>
      <c r="BI31" s="230">
        <v>23996525</v>
      </c>
      <c r="BJ31" s="230">
        <v>-10340750</v>
      </c>
      <c r="BK31" s="229">
        <v>-0.43090000000000001</v>
      </c>
      <c r="BL31" s="230">
        <v>5744175</v>
      </c>
      <c r="BM31" s="230">
        <v>10158350</v>
      </c>
      <c r="BN31" s="230">
        <v>-4414175</v>
      </c>
      <c r="BO31" s="229">
        <v>-0.4345</v>
      </c>
      <c r="BP31" s="230">
        <v>23083100</v>
      </c>
      <c r="BQ31" s="230">
        <v>44507025</v>
      </c>
      <c r="BR31" s="230">
        <v>-21423925</v>
      </c>
      <c r="BS31" s="229">
        <v>-0.48139999999999999</v>
      </c>
      <c r="BT31" s="230">
        <v>2919900</v>
      </c>
      <c r="BU31" s="230">
        <v>5886660</v>
      </c>
      <c r="BV31" s="230">
        <v>-2966760</v>
      </c>
      <c r="BW31" s="229">
        <v>-0.504</v>
      </c>
      <c r="BX31" s="230">
        <v>49258450</v>
      </c>
      <c r="BY31" s="230">
        <v>49426125</v>
      </c>
      <c r="BZ31" s="230">
        <v>-167675</v>
      </c>
      <c r="CA31" s="229">
        <v>-3.3999999999999998E-3</v>
      </c>
      <c r="CB31" s="230">
        <v>47195525</v>
      </c>
      <c r="CC31" s="230">
        <v>47349425</v>
      </c>
      <c r="CD31" s="230">
        <v>-153900</v>
      </c>
      <c r="CE31" s="229">
        <v>-3.3E-3</v>
      </c>
      <c r="CF31" s="230">
        <v>379050</v>
      </c>
      <c r="CG31" s="230">
        <v>396150</v>
      </c>
      <c r="CH31" s="230">
        <v>-17100</v>
      </c>
      <c r="CI31" s="229">
        <v>-4.3200000000000002E-2</v>
      </c>
      <c r="CJ31" s="230">
        <v>1683875</v>
      </c>
      <c r="CK31" s="230">
        <v>1680550</v>
      </c>
      <c r="CL31" s="230">
        <v>3325</v>
      </c>
      <c r="CM31" s="229">
        <v>2E-3</v>
      </c>
      <c r="CN31" s="230">
        <v>8217500</v>
      </c>
      <c r="CO31" s="230">
        <v>7962425</v>
      </c>
      <c r="CP31" s="230">
        <v>255075</v>
      </c>
      <c r="CQ31" s="229">
        <v>3.2000000000000001E-2</v>
      </c>
      <c r="CR31" s="230">
        <v>4661650</v>
      </c>
      <c r="CS31" s="230">
        <v>4599425</v>
      </c>
      <c r="CT31" s="230">
        <v>62225</v>
      </c>
      <c r="CU31" s="229">
        <v>1.35E-2</v>
      </c>
      <c r="CV31" s="230">
        <v>62137600</v>
      </c>
      <c r="CW31" s="230">
        <v>61987975</v>
      </c>
      <c r="CX31" s="230">
        <v>149625</v>
      </c>
      <c r="CY31" s="229">
        <v>2.3999999999999998E-3</v>
      </c>
      <c r="CZ31" s="228">
        <v>16.739999999999998</v>
      </c>
      <c r="DA31" s="228">
        <v>16.59</v>
      </c>
      <c r="DB31" s="228">
        <v>0.15</v>
      </c>
      <c r="DC31" s="228">
        <v>0.15</v>
      </c>
      <c r="DD31" s="228">
        <v>24.92</v>
      </c>
      <c r="DE31" s="228">
        <v>24.98</v>
      </c>
      <c r="DF31" s="228">
        <v>-8.18</v>
      </c>
      <c r="DG31" s="228">
        <v>-0.06</v>
      </c>
      <c r="DH31" s="228">
        <v>16.690000000000001</v>
      </c>
      <c r="DI31" s="228">
        <v>16.48</v>
      </c>
      <c r="DJ31" s="228">
        <v>0.21</v>
      </c>
      <c r="DK31" s="228">
        <v>0.21</v>
      </c>
      <c r="DL31" s="228">
        <v>16.86</v>
      </c>
      <c r="DM31" s="228">
        <v>16.84</v>
      </c>
      <c r="DN31" s="228">
        <v>0.02</v>
      </c>
      <c r="DO31" s="228">
        <v>0.02</v>
      </c>
      <c r="DP31" s="228">
        <v>0.56999999999999995</v>
      </c>
      <c r="DQ31" s="228">
        <v>0.57999999999999996</v>
      </c>
      <c r="DR31" s="228">
        <v>-0.01</v>
      </c>
      <c r="DS31" s="229">
        <v>-1.72E-2</v>
      </c>
      <c r="DT31" s="231">
        <v>1900</v>
      </c>
      <c r="DU31" s="231">
        <v>1900</v>
      </c>
      <c r="DV31" s="228">
        <v>0.42</v>
      </c>
      <c r="DW31" s="228">
        <v>0.42</v>
      </c>
      <c r="DX31" s="228">
        <v>0</v>
      </c>
      <c r="DY31" s="229">
        <v>0</v>
      </c>
      <c r="DZ31" s="229">
        <v>4.19E-2</v>
      </c>
      <c r="EA31" s="230">
        <v>2076700</v>
      </c>
      <c r="EB31" s="229">
        <v>5.7999999999999996E-3</v>
      </c>
      <c r="EC31" s="229">
        <v>4.19E-2</v>
      </c>
      <c r="ED31" s="228">
        <v>10.36</v>
      </c>
      <c r="EE31" s="229">
        <v>5.4000000000000003E-3</v>
      </c>
      <c r="EF31" s="230">
        <v>1825389</v>
      </c>
      <c r="EG31" s="230">
        <v>4030452</v>
      </c>
      <c r="EH31" s="229">
        <v>-0.54710000000000003</v>
      </c>
      <c r="EI31" s="229">
        <v>0.62519999999999998</v>
      </c>
      <c r="EJ31" s="231">
        <v>268076.2</v>
      </c>
      <c r="EK31" s="231">
        <v>108066.65</v>
      </c>
      <c r="EL31" s="231">
        <v>70210.039999999994</v>
      </c>
      <c r="EM31" s="231">
        <v>33257</v>
      </c>
      <c r="EN31" s="231">
        <v>446352.89</v>
      </c>
      <c r="EO31" s="231">
        <v>854892</v>
      </c>
      <c r="EP31" s="231">
        <v>-408539.11</v>
      </c>
      <c r="EQ31" s="229">
        <v>-0.47789999999999999</v>
      </c>
      <c r="ER31" s="231">
        <v>161658</v>
      </c>
      <c r="ES31" s="231">
        <v>86526</v>
      </c>
      <c r="ET31" s="231">
        <v>942331</v>
      </c>
      <c r="EU31" s="231">
        <v>314058656</v>
      </c>
      <c r="EV31" s="231">
        <v>1190514</v>
      </c>
      <c r="EW31" s="231">
        <v>1183361</v>
      </c>
      <c r="EX31" s="231">
        <v>7153</v>
      </c>
      <c r="EY31" s="229">
        <v>6.0000000000000001E-3</v>
      </c>
      <c r="EZ31" s="229">
        <v>0.19789999999999999</v>
      </c>
      <c r="FA31" s="227" t="s">
        <v>556</v>
      </c>
      <c r="FB31" s="161">
        <f t="shared" si="0"/>
        <v>2062925</v>
      </c>
    </row>
    <row r="32" spans="1:158" ht="17.25" hidden="1" thickBot="1" x14ac:dyDescent="0.3">
      <c r="A32" s="226">
        <v>45936</v>
      </c>
      <c r="B32" s="227" t="s">
        <v>184</v>
      </c>
      <c r="C32" s="227" t="s">
        <v>190</v>
      </c>
      <c r="D32" s="228">
        <v>2625</v>
      </c>
      <c r="E32" s="228">
        <v>246.24</v>
      </c>
      <c r="F32" s="228">
        <v>246.1</v>
      </c>
      <c r="G32" s="228">
        <v>0.14000000000000001</v>
      </c>
      <c r="H32" s="229">
        <v>5.9999999999999995E-4</v>
      </c>
      <c r="I32" s="228">
        <v>245.31</v>
      </c>
      <c r="J32" s="228">
        <v>245.02</v>
      </c>
      <c r="K32" s="228">
        <v>0.28999999999999998</v>
      </c>
      <c r="L32" s="229">
        <v>1.1999999999999999E-3</v>
      </c>
      <c r="M32" s="228">
        <v>246.24</v>
      </c>
      <c r="N32" s="228">
        <v>246.1</v>
      </c>
      <c r="O32" s="228">
        <v>0.14000000000000001</v>
      </c>
      <c r="P32" s="229">
        <v>5.9999999999999995E-4</v>
      </c>
      <c r="Q32" s="228">
        <v>247.52</v>
      </c>
      <c r="R32" s="228">
        <v>247.21</v>
      </c>
      <c r="S32" s="228">
        <v>0.31</v>
      </c>
      <c r="T32" s="229">
        <v>1.2999999999999999E-3</v>
      </c>
      <c r="U32" s="228">
        <v>249.3</v>
      </c>
      <c r="V32" s="228">
        <v>248.6</v>
      </c>
      <c r="W32" s="228">
        <v>0.7</v>
      </c>
      <c r="X32" s="229">
        <v>2.8E-3</v>
      </c>
      <c r="Y32" s="228">
        <v>0.93</v>
      </c>
      <c r="Z32" s="228">
        <v>1.08</v>
      </c>
      <c r="AA32" s="228">
        <v>-0.15</v>
      </c>
      <c r="AB32" s="229">
        <v>3.8E-3</v>
      </c>
      <c r="AC32" s="228">
        <v>0.93</v>
      </c>
      <c r="AD32" s="228">
        <v>1.08</v>
      </c>
      <c r="AE32" s="228">
        <v>-0.15</v>
      </c>
      <c r="AF32" s="229">
        <v>3.8E-3</v>
      </c>
      <c r="AG32" s="228">
        <v>2.21</v>
      </c>
      <c r="AH32" s="228">
        <v>2.19</v>
      </c>
      <c r="AI32" s="228">
        <v>0.02</v>
      </c>
      <c r="AJ32" s="229">
        <v>8.9999999999999993E-3</v>
      </c>
      <c r="AK32" s="228">
        <v>3.99</v>
      </c>
      <c r="AL32" s="228">
        <v>3.58</v>
      </c>
      <c r="AM32" s="228">
        <v>0.41</v>
      </c>
      <c r="AN32" s="229">
        <v>1.6299999999999999E-2</v>
      </c>
      <c r="AO32" s="228">
        <v>245.98</v>
      </c>
      <c r="AP32" s="228">
        <v>247.29</v>
      </c>
      <c r="AQ32" s="228">
        <v>0</v>
      </c>
      <c r="AR32" s="230">
        <v>8140125</v>
      </c>
      <c r="AS32" s="230">
        <v>13820625</v>
      </c>
      <c r="AT32" s="230">
        <v>-5680500</v>
      </c>
      <c r="AU32" s="229">
        <v>-0.41099999999999998</v>
      </c>
      <c r="AV32" s="230">
        <v>7754250</v>
      </c>
      <c r="AW32" s="230">
        <v>13083000</v>
      </c>
      <c r="AX32" s="230">
        <v>-5328750</v>
      </c>
      <c r="AY32" s="229">
        <v>-0.4073</v>
      </c>
      <c r="AZ32" s="230">
        <v>325500</v>
      </c>
      <c r="BA32" s="230">
        <v>577500</v>
      </c>
      <c r="BB32" s="230">
        <v>-252000</v>
      </c>
      <c r="BC32" s="229">
        <v>-0.43640000000000001</v>
      </c>
      <c r="BD32" s="230">
        <v>60375</v>
      </c>
      <c r="BE32" s="230">
        <v>160125</v>
      </c>
      <c r="BF32" s="230">
        <v>-99750</v>
      </c>
      <c r="BG32" s="229">
        <v>-0.623</v>
      </c>
      <c r="BH32" s="230">
        <v>24100125</v>
      </c>
      <c r="BI32" s="230">
        <v>44123625</v>
      </c>
      <c r="BJ32" s="230">
        <v>-20023500</v>
      </c>
      <c r="BK32" s="229">
        <v>-0.45379999999999998</v>
      </c>
      <c r="BL32" s="230">
        <v>12859875</v>
      </c>
      <c r="BM32" s="230">
        <v>17873625</v>
      </c>
      <c r="BN32" s="230">
        <v>-5013750</v>
      </c>
      <c r="BO32" s="229">
        <v>-0.28050000000000003</v>
      </c>
      <c r="BP32" s="230">
        <v>45100125</v>
      </c>
      <c r="BQ32" s="230">
        <v>75817875</v>
      </c>
      <c r="BR32" s="230">
        <v>-30717750</v>
      </c>
      <c r="BS32" s="229">
        <v>-0.4052</v>
      </c>
      <c r="BT32" s="230">
        <v>6214274</v>
      </c>
      <c r="BU32" s="230">
        <v>10113575</v>
      </c>
      <c r="BV32" s="230">
        <v>-3899301</v>
      </c>
      <c r="BW32" s="229">
        <v>-0.3856</v>
      </c>
      <c r="BX32" s="230">
        <v>58839375</v>
      </c>
      <c r="BY32" s="230">
        <v>58587375</v>
      </c>
      <c r="BZ32" s="230">
        <v>252000</v>
      </c>
      <c r="CA32" s="229">
        <v>4.3E-3</v>
      </c>
      <c r="CB32" s="230">
        <v>57356250</v>
      </c>
      <c r="CC32" s="230">
        <v>57188250</v>
      </c>
      <c r="CD32" s="230">
        <v>168000</v>
      </c>
      <c r="CE32" s="229">
        <v>2.8999999999999998E-3</v>
      </c>
      <c r="CF32" s="230">
        <v>1330875</v>
      </c>
      <c r="CG32" s="230">
        <v>1273125</v>
      </c>
      <c r="CH32" s="230">
        <v>57750</v>
      </c>
      <c r="CI32" s="229">
        <v>4.5400000000000003E-2</v>
      </c>
      <c r="CJ32" s="230">
        <v>152250</v>
      </c>
      <c r="CK32" s="230">
        <v>126000</v>
      </c>
      <c r="CL32" s="230">
        <v>26250</v>
      </c>
      <c r="CM32" s="229">
        <v>0.20830000000000001</v>
      </c>
      <c r="CN32" s="230">
        <v>18125625</v>
      </c>
      <c r="CO32" s="230">
        <v>16805250</v>
      </c>
      <c r="CP32" s="230">
        <v>1320375</v>
      </c>
      <c r="CQ32" s="229">
        <v>7.8600000000000003E-2</v>
      </c>
      <c r="CR32" s="230">
        <v>14127750</v>
      </c>
      <c r="CS32" s="230">
        <v>14264250</v>
      </c>
      <c r="CT32" s="230">
        <v>-136500</v>
      </c>
      <c r="CU32" s="229">
        <v>-9.5999999999999992E-3</v>
      </c>
      <c r="CV32" s="230">
        <v>91092750</v>
      </c>
      <c r="CW32" s="230">
        <v>89656875</v>
      </c>
      <c r="CX32" s="230">
        <v>1435875</v>
      </c>
      <c r="CY32" s="229">
        <v>1.6E-2</v>
      </c>
      <c r="CZ32" s="228">
        <v>30.31</v>
      </c>
      <c r="DA32" s="228">
        <v>29.69</v>
      </c>
      <c r="DB32" s="228">
        <v>0.62</v>
      </c>
      <c r="DC32" s="228">
        <v>0.62</v>
      </c>
      <c r="DD32" s="228">
        <v>46.46</v>
      </c>
      <c r="DE32" s="228">
        <v>46.58</v>
      </c>
      <c r="DF32" s="228">
        <v>-16.149999999999999</v>
      </c>
      <c r="DG32" s="228">
        <v>-0.12</v>
      </c>
      <c r="DH32" s="228">
        <v>30.39</v>
      </c>
      <c r="DI32" s="228">
        <v>29.5</v>
      </c>
      <c r="DJ32" s="228">
        <v>0.89</v>
      </c>
      <c r="DK32" s="228">
        <v>0.89</v>
      </c>
      <c r="DL32" s="228">
        <v>30.17</v>
      </c>
      <c r="DM32" s="228">
        <v>30.14</v>
      </c>
      <c r="DN32" s="228">
        <v>0.03</v>
      </c>
      <c r="DO32" s="228">
        <v>0.03</v>
      </c>
      <c r="DP32" s="228">
        <v>0.78</v>
      </c>
      <c r="DQ32" s="228">
        <v>0.85</v>
      </c>
      <c r="DR32" s="228">
        <v>-7.0000000000000007E-2</v>
      </c>
      <c r="DS32" s="229">
        <v>-8.2400000000000001E-2</v>
      </c>
      <c r="DT32" s="228">
        <v>250</v>
      </c>
      <c r="DU32" s="228">
        <v>240</v>
      </c>
      <c r="DV32" s="228">
        <v>0.53</v>
      </c>
      <c r="DW32" s="228">
        <v>0.41</v>
      </c>
      <c r="DX32" s="228">
        <v>0.12</v>
      </c>
      <c r="DY32" s="229">
        <v>0.29270000000000002</v>
      </c>
      <c r="DZ32" s="229">
        <v>2.52E-2</v>
      </c>
      <c r="EA32" s="230">
        <v>1399125</v>
      </c>
      <c r="EB32" s="229">
        <v>5.1999999999999998E-3</v>
      </c>
      <c r="EC32" s="229">
        <v>2.52E-2</v>
      </c>
      <c r="ED32" s="228">
        <v>1.31</v>
      </c>
      <c r="EE32" s="229">
        <v>5.3E-3</v>
      </c>
      <c r="EF32" s="230">
        <v>2740861</v>
      </c>
      <c r="EG32" s="230">
        <v>4568943</v>
      </c>
      <c r="EH32" s="229">
        <v>-0.40010000000000001</v>
      </c>
      <c r="EI32" s="229">
        <v>0.44109999999999999</v>
      </c>
      <c r="EJ32" s="231">
        <v>61799.81</v>
      </c>
      <c r="EK32" s="231">
        <v>31656.59</v>
      </c>
      <c r="EL32" s="231">
        <v>20029.189999999999</v>
      </c>
      <c r="EM32" s="231">
        <v>10682</v>
      </c>
      <c r="EN32" s="231">
        <v>113485.59</v>
      </c>
      <c r="EO32" s="231">
        <v>190708.55</v>
      </c>
      <c r="EP32" s="231">
        <v>-77222.960000000006</v>
      </c>
      <c r="EQ32" s="229">
        <v>-0.40489999999999998</v>
      </c>
      <c r="ER32" s="231">
        <v>45151</v>
      </c>
      <c r="ES32" s="231">
        <v>33405</v>
      </c>
      <c r="ET32" s="231">
        <v>144908</v>
      </c>
      <c r="EU32" s="231">
        <v>169029877</v>
      </c>
      <c r="EV32" s="231">
        <v>223464</v>
      </c>
      <c r="EW32" s="231">
        <v>219701</v>
      </c>
      <c r="EX32" s="231">
        <v>3763</v>
      </c>
      <c r="EY32" s="229">
        <v>1.7100000000000001E-2</v>
      </c>
      <c r="EZ32" s="229">
        <v>0.53890000000000005</v>
      </c>
      <c r="FA32" s="227" t="s">
        <v>555</v>
      </c>
      <c r="FB32" s="161">
        <f t="shared" si="0"/>
        <v>1483125</v>
      </c>
    </row>
    <row r="33" spans="1:158" ht="17.25" hidden="1" thickBot="1" x14ac:dyDescent="0.3">
      <c r="A33" s="226">
        <v>45936</v>
      </c>
      <c r="B33" s="227" t="s">
        <v>170</v>
      </c>
      <c r="C33" s="227" t="s">
        <v>191</v>
      </c>
      <c r="D33" s="228">
        <v>2500</v>
      </c>
      <c r="E33" s="228">
        <v>349.5</v>
      </c>
      <c r="F33" s="228">
        <v>354.4</v>
      </c>
      <c r="G33" s="228">
        <v>-4.9000000000000004</v>
      </c>
      <c r="H33" s="229">
        <v>-1.38E-2</v>
      </c>
      <c r="I33" s="228">
        <v>347.75</v>
      </c>
      <c r="J33" s="228">
        <v>352.25</v>
      </c>
      <c r="K33" s="228">
        <v>-4.5</v>
      </c>
      <c r="L33" s="229">
        <v>-1.2800000000000001E-2</v>
      </c>
      <c r="M33" s="228">
        <v>349.5</v>
      </c>
      <c r="N33" s="228">
        <v>354.4</v>
      </c>
      <c r="O33" s="228">
        <v>-4.9000000000000004</v>
      </c>
      <c r="P33" s="229">
        <v>-1.38E-2</v>
      </c>
      <c r="Q33" s="228">
        <v>351.4</v>
      </c>
      <c r="R33" s="228">
        <v>356.25</v>
      </c>
      <c r="S33" s="228">
        <v>-4.8499999999999996</v>
      </c>
      <c r="T33" s="229">
        <v>-1.3599999999999999E-2</v>
      </c>
      <c r="U33" s="228">
        <v>354</v>
      </c>
      <c r="V33" s="228">
        <v>358.1</v>
      </c>
      <c r="W33" s="228">
        <v>-4.0999999999999996</v>
      </c>
      <c r="X33" s="229">
        <v>-1.14E-2</v>
      </c>
      <c r="Y33" s="228">
        <v>1.75</v>
      </c>
      <c r="Z33" s="228">
        <v>2.15</v>
      </c>
      <c r="AA33" s="228">
        <v>-0.4</v>
      </c>
      <c r="AB33" s="229">
        <v>5.0000000000000001E-3</v>
      </c>
      <c r="AC33" s="228">
        <v>1.75</v>
      </c>
      <c r="AD33" s="228">
        <v>2.15</v>
      </c>
      <c r="AE33" s="228">
        <v>-0.4</v>
      </c>
      <c r="AF33" s="229">
        <v>5.0000000000000001E-3</v>
      </c>
      <c r="AG33" s="228">
        <v>3.65</v>
      </c>
      <c r="AH33" s="228">
        <v>4</v>
      </c>
      <c r="AI33" s="228">
        <v>-0.35</v>
      </c>
      <c r="AJ33" s="229">
        <v>1.0500000000000001E-2</v>
      </c>
      <c r="AK33" s="228">
        <v>6.25</v>
      </c>
      <c r="AL33" s="228">
        <v>5.85</v>
      </c>
      <c r="AM33" s="228">
        <v>0.4</v>
      </c>
      <c r="AN33" s="229">
        <v>1.7999999999999999E-2</v>
      </c>
      <c r="AO33" s="228">
        <v>349</v>
      </c>
      <c r="AP33" s="228">
        <v>350.5</v>
      </c>
      <c r="AQ33" s="228">
        <v>0</v>
      </c>
      <c r="AR33" s="230">
        <v>4920000</v>
      </c>
      <c r="AS33" s="230">
        <v>4762500</v>
      </c>
      <c r="AT33" s="230">
        <v>157500</v>
      </c>
      <c r="AU33" s="229">
        <v>3.3099999999999997E-2</v>
      </c>
      <c r="AV33" s="230">
        <v>4570000</v>
      </c>
      <c r="AW33" s="230">
        <v>4447500</v>
      </c>
      <c r="AX33" s="230">
        <v>122500</v>
      </c>
      <c r="AY33" s="229">
        <v>2.75E-2</v>
      </c>
      <c r="AZ33" s="230">
        <v>307500</v>
      </c>
      <c r="BA33" s="230">
        <v>277500</v>
      </c>
      <c r="BB33" s="230">
        <v>30000</v>
      </c>
      <c r="BC33" s="229">
        <v>0.1081</v>
      </c>
      <c r="BD33" s="230">
        <v>42500</v>
      </c>
      <c r="BE33" s="230">
        <v>37500</v>
      </c>
      <c r="BF33" s="230">
        <v>5000</v>
      </c>
      <c r="BG33" s="229">
        <v>0.1333</v>
      </c>
      <c r="BH33" s="230">
        <v>14655000</v>
      </c>
      <c r="BI33" s="230">
        <v>12307500</v>
      </c>
      <c r="BJ33" s="230">
        <v>2347500</v>
      </c>
      <c r="BK33" s="229">
        <v>0.19070000000000001</v>
      </c>
      <c r="BL33" s="230">
        <v>4762500</v>
      </c>
      <c r="BM33" s="230">
        <v>4985000</v>
      </c>
      <c r="BN33" s="230">
        <v>-222500</v>
      </c>
      <c r="BO33" s="229">
        <v>-4.4600000000000001E-2</v>
      </c>
      <c r="BP33" s="230">
        <v>24337500</v>
      </c>
      <c r="BQ33" s="230">
        <v>22055000</v>
      </c>
      <c r="BR33" s="230">
        <v>2282500</v>
      </c>
      <c r="BS33" s="229">
        <v>0.10349999999999999</v>
      </c>
      <c r="BT33" s="230">
        <v>2853812</v>
      </c>
      <c r="BU33" s="230">
        <v>2709436</v>
      </c>
      <c r="BV33" s="230">
        <v>144376</v>
      </c>
      <c r="BW33" s="229">
        <v>5.33E-2</v>
      </c>
      <c r="BX33" s="230">
        <v>39350000</v>
      </c>
      <c r="BY33" s="230">
        <v>39360000</v>
      </c>
      <c r="BZ33" s="230">
        <v>-10000</v>
      </c>
      <c r="CA33" s="229">
        <v>-2.9999999999999997E-4</v>
      </c>
      <c r="CB33" s="230">
        <v>38555000</v>
      </c>
      <c r="CC33" s="230">
        <v>38720000</v>
      </c>
      <c r="CD33" s="230">
        <v>-165000</v>
      </c>
      <c r="CE33" s="229">
        <v>-4.3E-3</v>
      </c>
      <c r="CF33" s="230">
        <v>722500</v>
      </c>
      <c r="CG33" s="230">
        <v>602500</v>
      </c>
      <c r="CH33" s="230">
        <v>120000</v>
      </c>
      <c r="CI33" s="229">
        <v>0.19919999999999999</v>
      </c>
      <c r="CJ33" s="230">
        <v>72500</v>
      </c>
      <c r="CK33" s="230">
        <v>37500</v>
      </c>
      <c r="CL33" s="230">
        <v>35000</v>
      </c>
      <c r="CM33" s="229">
        <v>0.93330000000000002</v>
      </c>
      <c r="CN33" s="230">
        <v>13085000</v>
      </c>
      <c r="CO33" s="230">
        <v>10767500</v>
      </c>
      <c r="CP33" s="230">
        <v>2317500</v>
      </c>
      <c r="CQ33" s="229">
        <v>0.2152</v>
      </c>
      <c r="CR33" s="230">
        <v>8550000</v>
      </c>
      <c r="CS33" s="230">
        <v>8375000</v>
      </c>
      <c r="CT33" s="230">
        <v>175000</v>
      </c>
      <c r="CU33" s="229">
        <v>2.0899999999999998E-2</v>
      </c>
      <c r="CV33" s="230">
        <v>60985000</v>
      </c>
      <c r="CW33" s="230">
        <v>58502500</v>
      </c>
      <c r="CX33" s="230">
        <v>2482500</v>
      </c>
      <c r="CY33" s="229">
        <v>4.24E-2</v>
      </c>
      <c r="CZ33" s="228">
        <v>25.33</v>
      </c>
      <c r="DA33" s="228">
        <v>25.29</v>
      </c>
      <c r="DB33" s="228">
        <v>0.04</v>
      </c>
      <c r="DC33" s="228">
        <v>0.04</v>
      </c>
      <c r="DD33" s="228">
        <v>39.909999999999997</v>
      </c>
      <c r="DE33" s="228">
        <v>39.97</v>
      </c>
      <c r="DF33" s="228">
        <v>-14.58</v>
      </c>
      <c r="DG33" s="228">
        <v>-0.06</v>
      </c>
      <c r="DH33" s="228">
        <v>25.2</v>
      </c>
      <c r="DI33" s="228">
        <v>24.74</v>
      </c>
      <c r="DJ33" s="228">
        <v>0.46</v>
      </c>
      <c r="DK33" s="228">
        <v>0.46</v>
      </c>
      <c r="DL33" s="228">
        <v>25.73</v>
      </c>
      <c r="DM33" s="228">
        <v>26.64</v>
      </c>
      <c r="DN33" s="228">
        <v>-0.91</v>
      </c>
      <c r="DO33" s="228">
        <v>-0.91</v>
      </c>
      <c r="DP33" s="228">
        <v>0.65</v>
      </c>
      <c r="DQ33" s="228">
        <v>0.78</v>
      </c>
      <c r="DR33" s="228">
        <v>-0.13</v>
      </c>
      <c r="DS33" s="229">
        <v>-0.16669999999999999</v>
      </c>
      <c r="DT33" s="228">
        <v>360</v>
      </c>
      <c r="DU33" s="228">
        <v>350</v>
      </c>
      <c r="DV33" s="228">
        <v>0.32</v>
      </c>
      <c r="DW33" s="228">
        <v>0.41</v>
      </c>
      <c r="DX33" s="228">
        <v>-0.09</v>
      </c>
      <c r="DY33" s="229">
        <v>-0.2195</v>
      </c>
      <c r="DZ33" s="229">
        <v>2.0199999999999999E-2</v>
      </c>
      <c r="EA33" s="230">
        <v>640000</v>
      </c>
      <c r="EB33" s="229">
        <v>5.4000000000000003E-3</v>
      </c>
      <c r="EC33" s="229">
        <v>2.0199999999999999E-2</v>
      </c>
      <c r="ED33" s="228">
        <v>1.5</v>
      </c>
      <c r="EE33" s="229">
        <v>4.3E-3</v>
      </c>
      <c r="EF33" s="230">
        <v>1658671</v>
      </c>
      <c r="EG33" s="230">
        <v>1564381</v>
      </c>
      <c r="EH33" s="229">
        <v>6.0299999999999999E-2</v>
      </c>
      <c r="EI33" s="229">
        <v>0.58120000000000005</v>
      </c>
      <c r="EJ33" s="231">
        <v>53916.480000000003</v>
      </c>
      <c r="EK33" s="231">
        <v>16631.03</v>
      </c>
      <c r="EL33" s="231">
        <v>17177.009999999998</v>
      </c>
      <c r="EM33" s="231">
        <v>5127</v>
      </c>
      <c r="EN33" s="231">
        <v>87724.52</v>
      </c>
      <c r="EO33" s="231">
        <v>79114.87</v>
      </c>
      <c r="EP33" s="231">
        <v>8609.65</v>
      </c>
      <c r="EQ33" s="229">
        <v>0.10879999999999999</v>
      </c>
      <c r="ER33" s="231">
        <v>48447</v>
      </c>
      <c r="ES33" s="231">
        <v>29201</v>
      </c>
      <c r="ET33" s="231">
        <v>137545</v>
      </c>
      <c r="EU33" s="231">
        <v>90981174</v>
      </c>
      <c r="EV33" s="231">
        <v>215194</v>
      </c>
      <c r="EW33" s="231">
        <v>208129</v>
      </c>
      <c r="EX33" s="231">
        <v>7065</v>
      </c>
      <c r="EY33" s="229">
        <v>3.39E-2</v>
      </c>
      <c r="EZ33" s="229">
        <v>0.67030000000000001</v>
      </c>
      <c r="FA33" s="227" t="s">
        <v>568</v>
      </c>
      <c r="FB33" s="161">
        <f t="shared" si="0"/>
        <v>795000</v>
      </c>
    </row>
    <row r="34" spans="1:158" ht="17.25" hidden="1" thickBot="1" x14ac:dyDescent="0.3">
      <c r="A34" s="226">
        <v>45936</v>
      </c>
      <c r="B34" s="227" t="s">
        <v>184</v>
      </c>
      <c r="C34" s="227" t="s">
        <v>681</v>
      </c>
      <c r="D34" s="228">
        <v>325</v>
      </c>
      <c r="E34" s="231">
        <v>1901.7</v>
      </c>
      <c r="F34" s="231">
        <v>1901.9</v>
      </c>
      <c r="G34" s="228">
        <v>-0.2</v>
      </c>
      <c r="H34" s="229">
        <v>-1E-4</v>
      </c>
      <c r="I34" s="231">
        <v>1892.8</v>
      </c>
      <c r="J34" s="231">
        <v>1899.2</v>
      </c>
      <c r="K34" s="228">
        <v>-6.4</v>
      </c>
      <c r="L34" s="229">
        <v>-3.3999999999999998E-3</v>
      </c>
      <c r="M34" s="231">
        <v>1901.7</v>
      </c>
      <c r="N34" s="231">
        <v>1901.9</v>
      </c>
      <c r="O34" s="228">
        <v>-0.2</v>
      </c>
      <c r="P34" s="229">
        <v>-1E-4</v>
      </c>
      <c r="Q34" s="231">
        <v>1898.6</v>
      </c>
      <c r="R34" s="231">
        <v>1896.3</v>
      </c>
      <c r="S34" s="228">
        <v>2.2999999999999998</v>
      </c>
      <c r="T34" s="229">
        <v>1.1999999999999999E-3</v>
      </c>
      <c r="U34" s="231">
        <v>1895.1</v>
      </c>
      <c r="V34" s="231">
        <v>1895.1</v>
      </c>
      <c r="W34" s="228">
        <v>0</v>
      </c>
      <c r="X34" s="229">
        <v>0</v>
      </c>
      <c r="Y34" s="228">
        <v>8.9</v>
      </c>
      <c r="Z34" s="228">
        <v>2.7</v>
      </c>
      <c r="AA34" s="228">
        <v>6.2</v>
      </c>
      <c r="AB34" s="229">
        <v>4.7000000000000002E-3</v>
      </c>
      <c r="AC34" s="228">
        <v>8.9</v>
      </c>
      <c r="AD34" s="228">
        <v>2.7</v>
      </c>
      <c r="AE34" s="228">
        <v>6.2</v>
      </c>
      <c r="AF34" s="229">
        <v>4.7000000000000002E-3</v>
      </c>
      <c r="AG34" s="228">
        <v>5.8</v>
      </c>
      <c r="AH34" s="228">
        <v>-2.9</v>
      </c>
      <c r="AI34" s="228">
        <v>8.6999999999999993</v>
      </c>
      <c r="AJ34" s="229">
        <v>3.0999999999999999E-3</v>
      </c>
      <c r="AK34" s="228">
        <v>2.2999999999999998</v>
      </c>
      <c r="AL34" s="228">
        <v>-4.0999999999999996</v>
      </c>
      <c r="AM34" s="228">
        <v>6.4</v>
      </c>
      <c r="AN34" s="229">
        <v>1.1999999999999999E-3</v>
      </c>
      <c r="AO34" s="231">
        <v>1899.72</v>
      </c>
      <c r="AP34" s="231">
        <v>1894.3</v>
      </c>
      <c r="AQ34" s="228">
        <v>0</v>
      </c>
      <c r="AR34" s="230">
        <v>286000</v>
      </c>
      <c r="AS34" s="230">
        <v>247650</v>
      </c>
      <c r="AT34" s="230">
        <v>38350</v>
      </c>
      <c r="AU34" s="229">
        <v>0.15490000000000001</v>
      </c>
      <c r="AV34" s="230">
        <v>280475</v>
      </c>
      <c r="AW34" s="230">
        <v>237575</v>
      </c>
      <c r="AX34" s="230">
        <v>42900</v>
      </c>
      <c r="AY34" s="229">
        <v>0.18060000000000001</v>
      </c>
      <c r="AZ34" s="230">
        <v>5525</v>
      </c>
      <c r="BA34" s="230">
        <v>8775</v>
      </c>
      <c r="BB34" s="230">
        <v>-3250</v>
      </c>
      <c r="BC34" s="229">
        <v>-0.37040000000000001</v>
      </c>
      <c r="BD34" s="228">
        <v>0</v>
      </c>
      <c r="BE34" s="230">
        <v>1300</v>
      </c>
      <c r="BF34" s="230">
        <v>-1300</v>
      </c>
      <c r="BG34" s="229">
        <v>-1</v>
      </c>
      <c r="BH34" s="230">
        <v>186225</v>
      </c>
      <c r="BI34" s="230">
        <v>216775</v>
      </c>
      <c r="BJ34" s="230">
        <v>-30550</v>
      </c>
      <c r="BK34" s="229">
        <v>-0.1409</v>
      </c>
      <c r="BL34" s="230">
        <v>96200</v>
      </c>
      <c r="BM34" s="230">
        <v>92950</v>
      </c>
      <c r="BN34" s="230">
        <v>3250</v>
      </c>
      <c r="BO34" s="229">
        <v>3.5000000000000003E-2</v>
      </c>
      <c r="BP34" s="230">
        <v>568425</v>
      </c>
      <c r="BQ34" s="230">
        <v>557375</v>
      </c>
      <c r="BR34" s="230">
        <v>11050</v>
      </c>
      <c r="BS34" s="229">
        <v>1.9800000000000002E-2</v>
      </c>
      <c r="BT34" s="230">
        <v>326336</v>
      </c>
      <c r="BU34" s="230">
        <v>363069</v>
      </c>
      <c r="BV34" s="230">
        <v>-36733</v>
      </c>
      <c r="BW34" s="229">
        <v>-0.1012</v>
      </c>
      <c r="BX34" s="230">
        <v>1869075</v>
      </c>
      <c r="BY34" s="230">
        <v>1886300</v>
      </c>
      <c r="BZ34" s="230">
        <v>-17225</v>
      </c>
      <c r="CA34" s="229">
        <v>-9.1000000000000004E-3</v>
      </c>
      <c r="CB34" s="230">
        <v>1845025</v>
      </c>
      <c r="CC34" s="230">
        <v>1862575</v>
      </c>
      <c r="CD34" s="230">
        <v>-17550</v>
      </c>
      <c r="CE34" s="229">
        <v>-9.4000000000000004E-3</v>
      </c>
      <c r="CF34" s="230">
        <v>20800</v>
      </c>
      <c r="CG34" s="230">
        <v>20475</v>
      </c>
      <c r="CH34" s="228">
        <v>325</v>
      </c>
      <c r="CI34" s="229">
        <v>1.5900000000000001E-2</v>
      </c>
      <c r="CJ34" s="230">
        <v>3250</v>
      </c>
      <c r="CK34" s="230">
        <v>3250</v>
      </c>
      <c r="CL34" s="228">
        <v>0</v>
      </c>
      <c r="CM34" s="229">
        <v>0</v>
      </c>
      <c r="CN34" s="230">
        <v>248300</v>
      </c>
      <c r="CO34" s="230">
        <v>229450</v>
      </c>
      <c r="CP34" s="230">
        <v>18850</v>
      </c>
      <c r="CQ34" s="229">
        <v>8.2199999999999995E-2</v>
      </c>
      <c r="CR34" s="230">
        <v>216775</v>
      </c>
      <c r="CS34" s="230">
        <v>195975</v>
      </c>
      <c r="CT34" s="230">
        <v>20800</v>
      </c>
      <c r="CU34" s="229">
        <v>0.1061</v>
      </c>
      <c r="CV34" s="230">
        <v>2334150</v>
      </c>
      <c r="CW34" s="230">
        <v>2311725</v>
      </c>
      <c r="CX34" s="230">
        <v>22425</v>
      </c>
      <c r="CY34" s="229">
        <v>9.7000000000000003E-3</v>
      </c>
      <c r="CZ34" s="228">
        <v>28.45</v>
      </c>
      <c r="DA34" s="228">
        <v>28.53</v>
      </c>
      <c r="DB34" s="228">
        <v>-0.08</v>
      </c>
      <c r="DC34" s="228">
        <v>-0.08</v>
      </c>
      <c r="DD34" s="228">
        <v>42.36</v>
      </c>
      <c r="DE34" s="228">
        <v>42.47</v>
      </c>
      <c r="DF34" s="228">
        <v>-13.91</v>
      </c>
      <c r="DG34" s="228">
        <v>-0.11</v>
      </c>
      <c r="DH34" s="228">
        <v>28.74</v>
      </c>
      <c r="DI34" s="228">
        <v>28.67</v>
      </c>
      <c r="DJ34" s="228">
        <v>7.0000000000000007E-2</v>
      </c>
      <c r="DK34" s="228">
        <v>7.0000000000000007E-2</v>
      </c>
      <c r="DL34" s="228">
        <v>27.9</v>
      </c>
      <c r="DM34" s="228">
        <v>28.19</v>
      </c>
      <c r="DN34" s="228">
        <v>-0.28999999999999998</v>
      </c>
      <c r="DO34" s="228">
        <v>-0.28999999999999998</v>
      </c>
      <c r="DP34" s="228">
        <v>0.87</v>
      </c>
      <c r="DQ34" s="228">
        <v>0.85</v>
      </c>
      <c r="DR34" s="228">
        <v>0.02</v>
      </c>
      <c r="DS34" s="229">
        <v>2.35E-2</v>
      </c>
      <c r="DT34" s="231">
        <v>2000</v>
      </c>
      <c r="DU34" s="231">
        <v>1800</v>
      </c>
      <c r="DV34" s="228">
        <v>0.52</v>
      </c>
      <c r="DW34" s="228">
        <v>0.43</v>
      </c>
      <c r="DX34" s="228">
        <v>0.09</v>
      </c>
      <c r="DY34" s="229">
        <v>0.20930000000000001</v>
      </c>
      <c r="DZ34" s="229">
        <v>1.29E-2</v>
      </c>
      <c r="EA34" s="230">
        <v>23725</v>
      </c>
      <c r="EB34" s="229">
        <v>-1.6000000000000001E-3</v>
      </c>
      <c r="EC34" s="229">
        <v>1.29E-2</v>
      </c>
      <c r="ED34" s="228">
        <v>-5.42</v>
      </c>
      <c r="EE34" s="229">
        <v>-2.8999999999999998E-3</v>
      </c>
      <c r="EF34" s="230">
        <v>208886</v>
      </c>
      <c r="EG34" s="230">
        <v>213938</v>
      </c>
      <c r="EH34" s="229">
        <v>-2.3599999999999999E-2</v>
      </c>
      <c r="EI34" s="229">
        <v>0.6401</v>
      </c>
      <c r="EJ34" s="231">
        <v>3731.65</v>
      </c>
      <c r="EK34" s="231">
        <v>1762.14</v>
      </c>
      <c r="EL34" s="231">
        <v>5432.9</v>
      </c>
      <c r="EM34" s="231">
        <v>3015</v>
      </c>
      <c r="EN34" s="231">
        <v>10926.69</v>
      </c>
      <c r="EO34" s="231">
        <v>10797.87</v>
      </c>
      <c r="EP34" s="228">
        <v>128.82</v>
      </c>
      <c r="EQ34" s="229">
        <v>1.1900000000000001E-2</v>
      </c>
      <c r="ER34" s="231">
        <v>5041</v>
      </c>
      <c r="ES34" s="231">
        <v>3936</v>
      </c>
      <c r="ET34" s="231">
        <v>35543</v>
      </c>
      <c r="EU34" s="231">
        <v>19584741</v>
      </c>
      <c r="EV34" s="231">
        <v>44520</v>
      </c>
      <c r="EW34" s="231">
        <v>44099</v>
      </c>
      <c r="EX34" s="228">
        <v>421</v>
      </c>
      <c r="EY34" s="229">
        <v>9.4999999999999998E-3</v>
      </c>
      <c r="EZ34" s="229">
        <v>0.1192</v>
      </c>
      <c r="FA34" s="227" t="s">
        <v>568</v>
      </c>
      <c r="FB34" s="161">
        <f t="shared" si="0"/>
        <v>24050</v>
      </c>
    </row>
    <row r="35" spans="1:158" ht="17.25" hidden="1" thickBot="1" x14ac:dyDescent="0.3">
      <c r="A35" s="226">
        <v>45936</v>
      </c>
      <c r="B35" s="227" t="s">
        <v>162</v>
      </c>
      <c r="C35" s="227" t="s">
        <v>192</v>
      </c>
      <c r="D35" s="228">
        <v>25</v>
      </c>
      <c r="E35" s="231">
        <v>39030</v>
      </c>
      <c r="F35" s="231">
        <v>38785</v>
      </c>
      <c r="G35" s="228">
        <v>245</v>
      </c>
      <c r="H35" s="229">
        <v>6.3E-3</v>
      </c>
      <c r="I35" s="231">
        <v>38800</v>
      </c>
      <c r="J35" s="231">
        <v>38630</v>
      </c>
      <c r="K35" s="228">
        <v>170</v>
      </c>
      <c r="L35" s="229">
        <v>4.4000000000000003E-3</v>
      </c>
      <c r="M35" s="231">
        <v>39030</v>
      </c>
      <c r="N35" s="231">
        <v>38785</v>
      </c>
      <c r="O35" s="228">
        <v>245</v>
      </c>
      <c r="P35" s="229">
        <v>6.3E-3</v>
      </c>
      <c r="Q35" s="231">
        <v>39240</v>
      </c>
      <c r="R35" s="231">
        <v>39000</v>
      </c>
      <c r="S35" s="228">
        <v>240</v>
      </c>
      <c r="T35" s="229">
        <v>6.1999999999999998E-3</v>
      </c>
      <c r="U35" s="228">
        <v>0</v>
      </c>
      <c r="V35" s="228">
        <v>0</v>
      </c>
      <c r="W35" s="228">
        <v>0</v>
      </c>
      <c r="X35" s="229">
        <v>0</v>
      </c>
      <c r="Y35" s="228">
        <v>230</v>
      </c>
      <c r="Z35" s="228">
        <v>155</v>
      </c>
      <c r="AA35" s="228">
        <v>75</v>
      </c>
      <c r="AB35" s="229">
        <v>5.8999999999999999E-3</v>
      </c>
      <c r="AC35" s="228">
        <v>230</v>
      </c>
      <c r="AD35" s="228">
        <v>155</v>
      </c>
      <c r="AE35" s="228">
        <v>75</v>
      </c>
      <c r="AF35" s="229">
        <v>5.8999999999999999E-3</v>
      </c>
      <c r="AG35" s="228">
        <v>440</v>
      </c>
      <c r="AH35" s="228">
        <v>370</v>
      </c>
      <c r="AI35" s="228">
        <v>70</v>
      </c>
      <c r="AJ35" s="229">
        <v>1.1299999999999999E-2</v>
      </c>
      <c r="AK35" s="228">
        <v>0</v>
      </c>
      <c r="AL35" s="228">
        <v>0</v>
      </c>
      <c r="AM35" s="228">
        <v>0</v>
      </c>
      <c r="AN35" s="229">
        <v>0</v>
      </c>
      <c r="AO35" s="231">
        <v>38860.230000000003</v>
      </c>
      <c r="AP35" s="231">
        <v>39046.58</v>
      </c>
      <c r="AQ35" s="228">
        <v>0</v>
      </c>
      <c r="AR35" s="230">
        <v>27975</v>
      </c>
      <c r="AS35" s="230">
        <v>27075</v>
      </c>
      <c r="AT35" s="228">
        <v>900</v>
      </c>
      <c r="AU35" s="229">
        <v>3.32E-2</v>
      </c>
      <c r="AV35" s="230">
        <v>26000</v>
      </c>
      <c r="AW35" s="230">
        <v>25825</v>
      </c>
      <c r="AX35" s="228">
        <v>175</v>
      </c>
      <c r="AY35" s="229">
        <v>6.7999999999999996E-3</v>
      </c>
      <c r="AZ35" s="230">
        <v>1975</v>
      </c>
      <c r="BA35" s="230">
        <v>1250</v>
      </c>
      <c r="BB35" s="228">
        <v>725</v>
      </c>
      <c r="BC35" s="229">
        <v>0.57999999999999996</v>
      </c>
      <c r="BD35" s="228">
        <v>0</v>
      </c>
      <c r="BE35" s="228">
        <v>0</v>
      </c>
      <c r="BF35" s="228">
        <v>0</v>
      </c>
      <c r="BG35" s="229">
        <v>0</v>
      </c>
      <c r="BH35" s="230">
        <v>88575</v>
      </c>
      <c r="BI35" s="230">
        <v>79900</v>
      </c>
      <c r="BJ35" s="230">
        <v>8675</v>
      </c>
      <c r="BK35" s="229">
        <v>0.1086</v>
      </c>
      <c r="BL35" s="230">
        <v>24375</v>
      </c>
      <c r="BM35" s="230">
        <v>25100</v>
      </c>
      <c r="BN35" s="228">
        <v>-725</v>
      </c>
      <c r="BO35" s="229">
        <v>-2.8899999999999999E-2</v>
      </c>
      <c r="BP35" s="230">
        <v>140925</v>
      </c>
      <c r="BQ35" s="230">
        <v>132075</v>
      </c>
      <c r="BR35" s="230">
        <v>8850</v>
      </c>
      <c r="BS35" s="229">
        <v>6.7000000000000004E-2</v>
      </c>
      <c r="BT35" s="230">
        <v>12169</v>
      </c>
      <c r="BU35" s="230">
        <v>23040</v>
      </c>
      <c r="BV35" s="230">
        <v>-10871</v>
      </c>
      <c r="BW35" s="229">
        <v>-0.4718</v>
      </c>
      <c r="BX35" s="230">
        <v>238125</v>
      </c>
      <c r="BY35" s="230">
        <v>239825</v>
      </c>
      <c r="BZ35" s="230">
        <v>-1700</v>
      </c>
      <c r="CA35" s="229">
        <v>-7.1000000000000004E-3</v>
      </c>
      <c r="CB35" s="230">
        <v>232975</v>
      </c>
      <c r="CC35" s="230">
        <v>235000</v>
      </c>
      <c r="CD35" s="230">
        <v>-2025</v>
      </c>
      <c r="CE35" s="229">
        <v>-8.6E-3</v>
      </c>
      <c r="CF35" s="230">
        <v>5150</v>
      </c>
      <c r="CG35" s="230">
        <v>4825</v>
      </c>
      <c r="CH35" s="228">
        <v>325</v>
      </c>
      <c r="CI35" s="229">
        <v>6.7400000000000002E-2</v>
      </c>
      <c r="CJ35" s="228">
        <v>0</v>
      </c>
      <c r="CK35" s="228">
        <v>0</v>
      </c>
      <c r="CL35" s="228">
        <v>0</v>
      </c>
      <c r="CM35" s="229">
        <v>0</v>
      </c>
      <c r="CN35" s="230">
        <v>45425</v>
      </c>
      <c r="CO35" s="230">
        <v>40125</v>
      </c>
      <c r="CP35" s="230">
        <v>5300</v>
      </c>
      <c r="CQ35" s="229">
        <v>0.1321</v>
      </c>
      <c r="CR35" s="230">
        <v>30475</v>
      </c>
      <c r="CS35" s="230">
        <v>28825</v>
      </c>
      <c r="CT35" s="230">
        <v>1650</v>
      </c>
      <c r="CU35" s="229">
        <v>5.7200000000000001E-2</v>
      </c>
      <c r="CV35" s="230">
        <v>314025</v>
      </c>
      <c r="CW35" s="230">
        <v>308775</v>
      </c>
      <c r="CX35" s="230">
        <v>5250</v>
      </c>
      <c r="CY35" s="229">
        <v>1.7000000000000001E-2</v>
      </c>
      <c r="CZ35" s="228">
        <v>21.55</v>
      </c>
      <c r="DA35" s="228">
        <v>20.88</v>
      </c>
      <c r="DB35" s="228">
        <v>0.67</v>
      </c>
      <c r="DC35" s="228">
        <v>0.67</v>
      </c>
      <c r="DD35" s="228">
        <v>29.3</v>
      </c>
      <c r="DE35" s="228">
        <v>29.36</v>
      </c>
      <c r="DF35" s="228">
        <v>-7.75</v>
      </c>
      <c r="DG35" s="228">
        <v>-0.06</v>
      </c>
      <c r="DH35" s="228">
        <v>21.35</v>
      </c>
      <c r="DI35" s="228">
        <v>20.6</v>
      </c>
      <c r="DJ35" s="228">
        <v>0.75</v>
      </c>
      <c r="DK35" s="228">
        <v>0.75</v>
      </c>
      <c r="DL35" s="228">
        <v>22.28</v>
      </c>
      <c r="DM35" s="228">
        <v>21.78</v>
      </c>
      <c r="DN35" s="228">
        <v>0.5</v>
      </c>
      <c r="DO35" s="228">
        <v>0.5</v>
      </c>
      <c r="DP35" s="228">
        <v>0.67</v>
      </c>
      <c r="DQ35" s="228">
        <v>0.72</v>
      </c>
      <c r="DR35" s="228">
        <v>-0.05</v>
      </c>
      <c r="DS35" s="229">
        <v>-6.9400000000000003E-2</v>
      </c>
      <c r="DT35" s="231">
        <v>40000</v>
      </c>
      <c r="DU35" s="231">
        <v>38000</v>
      </c>
      <c r="DV35" s="228">
        <v>0.28000000000000003</v>
      </c>
      <c r="DW35" s="228">
        <v>0.31</v>
      </c>
      <c r="DX35" s="228">
        <v>-0.03</v>
      </c>
      <c r="DY35" s="229">
        <v>-9.6799999999999997E-2</v>
      </c>
      <c r="DZ35" s="229">
        <v>2.1600000000000001E-2</v>
      </c>
      <c r="EA35" s="230">
        <v>4825</v>
      </c>
      <c r="EB35" s="229">
        <v>5.4000000000000003E-3</v>
      </c>
      <c r="EC35" s="229">
        <v>2.1600000000000001E-2</v>
      </c>
      <c r="ED35" s="228">
        <v>186.35</v>
      </c>
      <c r="EE35" s="229">
        <v>4.7999999999999996E-3</v>
      </c>
      <c r="EF35" s="230">
        <v>7131</v>
      </c>
      <c r="EG35" s="230">
        <v>14198</v>
      </c>
      <c r="EH35" s="229">
        <v>-0.49769999999999998</v>
      </c>
      <c r="EI35" s="229">
        <v>0.58599999999999997</v>
      </c>
      <c r="EJ35" s="231">
        <v>36063.24</v>
      </c>
      <c r="EK35" s="231">
        <v>9139.0400000000009</v>
      </c>
      <c r="EL35" s="231">
        <v>10874.83</v>
      </c>
      <c r="EM35" s="231">
        <v>3171</v>
      </c>
      <c r="EN35" s="231">
        <v>56077.11</v>
      </c>
      <c r="EO35" s="231">
        <v>52394.16</v>
      </c>
      <c r="EP35" s="231">
        <v>3682.95</v>
      </c>
      <c r="EQ35" s="229">
        <v>7.0300000000000001E-2</v>
      </c>
      <c r="ER35" s="231">
        <v>18414</v>
      </c>
      <c r="ES35" s="231">
        <v>11383</v>
      </c>
      <c r="ET35" s="231">
        <v>92951</v>
      </c>
      <c r="EU35" s="231">
        <v>982526</v>
      </c>
      <c r="EV35" s="231">
        <v>122748</v>
      </c>
      <c r="EW35" s="231">
        <v>119984</v>
      </c>
      <c r="EX35" s="231">
        <v>2764</v>
      </c>
      <c r="EY35" s="229">
        <v>2.3E-2</v>
      </c>
      <c r="EZ35" s="229">
        <v>0.3196</v>
      </c>
      <c r="FA35" s="227" t="s">
        <v>556</v>
      </c>
      <c r="FB35" s="161">
        <f t="shared" si="0"/>
        <v>5150</v>
      </c>
    </row>
    <row r="36" spans="1:158" ht="17.25" hidden="1" thickBot="1" x14ac:dyDescent="0.3">
      <c r="A36" s="226">
        <v>45936</v>
      </c>
      <c r="B36" s="227" t="s">
        <v>193</v>
      </c>
      <c r="C36" s="227" t="s">
        <v>194</v>
      </c>
      <c r="D36" s="228">
        <v>1975</v>
      </c>
      <c r="E36" s="228">
        <v>345.9</v>
      </c>
      <c r="F36" s="228">
        <v>343.6</v>
      </c>
      <c r="G36" s="228">
        <v>2.2999999999999998</v>
      </c>
      <c r="H36" s="229">
        <v>6.7000000000000002E-3</v>
      </c>
      <c r="I36" s="228">
        <v>343.6</v>
      </c>
      <c r="J36" s="228">
        <v>341.55</v>
      </c>
      <c r="K36" s="228">
        <v>2.0499999999999998</v>
      </c>
      <c r="L36" s="229">
        <v>6.0000000000000001E-3</v>
      </c>
      <c r="M36" s="228">
        <v>345.9</v>
      </c>
      <c r="N36" s="228">
        <v>343.6</v>
      </c>
      <c r="O36" s="228">
        <v>2.2999999999999998</v>
      </c>
      <c r="P36" s="229">
        <v>6.7000000000000002E-3</v>
      </c>
      <c r="Q36" s="228">
        <v>346.7</v>
      </c>
      <c r="R36" s="228">
        <v>345.05</v>
      </c>
      <c r="S36" s="228">
        <v>1.65</v>
      </c>
      <c r="T36" s="229">
        <v>4.7999999999999996E-3</v>
      </c>
      <c r="U36" s="228">
        <v>346.55</v>
      </c>
      <c r="V36" s="228">
        <v>345.7</v>
      </c>
      <c r="W36" s="228">
        <v>0.85</v>
      </c>
      <c r="X36" s="229">
        <v>2.5000000000000001E-3</v>
      </c>
      <c r="Y36" s="228">
        <v>2.2999999999999998</v>
      </c>
      <c r="Z36" s="228">
        <v>2.0499999999999998</v>
      </c>
      <c r="AA36" s="228">
        <v>0.25</v>
      </c>
      <c r="AB36" s="229">
        <v>6.7000000000000002E-3</v>
      </c>
      <c r="AC36" s="228">
        <v>2.2999999999999998</v>
      </c>
      <c r="AD36" s="228">
        <v>2.0499999999999998</v>
      </c>
      <c r="AE36" s="228">
        <v>0.25</v>
      </c>
      <c r="AF36" s="229">
        <v>6.7000000000000002E-3</v>
      </c>
      <c r="AG36" s="228">
        <v>3.1</v>
      </c>
      <c r="AH36" s="228">
        <v>3.5</v>
      </c>
      <c r="AI36" s="228">
        <v>-0.4</v>
      </c>
      <c r="AJ36" s="229">
        <v>8.9999999999999993E-3</v>
      </c>
      <c r="AK36" s="228">
        <v>2.95</v>
      </c>
      <c r="AL36" s="228">
        <v>4.1500000000000004</v>
      </c>
      <c r="AM36" s="228">
        <v>-1.2</v>
      </c>
      <c r="AN36" s="229">
        <v>8.6E-3</v>
      </c>
      <c r="AO36" s="228">
        <v>344.04</v>
      </c>
      <c r="AP36" s="228">
        <v>345.51</v>
      </c>
      <c r="AQ36" s="228">
        <v>0</v>
      </c>
      <c r="AR36" s="230">
        <v>9037600</v>
      </c>
      <c r="AS36" s="230">
        <v>6227175</v>
      </c>
      <c r="AT36" s="230">
        <v>2810425</v>
      </c>
      <c r="AU36" s="229">
        <v>0.45129999999999998</v>
      </c>
      <c r="AV36" s="230">
        <v>8557675</v>
      </c>
      <c r="AW36" s="230">
        <v>5814400</v>
      </c>
      <c r="AX36" s="230">
        <v>2743275</v>
      </c>
      <c r="AY36" s="229">
        <v>0.4718</v>
      </c>
      <c r="AZ36" s="230">
        <v>438450</v>
      </c>
      <c r="BA36" s="230">
        <v>396975</v>
      </c>
      <c r="BB36" s="230">
        <v>41475</v>
      </c>
      <c r="BC36" s="229">
        <v>0.1045</v>
      </c>
      <c r="BD36" s="230">
        <v>41475</v>
      </c>
      <c r="BE36" s="230">
        <v>15800</v>
      </c>
      <c r="BF36" s="230">
        <v>25675</v>
      </c>
      <c r="BG36" s="229">
        <v>1.625</v>
      </c>
      <c r="BH36" s="230">
        <v>33928525</v>
      </c>
      <c r="BI36" s="230">
        <v>19568300</v>
      </c>
      <c r="BJ36" s="230">
        <v>14360225</v>
      </c>
      <c r="BK36" s="229">
        <v>0.7339</v>
      </c>
      <c r="BL36" s="230">
        <v>24284600</v>
      </c>
      <c r="BM36" s="230">
        <v>9136350</v>
      </c>
      <c r="BN36" s="230">
        <v>15148250</v>
      </c>
      <c r="BO36" s="229">
        <v>1.6579999999999999</v>
      </c>
      <c r="BP36" s="230">
        <v>67250725</v>
      </c>
      <c r="BQ36" s="230">
        <v>34931825</v>
      </c>
      <c r="BR36" s="230">
        <v>32318900</v>
      </c>
      <c r="BS36" s="229">
        <v>0.92520000000000002</v>
      </c>
      <c r="BT36" s="230">
        <v>6146443</v>
      </c>
      <c r="BU36" s="230">
        <v>6023788</v>
      </c>
      <c r="BV36" s="230">
        <v>122655</v>
      </c>
      <c r="BW36" s="229">
        <v>2.0400000000000001E-2</v>
      </c>
      <c r="BX36" s="230">
        <v>35804775</v>
      </c>
      <c r="BY36" s="230">
        <v>34469675</v>
      </c>
      <c r="BZ36" s="230">
        <v>1335100</v>
      </c>
      <c r="CA36" s="229">
        <v>3.8699999999999998E-2</v>
      </c>
      <c r="CB36" s="230">
        <v>35299175</v>
      </c>
      <c r="CC36" s="230">
        <v>34076650</v>
      </c>
      <c r="CD36" s="230">
        <v>1222525</v>
      </c>
      <c r="CE36" s="229">
        <v>3.5900000000000001E-2</v>
      </c>
      <c r="CF36" s="230">
        <v>460175</v>
      </c>
      <c r="CG36" s="230">
        <v>363400</v>
      </c>
      <c r="CH36" s="230">
        <v>96775</v>
      </c>
      <c r="CI36" s="229">
        <v>0.26629999999999998</v>
      </c>
      <c r="CJ36" s="230">
        <v>45425</v>
      </c>
      <c r="CK36" s="230">
        <v>29625</v>
      </c>
      <c r="CL36" s="230">
        <v>15800</v>
      </c>
      <c r="CM36" s="229">
        <v>0.5333</v>
      </c>
      <c r="CN36" s="230">
        <v>11577450</v>
      </c>
      <c r="CO36" s="230">
        <v>10034975</v>
      </c>
      <c r="CP36" s="230">
        <v>1542475</v>
      </c>
      <c r="CQ36" s="229">
        <v>0.1537</v>
      </c>
      <c r="CR36" s="230">
        <v>10775600</v>
      </c>
      <c r="CS36" s="230">
        <v>7552400</v>
      </c>
      <c r="CT36" s="230">
        <v>3223200</v>
      </c>
      <c r="CU36" s="229">
        <v>0.42680000000000001</v>
      </c>
      <c r="CV36" s="230">
        <v>58157825</v>
      </c>
      <c r="CW36" s="230">
        <v>52057050</v>
      </c>
      <c r="CX36" s="230">
        <v>6100775</v>
      </c>
      <c r="CY36" s="229">
        <v>0.1172</v>
      </c>
      <c r="CZ36" s="228">
        <v>27.9</v>
      </c>
      <c r="DA36" s="228">
        <v>25.59</v>
      </c>
      <c r="DB36" s="228">
        <v>2.31</v>
      </c>
      <c r="DC36" s="228">
        <v>2.31</v>
      </c>
      <c r="DD36" s="228">
        <v>33.81</v>
      </c>
      <c r="DE36" s="228">
        <v>33.880000000000003</v>
      </c>
      <c r="DF36" s="228">
        <v>-5.91</v>
      </c>
      <c r="DG36" s="228">
        <v>-7.0000000000000007E-2</v>
      </c>
      <c r="DH36" s="228">
        <v>27.73</v>
      </c>
      <c r="DI36" s="228">
        <v>25.45</v>
      </c>
      <c r="DJ36" s="228">
        <v>2.2799999999999998</v>
      </c>
      <c r="DK36" s="228">
        <v>2.2799999999999998</v>
      </c>
      <c r="DL36" s="228">
        <v>28.13</v>
      </c>
      <c r="DM36" s="228">
        <v>25.87</v>
      </c>
      <c r="DN36" s="228">
        <v>2.2599999999999998</v>
      </c>
      <c r="DO36" s="228">
        <v>2.2599999999999998</v>
      </c>
      <c r="DP36" s="228">
        <v>0.93</v>
      </c>
      <c r="DQ36" s="228">
        <v>0.75</v>
      </c>
      <c r="DR36" s="228">
        <v>0.18</v>
      </c>
      <c r="DS36" s="229">
        <v>0.24</v>
      </c>
      <c r="DT36" s="228">
        <v>350</v>
      </c>
      <c r="DU36" s="228">
        <v>335</v>
      </c>
      <c r="DV36" s="228">
        <v>0.72</v>
      </c>
      <c r="DW36" s="228">
        <v>0.47</v>
      </c>
      <c r="DX36" s="228">
        <v>0.25</v>
      </c>
      <c r="DY36" s="229">
        <v>0.53190000000000004</v>
      </c>
      <c r="DZ36" s="229">
        <v>1.41E-2</v>
      </c>
      <c r="EA36" s="230">
        <v>393025</v>
      </c>
      <c r="EB36" s="229">
        <v>2.3E-3</v>
      </c>
      <c r="EC36" s="229">
        <v>1.41E-2</v>
      </c>
      <c r="ED36" s="228">
        <v>1.47</v>
      </c>
      <c r="EE36" s="229">
        <v>4.3E-3</v>
      </c>
      <c r="EF36" s="230">
        <v>3007297</v>
      </c>
      <c r="EG36" s="230">
        <v>3038369</v>
      </c>
      <c r="EH36" s="229">
        <v>-1.0200000000000001E-2</v>
      </c>
      <c r="EI36" s="229">
        <v>0.48930000000000001</v>
      </c>
      <c r="EJ36" s="231">
        <v>121857.39</v>
      </c>
      <c r="EK36" s="231">
        <v>82796.86</v>
      </c>
      <c r="EL36" s="231">
        <v>31100.080000000002</v>
      </c>
      <c r="EM36" s="231">
        <v>7949</v>
      </c>
      <c r="EN36" s="231">
        <v>235754.33</v>
      </c>
      <c r="EO36" s="231">
        <v>122023.05</v>
      </c>
      <c r="EP36" s="231">
        <v>113731.28</v>
      </c>
      <c r="EQ36" s="229">
        <v>0.93200000000000005</v>
      </c>
      <c r="ER36" s="231">
        <v>40886</v>
      </c>
      <c r="ES36" s="231">
        <v>35346</v>
      </c>
      <c r="ET36" s="231">
        <v>123853</v>
      </c>
      <c r="EU36" s="231">
        <v>281577339</v>
      </c>
      <c r="EV36" s="231">
        <v>200084</v>
      </c>
      <c r="EW36" s="231">
        <v>178382</v>
      </c>
      <c r="EX36" s="231">
        <v>21702</v>
      </c>
      <c r="EY36" s="229">
        <v>0.1217</v>
      </c>
      <c r="EZ36" s="229">
        <v>0.20649999999999999</v>
      </c>
      <c r="FA36" s="227" t="s">
        <v>555</v>
      </c>
      <c r="FB36" s="161">
        <f t="shared" si="0"/>
        <v>505600</v>
      </c>
    </row>
    <row r="37" spans="1:158" ht="17.25" hidden="1" thickBot="1" x14ac:dyDescent="0.3">
      <c r="A37" s="226">
        <v>45936</v>
      </c>
      <c r="B37" s="227" t="s">
        <v>168</v>
      </c>
      <c r="C37" s="227" t="s">
        <v>195</v>
      </c>
      <c r="D37" s="228">
        <v>125</v>
      </c>
      <c r="E37" s="231">
        <v>6034</v>
      </c>
      <c r="F37" s="231">
        <v>6022.5</v>
      </c>
      <c r="G37" s="228">
        <v>11.5</v>
      </c>
      <c r="H37" s="229">
        <v>1.9E-3</v>
      </c>
      <c r="I37" s="231">
        <v>6011</v>
      </c>
      <c r="J37" s="231">
        <v>5992.5</v>
      </c>
      <c r="K37" s="228">
        <v>18.5</v>
      </c>
      <c r="L37" s="229">
        <v>3.0999999999999999E-3</v>
      </c>
      <c r="M37" s="231">
        <v>6034</v>
      </c>
      <c r="N37" s="231">
        <v>6022.5</v>
      </c>
      <c r="O37" s="228">
        <v>11.5</v>
      </c>
      <c r="P37" s="229">
        <v>1.9E-3</v>
      </c>
      <c r="Q37" s="231">
        <v>6064.5</v>
      </c>
      <c r="R37" s="231">
        <v>6048.5</v>
      </c>
      <c r="S37" s="228">
        <v>16</v>
      </c>
      <c r="T37" s="229">
        <v>2.5999999999999999E-3</v>
      </c>
      <c r="U37" s="231">
        <v>6051</v>
      </c>
      <c r="V37" s="228">
        <v>0</v>
      </c>
      <c r="W37" s="231">
        <v>6051</v>
      </c>
      <c r="X37" s="229">
        <v>0</v>
      </c>
      <c r="Y37" s="228">
        <v>23</v>
      </c>
      <c r="Z37" s="228">
        <v>30</v>
      </c>
      <c r="AA37" s="228">
        <v>-7</v>
      </c>
      <c r="AB37" s="229">
        <v>3.8E-3</v>
      </c>
      <c r="AC37" s="228">
        <v>23</v>
      </c>
      <c r="AD37" s="228">
        <v>30</v>
      </c>
      <c r="AE37" s="228">
        <v>-7</v>
      </c>
      <c r="AF37" s="229">
        <v>3.8E-3</v>
      </c>
      <c r="AG37" s="228">
        <v>53.5</v>
      </c>
      <c r="AH37" s="228">
        <v>56</v>
      </c>
      <c r="AI37" s="228">
        <v>-2.5</v>
      </c>
      <c r="AJ37" s="229">
        <v>8.8999999999999999E-3</v>
      </c>
      <c r="AK37" s="228">
        <v>40</v>
      </c>
      <c r="AL37" s="228">
        <v>0</v>
      </c>
      <c r="AM37" s="228">
        <v>40</v>
      </c>
      <c r="AN37" s="229">
        <v>6.7000000000000002E-3</v>
      </c>
      <c r="AO37" s="231">
        <v>6014.87</v>
      </c>
      <c r="AP37" s="231">
        <v>6050.25</v>
      </c>
      <c r="AQ37" s="228">
        <v>0</v>
      </c>
      <c r="AR37" s="230">
        <v>217875</v>
      </c>
      <c r="AS37" s="230">
        <v>201375</v>
      </c>
      <c r="AT37" s="230">
        <v>16500</v>
      </c>
      <c r="AU37" s="229">
        <v>8.1900000000000001E-2</v>
      </c>
      <c r="AV37" s="230">
        <v>213625</v>
      </c>
      <c r="AW37" s="230">
        <v>197500</v>
      </c>
      <c r="AX37" s="230">
        <v>16125</v>
      </c>
      <c r="AY37" s="229">
        <v>8.1600000000000006E-2</v>
      </c>
      <c r="AZ37" s="230">
        <v>4000</v>
      </c>
      <c r="BA37" s="230">
        <v>3875</v>
      </c>
      <c r="BB37" s="228">
        <v>125</v>
      </c>
      <c r="BC37" s="229">
        <v>3.2300000000000002E-2</v>
      </c>
      <c r="BD37" s="228">
        <v>250</v>
      </c>
      <c r="BE37" s="228">
        <v>0</v>
      </c>
      <c r="BF37" s="228">
        <v>250</v>
      </c>
      <c r="BG37" s="229">
        <v>0</v>
      </c>
      <c r="BH37" s="230">
        <v>777125</v>
      </c>
      <c r="BI37" s="230">
        <v>676125</v>
      </c>
      <c r="BJ37" s="230">
        <v>101000</v>
      </c>
      <c r="BK37" s="229">
        <v>0.14940000000000001</v>
      </c>
      <c r="BL37" s="230">
        <v>232250</v>
      </c>
      <c r="BM37" s="230">
        <v>163125</v>
      </c>
      <c r="BN37" s="230">
        <v>69125</v>
      </c>
      <c r="BO37" s="229">
        <v>0.42380000000000001</v>
      </c>
      <c r="BP37" s="230">
        <v>1227250</v>
      </c>
      <c r="BQ37" s="230">
        <v>1040625</v>
      </c>
      <c r="BR37" s="230">
        <v>186625</v>
      </c>
      <c r="BS37" s="229">
        <v>0.17929999999999999</v>
      </c>
      <c r="BT37" s="230">
        <v>202253</v>
      </c>
      <c r="BU37" s="230">
        <v>282970</v>
      </c>
      <c r="BV37" s="230">
        <v>-80717</v>
      </c>
      <c r="BW37" s="229">
        <v>-0.28520000000000001</v>
      </c>
      <c r="BX37" s="230">
        <v>3691125</v>
      </c>
      <c r="BY37" s="230">
        <v>3713000</v>
      </c>
      <c r="BZ37" s="230">
        <v>-21875</v>
      </c>
      <c r="CA37" s="229">
        <v>-5.8999999999999999E-3</v>
      </c>
      <c r="CB37" s="230">
        <v>3676000</v>
      </c>
      <c r="CC37" s="230">
        <v>3698500</v>
      </c>
      <c r="CD37" s="230">
        <v>-22500</v>
      </c>
      <c r="CE37" s="229">
        <v>-6.1000000000000004E-3</v>
      </c>
      <c r="CF37" s="230">
        <v>14875</v>
      </c>
      <c r="CG37" s="230">
        <v>14500</v>
      </c>
      <c r="CH37" s="228">
        <v>375</v>
      </c>
      <c r="CI37" s="229">
        <v>2.5899999999999999E-2</v>
      </c>
      <c r="CJ37" s="228">
        <v>250</v>
      </c>
      <c r="CK37" s="228">
        <v>0</v>
      </c>
      <c r="CL37" s="228">
        <v>250</v>
      </c>
      <c r="CM37" s="229">
        <v>0</v>
      </c>
      <c r="CN37" s="230">
        <v>718375</v>
      </c>
      <c r="CO37" s="230">
        <v>629250</v>
      </c>
      <c r="CP37" s="230">
        <v>89125</v>
      </c>
      <c r="CQ37" s="229">
        <v>0.1416</v>
      </c>
      <c r="CR37" s="230">
        <v>384000</v>
      </c>
      <c r="CS37" s="230">
        <v>335250</v>
      </c>
      <c r="CT37" s="230">
        <v>48750</v>
      </c>
      <c r="CU37" s="229">
        <v>0.1454</v>
      </c>
      <c r="CV37" s="230">
        <v>4793500</v>
      </c>
      <c r="CW37" s="230">
        <v>4677500</v>
      </c>
      <c r="CX37" s="230">
        <v>116000</v>
      </c>
      <c r="CY37" s="229">
        <v>2.4799999999999999E-2</v>
      </c>
      <c r="CZ37" s="228">
        <v>20.5</v>
      </c>
      <c r="DA37" s="228">
        <v>19.91</v>
      </c>
      <c r="DB37" s="228">
        <v>0.59</v>
      </c>
      <c r="DC37" s="228">
        <v>0.59</v>
      </c>
      <c r="DD37" s="228">
        <v>24.8</v>
      </c>
      <c r="DE37" s="228">
        <v>24.86</v>
      </c>
      <c r="DF37" s="228">
        <v>-4.3</v>
      </c>
      <c r="DG37" s="228">
        <v>-0.06</v>
      </c>
      <c r="DH37" s="228">
        <v>20.420000000000002</v>
      </c>
      <c r="DI37" s="228">
        <v>19.86</v>
      </c>
      <c r="DJ37" s="228">
        <v>0.56000000000000005</v>
      </c>
      <c r="DK37" s="228">
        <v>0.56000000000000005</v>
      </c>
      <c r="DL37" s="228">
        <v>20.77</v>
      </c>
      <c r="DM37" s="228">
        <v>20.13</v>
      </c>
      <c r="DN37" s="228">
        <v>0.64</v>
      </c>
      <c r="DO37" s="228">
        <v>0.64</v>
      </c>
      <c r="DP37" s="228">
        <v>0.53</v>
      </c>
      <c r="DQ37" s="228">
        <v>0.53</v>
      </c>
      <c r="DR37" s="228">
        <v>0</v>
      </c>
      <c r="DS37" s="229">
        <v>0</v>
      </c>
      <c r="DT37" s="231">
        <v>6600</v>
      </c>
      <c r="DU37" s="231">
        <v>5500</v>
      </c>
      <c r="DV37" s="228">
        <v>0.3</v>
      </c>
      <c r="DW37" s="228">
        <v>0.24</v>
      </c>
      <c r="DX37" s="228">
        <v>0.06</v>
      </c>
      <c r="DY37" s="229">
        <v>0.25</v>
      </c>
      <c r="DZ37" s="229">
        <v>4.1000000000000003E-3</v>
      </c>
      <c r="EA37" s="230">
        <v>14500</v>
      </c>
      <c r="EB37" s="229">
        <v>5.1000000000000004E-3</v>
      </c>
      <c r="EC37" s="229">
        <v>4.1000000000000003E-3</v>
      </c>
      <c r="ED37" s="228">
        <v>35.380000000000003</v>
      </c>
      <c r="EE37" s="229">
        <v>5.8999999999999999E-3</v>
      </c>
      <c r="EF37" s="230">
        <v>141489</v>
      </c>
      <c r="EG37" s="230">
        <v>205000</v>
      </c>
      <c r="EH37" s="229">
        <v>-0.30980000000000002</v>
      </c>
      <c r="EI37" s="229">
        <v>0.6996</v>
      </c>
      <c r="EJ37" s="231">
        <v>48608.91</v>
      </c>
      <c r="EK37" s="231">
        <v>13516.76</v>
      </c>
      <c r="EL37" s="231">
        <v>13106.43</v>
      </c>
      <c r="EM37" s="231">
        <v>10092</v>
      </c>
      <c r="EN37" s="231">
        <v>75232.100000000006</v>
      </c>
      <c r="EO37" s="231">
        <v>64088.55</v>
      </c>
      <c r="EP37" s="231">
        <v>11143.55</v>
      </c>
      <c r="EQ37" s="229">
        <v>0.1739</v>
      </c>
      <c r="ER37" s="231">
        <v>45290</v>
      </c>
      <c r="ES37" s="231">
        <v>22057</v>
      </c>
      <c r="ET37" s="231">
        <v>222727</v>
      </c>
      <c r="EU37" s="231">
        <v>13082978</v>
      </c>
      <c r="EV37" s="231">
        <v>290075</v>
      </c>
      <c r="EW37" s="231">
        <v>282545</v>
      </c>
      <c r="EX37" s="231">
        <v>7530</v>
      </c>
      <c r="EY37" s="229">
        <v>2.6700000000000002E-2</v>
      </c>
      <c r="EZ37" s="229">
        <v>0.3664</v>
      </c>
      <c r="FA37" s="227" t="s">
        <v>556</v>
      </c>
      <c r="FB37" s="161">
        <f t="shared" si="0"/>
        <v>15125</v>
      </c>
    </row>
    <row r="38" spans="1:158" ht="17.25" hidden="1" thickBot="1" x14ac:dyDescent="0.3">
      <c r="A38" s="226">
        <v>45936</v>
      </c>
      <c r="B38" s="227" t="s">
        <v>175</v>
      </c>
      <c r="C38" s="227" t="s">
        <v>585</v>
      </c>
      <c r="D38" s="228">
        <v>375</v>
      </c>
      <c r="E38" s="231">
        <v>2230.3000000000002</v>
      </c>
      <c r="F38" s="231">
        <v>2107.1</v>
      </c>
      <c r="G38" s="228">
        <v>123.2</v>
      </c>
      <c r="H38" s="229">
        <v>5.8500000000000003E-2</v>
      </c>
      <c r="I38" s="231">
        <v>2217.9</v>
      </c>
      <c r="J38" s="231">
        <v>2093.4</v>
      </c>
      <c r="K38" s="228">
        <v>124.5</v>
      </c>
      <c r="L38" s="229">
        <v>5.9499999999999997E-2</v>
      </c>
      <c r="M38" s="231">
        <v>2230.3000000000002</v>
      </c>
      <c r="N38" s="231">
        <v>2107.1</v>
      </c>
      <c r="O38" s="228">
        <v>123.2</v>
      </c>
      <c r="P38" s="229">
        <v>5.8500000000000003E-2</v>
      </c>
      <c r="Q38" s="231">
        <v>2237.8000000000002</v>
      </c>
      <c r="R38" s="231">
        <v>2116</v>
      </c>
      <c r="S38" s="228">
        <v>121.8</v>
      </c>
      <c r="T38" s="229">
        <v>5.7599999999999998E-2</v>
      </c>
      <c r="U38" s="231">
        <v>2246.3000000000002</v>
      </c>
      <c r="V38" s="231">
        <v>2120.9</v>
      </c>
      <c r="W38" s="228">
        <v>125.4</v>
      </c>
      <c r="X38" s="229">
        <v>5.91E-2</v>
      </c>
      <c r="Y38" s="228">
        <v>12.4</v>
      </c>
      <c r="Z38" s="228">
        <v>13.7</v>
      </c>
      <c r="AA38" s="228">
        <v>-1.3</v>
      </c>
      <c r="AB38" s="229">
        <v>5.5999999999999999E-3</v>
      </c>
      <c r="AC38" s="228">
        <v>12.4</v>
      </c>
      <c r="AD38" s="228">
        <v>13.7</v>
      </c>
      <c r="AE38" s="228">
        <v>-1.3</v>
      </c>
      <c r="AF38" s="229">
        <v>5.5999999999999999E-3</v>
      </c>
      <c r="AG38" s="228">
        <v>19.899999999999999</v>
      </c>
      <c r="AH38" s="228">
        <v>22.6</v>
      </c>
      <c r="AI38" s="228">
        <v>-2.7</v>
      </c>
      <c r="AJ38" s="229">
        <v>8.9999999999999993E-3</v>
      </c>
      <c r="AK38" s="228">
        <v>28.4</v>
      </c>
      <c r="AL38" s="228">
        <v>27.5</v>
      </c>
      <c r="AM38" s="228">
        <v>0.9</v>
      </c>
      <c r="AN38" s="229">
        <v>1.2800000000000001E-2</v>
      </c>
      <c r="AO38" s="231">
        <v>2194.66</v>
      </c>
      <c r="AP38" s="231">
        <v>2203.2600000000002</v>
      </c>
      <c r="AQ38" s="228">
        <v>0</v>
      </c>
      <c r="AR38" s="230">
        <v>7778250</v>
      </c>
      <c r="AS38" s="230">
        <v>2494875</v>
      </c>
      <c r="AT38" s="230">
        <v>5283375</v>
      </c>
      <c r="AU38" s="229">
        <v>2.1177000000000001</v>
      </c>
      <c r="AV38" s="230">
        <v>7204500</v>
      </c>
      <c r="AW38" s="230">
        <v>2328750</v>
      </c>
      <c r="AX38" s="230">
        <v>4875750</v>
      </c>
      <c r="AY38" s="229">
        <v>2.0937000000000001</v>
      </c>
      <c r="AZ38" s="230">
        <v>485625</v>
      </c>
      <c r="BA38" s="230">
        <v>133125</v>
      </c>
      <c r="BB38" s="230">
        <v>352500</v>
      </c>
      <c r="BC38" s="229">
        <v>2.6478999999999999</v>
      </c>
      <c r="BD38" s="230">
        <v>88125</v>
      </c>
      <c r="BE38" s="230">
        <v>33000</v>
      </c>
      <c r="BF38" s="230">
        <v>55125</v>
      </c>
      <c r="BG38" s="229">
        <v>1.6705000000000001</v>
      </c>
      <c r="BH38" s="230">
        <v>37932000</v>
      </c>
      <c r="BI38" s="230">
        <v>9054750</v>
      </c>
      <c r="BJ38" s="230">
        <v>28877250</v>
      </c>
      <c r="BK38" s="229">
        <v>3.1892</v>
      </c>
      <c r="BL38" s="230">
        <v>18278625</v>
      </c>
      <c r="BM38" s="230">
        <v>5487000</v>
      </c>
      <c r="BN38" s="230">
        <v>12791625</v>
      </c>
      <c r="BO38" s="229">
        <v>2.3313000000000001</v>
      </c>
      <c r="BP38" s="230">
        <v>63988875</v>
      </c>
      <c r="BQ38" s="230">
        <v>17036625</v>
      </c>
      <c r="BR38" s="230">
        <v>46952250</v>
      </c>
      <c r="BS38" s="229">
        <v>2.7559999999999998</v>
      </c>
      <c r="BT38" s="230">
        <v>8546614</v>
      </c>
      <c r="BU38" s="230">
        <v>2827421</v>
      </c>
      <c r="BV38" s="230">
        <v>5719193</v>
      </c>
      <c r="BW38" s="229">
        <v>2.0228000000000002</v>
      </c>
      <c r="BX38" s="230">
        <v>13899000</v>
      </c>
      <c r="BY38" s="230">
        <v>14205000</v>
      </c>
      <c r="BZ38" s="230">
        <v>-306000</v>
      </c>
      <c r="CA38" s="229">
        <v>-2.1499999999999998E-2</v>
      </c>
      <c r="CB38" s="230">
        <v>13017000</v>
      </c>
      <c r="CC38" s="230">
        <v>13355250</v>
      </c>
      <c r="CD38" s="230">
        <v>-338250</v>
      </c>
      <c r="CE38" s="229">
        <v>-2.53E-2</v>
      </c>
      <c r="CF38" s="230">
        <v>813375</v>
      </c>
      <c r="CG38" s="230">
        <v>817875</v>
      </c>
      <c r="CH38" s="230">
        <v>-4500</v>
      </c>
      <c r="CI38" s="229">
        <v>-5.4999999999999997E-3</v>
      </c>
      <c r="CJ38" s="230">
        <v>68625</v>
      </c>
      <c r="CK38" s="230">
        <v>31875</v>
      </c>
      <c r="CL38" s="230">
        <v>36750</v>
      </c>
      <c r="CM38" s="229">
        <v>1.1529</v>
      </c>
      <c r="CN38" s="230">
        <v>7375500</v>
      </c>
      <c r="CO38" s="230">
        <v>6978750</v>
      </c>
      <c r="CP38" s="230">
        <v>396750</v>
      </c>
      <c r="CQ38" s="229">
        <v>5.6899999999999999E-2</v>
      </c>
      <c r="CR38" s="230">
        <v>6985500</v>
      </c>
      <c r="CS38" s="230">
        <v>6352875</v>
      </c>
      <c r="CT38" s="230">
        <v>632625</v>
      </c>
      <c r="CU38" s="229">
        <v>9.9599999999999994E-2</v>
      </c>
      <c r="CV38" s="230">
        <v>28260000</v>
      </c>
      <c r="CW38" s="230">
        <v>27536625</v>
      </c>
      <c r="CX38" s="230">
        <v>723375</v>
      </c>
      <c r="CY38" s="229">
        <v>2.63E-2</v>
      </c>
      <c r="CZ38" s="228">
        <v>46.07</v>
      </c>
      <c r="DA38" s="228">
        <v>45.92</v>
      </c>
      <c r="DB38" s="228">
        <v>0.15</v>
      </c>
      <c r="DC38" s="228">
        <v>0.15</v>
      </c>
      <c r="DD38" s="228">
        <v>64.13</v>
      </c>
      <c r="DE38" s="228">
        <v>63.82</v>
      </c>
      <c r="DF38" s="228">
        <v>-18.059999999999999</v>
      </c>
      <c r="DG38" s="228">
        <v>0.31</v>
      </c>
      <c r="DH38" s="228">
        <v>44.72</v>
      </c>
      <c r="DI38" s="228">
        <v>44.75</v>
      </c>
      <c r="DJ38" s="228">
        <v>-0.03</v>
      </c>
      <c r="DK38" s="228">
        <v>-0.03</v>
      </c>
      <c r="DL38" s="228">
        <v>48.87</v>
      </c>
      <c r="DM38" s="228">
        <v>47.85</v>
      </c>
      <c r="DN38" s="228">
        <v>1.02</v>
      </c>
      <c r="DO38" s="228">
        <v>1.02</v>
      </c>
      <c r="DP38" s="228">
        <v>0.95</v>
      </c>
      <c r="DQ38" s="228">
        <v>0.91</v>
      </c>
      <c r="DR38" s="228">
        <v>0.04</v>
      </c>
      <c r="DS38" s="229">
        <v>4.3999999999999997E-2</v>
      </c>
      <c r="DT38" s="231">
        <v>2200</v>
      </c>
      <c r="DU38" s="231">
        <v>2100</v>
      </c>
      <c r="DV38" s="228">
        <v>0.48</v>
      </c>
      <c r="DW38" s="228">
        <v>0.61</v>
      </c>
      <c r="DX38" s="228">
        <v>-0.13</v>
      </c>
      <c r="DY38" s="229">
        <v>-0.21310000000000001</v>
      </c>
      <c r="DZ38" s="229">
        <v>6.3500000000000001E-2</v>
      </c>
      <c r="EA38" s="230">
        <v>849750</v>
      </c>
      <c r="EB38" s="229">
        <v>3.3999999999999998E-3</v>
      </c>
      <c r="EC38" s="229">
        <v>6.3500000000000001E-2</v>
      </c>
      <c r="ED38" s="228">
        <v>8.6</v>
      </c>
      <c r="EE38" s="229">
        <v>3.8999999999999998E-3</v>
      </c>
      <c r="EF38" s="230">
        <v>2602275</v>
      </c>
      <c r="EG38" s="230">
        <v>952335</v>
      </c>
      <c r="EH38" s="229">
        <v>1.7324999999999999</v>
      </c>
      <c r="EI38" s="229">
        <v>0.30449999999999999</v>
      </c>
      <c r="EJ38" s="231">
        <v>899655.84</v>
      </c>
      <c r="EK38" s="231">
        <v>384991.65</v>
      </c>
      <c r="EL38" s="231">
        <v>170765.66</v>
      </c>
      <c r="EM38" s="231">
        <v>18503</v>
      </c>
      <c r="EN38" s="231">
        <v>1455413.15</v>
      </c>
      <c r="EO38" s="231">
        <v>369424.54</v>
      </c>
      <c r="EP38" s="231">
        <v>1085988.6100000001</v>
      </c>
      <c r="EQ38" s="229">
        <v>2.9397000000000002</v>
      </c>
      <c r="ER38" s="231">
        <v>173567</v>
      </c>
      <c r="ES38" s="231">
        <v>141422</v>
      </c>
      <c r="ET38" s="231">
        <v>310061</v>
      </c>
      <c r="EU38" s="231">
        <v>48385387</v>
      </c>
      <c r="EV38" s="231">
        <v>625051</v>
      </c>
      <c r="EW38" s="231">
        <v>588381</v>
      </c>
      <c r="EX38" s="231">
        <v>36670</v>
      </c>
      <c r="EY38" s="229">
        <v>6.2300000000000001E-2</v>
      </c>
      <c r="EZ38" s="229">
        <v>0.58409999999999995</v>
      </c>
      <c r="FA38" s="227" t="s">
        <v>556</v>
      </c>
      <c r="FB38" s="161">
        <f t="shared" si="0"/>
        <v>882000</v>
      </c>
    </row>
    <row r="39" spans="1:158" ht="17.25" hidden="1" thickBot="1" x14ac:dyDescent="0.3">
      <c r="A39" s="226">
        <v>45936</v>
      </c>
      <c r="B39" s="227" t="s">
        <v>175</v>
      </c>
      <c r="C39" s="227" t="s">
        <v>612</v>
      </c>
      <c r="D39" s="228">
        <v>150</v>
      </c>
      <c r="E39" s="231">
        <v>3857.2</v>
      </c>
      <c r="F39" s="231">
        <v>3833.5</v>
      </c>
      <c r="G39" s="228">
        <v>23.7</v>
      </c>
      <c r="H39" s="229">
        <v>6.1999999999999998E-3</v>
      </c>
      <c r="I39" s="231">
        <v>3825.5</v>
      </c>
      <c r="J39" s="231">
        <v>3811.3</v>
      </c>
      <c r="K39" s="228">
        <v>14.2</v>
      </c>
      <c r="L39" s="229">
        <v>3.7000000000000002E-3</v>
      </c>
      <c r="M39" s="231">
        <v>3857.2</v>
      </c>
      <c r="N39" s="231">
        <v>3833.5</v>
      </c>
      <c r="O39" s="228">
        <v>23.7</v>
      </c>
      <c r="P39" s="229">
        <v>6.1999999999999998E-3</v>
      </c>
      <c r="Q39" s="231">
        <v>3862.6</v>
      </c>
      <c r="R39" s="231">
        <v>3842.4</v>
      </c>
      <c r="S39" s="228">
        <v>20.2</v>
      </c>
      <c r="T39" s="229">
        <v>5.3E-3</v>
      </c>
      <c r="U39" s="231">
        <v>3887</v>
      </c>
      <c r="V39" s="231">
        <v>3858.4</v>
      </c>
      <c r="W39" s="228">
        <v>28.6</v>
      </c>
      <c r="X39" s="229">
        <v>7.4000000000000003E-3</v>
      </c>
      <c r="Y39" s="228">
        <v>31.7</v>
      </c>
      <c r="Z39" s="228">
        <v>22.2</v>
      </c>
      <c r="AA39" s="228">
        <v>9.5</v>
      </c>
      <c r="AB39" s="229">
        <v>8.3000000000000001E-3</v>
      </c>
      <c r="AC39" s="228">
        <v>31.7</v>
      </c>
      <c r="AD39" s="228">
        <v>22.2</v>
      </c>
      <c r="AE39" s="228">
        <v>9.5</v>
      </c>
      <c r="AF39" s="229">
        <v>8.3000000000000001E-3</v>
      </c>
      <c r="AG39" s="228">
        <v>37.1</v>
      </c>
      <c r="AH39" s="228">
        <v>31.1</v>
      </c>
      <c r="AI39" s="228">
        <v>6</v>
      </c>
      <c r="AJ39" s="229">
        <v>9.7000000000000003E-3</v>
      </c>
      <c r="AK39" s="228">
        <v>61.5</v>
      </c>
      <c r="AL39" s="228">
        <v>47.1</v>
      </c>
      <c r="AM39" s="228">
        <v>14.4</v>
      </c>
      <c r="AN39" s="229">
        <v>1.61E-2</v>
      </c>
      <c r="AO39" s="231">
        <v>3844.13</v>
      </c>
      <c r="AP39" s="231">
        <v>3852.56</v>
      </c>
      <c r="AQ39" s="228">
        <v>0</v>
      </c>
      <c r="AR39" s="230">
        <v>327300</v>
      </c>
      <c r="AS39" s="230">
        <v>250200</v>
      </c>
      <c r="AT39" s="230">
        <v>77100</v>
      </c>
      <c r="AU39" s="229">
        <v>0.30819999999999997</v>
      </c>
      <c r="AV39" s="230">
        <v>316950</v>
      </c>
      <c r="AW39" s="230">
        <v>236700</v>
      </c>
      <c r="AX39" s="230">
        <v>80250</v>
      </c>
      <c r="AY39" s="229">
        <v>0.33900000000000002</v>
      </c>
      <c r="AZ39" s="230">
        <v>9000</v>
      </c>
      <c r="BA39" s="230">
        <v>13050</v>
      </c>
      <c r="BB39" s="230">
        <v>-4050</v>
      </c>
      <c r="BC39" s="229">
        <v>-0.31030000000000002</v>
      </c>
      <c r="BD39" s="230">
        <v>1350</v>
      </c>
      <c r="BE39" s="228">
        <v>450</v>
      </c>
      <c r="BF39" s="228">
        <v>900</v>
      </c>
      <c r="BG39" s="229">
        <v>2</v>
      </c>
      <c r="BH39" s="230">
        <v>805950</v>
      </c>
      <c r="BI39" s="230">
        <v>744450</v>
      </c>
      <c r="BJ39" s="230">
        <v>61500</v>
      </c>
      <c r="BK39" s="229">
        <v>8.2600000000000007E-2</v>
      </c>
      <c r="BL39" s="230">
        <v>310800</v>
      </c>
      <c r="BM39" s="230">
        <v>260400</v>
      </c>
      <c r="BN39" s="230">
        <v>50400</v>
      </c>
      <c r="BO39" s="229">
        <v>0.19350000000000001</v>
      </c>
      <c r="BP39" s="230">
        <v>1444050</v>
      </c>
      <c r="BQ39" s="230">
        <v>1255050</v>
      </c>
      <c r="BR39" s="230">
        <v>189000</v>
      </c>
      <c r="BS39" s="229">
        <v>0.15060000000000001</v>
      </c>
      <c r="BT39" s="230">
        <v>417600</v>
      </c>
      <c r="BU39" s="230">
        <v>260142</v>
      </c>
      <c r="BV39" s="230">
        <v>157458</v>
      </c>
      <c r="BW39" s="229">
        <v>0.60529999999999995</v>
      </c>
      <c r="BX39" s="230">
        <v>2013600</v>
      </c>
      <c r="BY39" s="230">
        <v>1959750</v>
      </c>
      <c r="BZ39" s="230">
        <v>53850</v>
      </c>
      <c r="CA39" s="229">
        <v>2.75E-2</v>
      </c>
      <c r="CB39" s="230">
        <v>1938750</v>
      </c>
      <c r="CC39" s="230">
        <v>1886550</v>
      </c>
      <c r="CD39" s="230">
        <v>52200</v>
      </c>
      <c r="CE39" s="229">
        <v>2.7699999999999999E-2</v>
      </c>
      <c r="CF39" s="230">
        <v>73350</v>
      </c>
      <c r="CG39" s="230">
        <v>72600</v>
      </c>
      <c r="CH39" s="228">
        <v>750</v>
      </c>
      <c r="CI39" s="229">
        <v>1.03E-2</v>
      </c>
      <c r="CJ39" s="230">
        <v>1500</v>
      </c>
      <c r="CK39" s="228">
        <v>600</v>
      </c>
      <c r="CL39" s="228">
        <v>900</v>
      </c>
      <c r="CM39" s="229">
        <v>1.5</v>
      </c>
      <c r="CN39" s="230">
        <v>549300</v>
      </c>
      <c r="CO39" s="230">
        <v>500550</v>
      </c>
      <c r="CP39" s="230">
        <v>48750</v>
      </c>
      <c r="CQ39" s="229">
        <v>9.74E-2</v>
      </c>
      <c r="CR39" s="230">
        <v>397950</v>
      </c>
      <c r="CS39" s="230">
        <v>342900</v>
      </c>
      <c r="CT39" s="230">
        <v>55050</v>
      </c>
      <c r="CU39" s="229">
        <v>0.1605</v>
      </c>
      <c r="CV39" s="230">
        <v>2960850</v>
      </c>
      <c r="CW39" s="230">
        <v>2803200</v>
      </c>
      <c r="CX39" s="230">
        <v>157650</v>
      </c>
      <c r="CY39" s="229">
        <v>5.62E-2</v>
      </c>
      <c r="CZ39" s="228">
        <v>29.92</v>
      </c>
      <c r="DA39" s="228">
        <v>28.85</v>
      </c>
      <c r="DB39" s="228">
        <v>1.07</v>
      </c>
      <c r="DC39" s="228">
        <v>1.07</v>
      </c>
      <c r="DD39" s="228">
        <v>43.15</v>
      </c>
      <c r="DE39" s="228">
        <v>43.25</v>
      </c>
      <c r="DF39" s="228">
        <v>-13.23</v>
      </c>
      <c r="DG39" s="228">
        <v>-0.1</v>
      </c>
      <c r="DH39" s="228">
        <v>29.98</v>
      </c>
      <c r="DI39" s="228">
        <v>28.92</v>
      </c>
      <c r="DJ39" s="228">
        <v>1.06</v>
      </c>
      <c r="DK39" s="228">
        <v>1.06</v>
      </c>
      <c r="DL39" s="228">
        <v>29.74</v>
      </c>
      <c r="DM39" s="228">
        <v>28.68</v>
      </c>
      <c r="DN39" s="228">
        <v>1.06</v>
      </c>
      <c r="DO39" s="228">
        <v>1.06</v>
      </c>
      <c r="DP39" s="228">
        <v>0.72</v>
      </c>
      <c r="DQ39" s="228">
        <v>0.69</v>
      </c>
      <c r="DR39" s="228">
        <v>0.03</v>
      </c>
      <c r="DS39" s="229">
        <v>4.3499999999999997E-2</v>
      </c>
      <c r="DT39" s="231">
        <v>4000</v>
      </c>
      <c r="DU39" s="231">
        <v>3800</v>
      </c>
      <c r="DV39" s="228">
        <v>0.39</v>
      </c>
      <c r="DW39" s="228">
        <v>0.35</v>
      </c>
      <c r="DX39" s="228">
        <v>0.04</v>
      </c>
      <c r="DY39" s="229">
        <v>0.1143</v>
      </c>
      <c r="DZ39" s="229">
        <v>3.7199999999999997E-2</v>
      </c>
      <c r="EA39" s="230">
        <v>73200</v>
      </c>
      <c r="EB39" s="229">
        <v>1.4E-3</v>
      </c>
      <c r="EC39" s="229">
        <v>3.7199999999999997E-2</v>
      </c>
      <c r="ED39" s="228">
        <v>8.43</v>
      </c>
      <c r="EE39" s="229">
        <v>2.2000000000000001E-3</v>
      </c>
      <c r="EF39" s="230">
        <v>275556</v>
      </c>
      <c r="EG39" s="230">
        <v>119428</v>
      </c>
      <c r="EH39" s="229">
        <v>1.3072999999999999</v>
      </c>
      <c r="EI39" s="229">
        <v>0.65990000000000004</v>
      </c>
      <c r="EJ39" s="231">
        <v>32436.81</v>
      </c>
      <c r="EK39" s="231">
        <v>11901.59</v>
      </c>
      <c r="EL39" s="231">
        <v>12583.01</v>
      </c>
      <c r="EM39" s="231">
        <v>4805</v>
      </c>
      <c r="EN39" s="231">
        <v>56921.41</v>
      </c>
      <c r="EO39" s="231">
        <v>49664.4</v>
      </c>
      <c r="EP39" s="231">
        <v>7257.01</v>
      </c>
      <c r="EQ39" s="229">
        <v>0.14610000000000001</v>
      </c>
      <c r="ER39" s="231">
        <v>22026</v>
      </c>
      <c r="ES39" s="231">
        <v>15154</v>
      </c>
      <c r="ET39" s="231">
        <v>77673</v>
      </c>
      <c r="EU39" s="231">
        <v>7421215</v>
      </c>
      <c r="EV39" s="231">
        <v>114852</v>
      </c>
      <c r="EW39" s="231">
        <v>108319</v>
      </c>
      <c r="EX39" s="231">
        <v>6533</v>
      </c>
      <c r="EY39" s="229">
        <v>6.0299999999999999E-2</v>
      </c>
      <c r="EZ39" s="229">
        <v>0.39900000000000002</v>
      </c>
      <c r="FA39" s="227" t="s">
        <v>555</v>
      </c>
      <c r="FB39" s="161">
        <f t="shared" si="0"/>
        <v>74850</v>
      </c>
    </row>
    <row r="40" spans="1:158" ht="17.25" hidden="1" thickBot="1" x14ac:dyDescent="0.3">
      <c r="A40" s="226">
        <v>45936</v>
      </c>
      <c r="B40" s="227" t="s">
        <v>172</v>
      </c>
      <c r="C40" s="227" t="s">
        <v>196</v>
      </c>
      <c r="D40" s="228">
        <v>6750</v>
      </c>
      <c r="E40" s="228">
        <v>127.42</v>
      </c>
      <c r="F40" s="228">
        <v>126.73</v>
      </c>
      <c r="G40" s="228">
        <v>0.69</v>
      </c>
      <c r="H40" s="229">
        <v>5.4000000000000003E-3</v>
      </c>
      <c r="I40" s="228">
        <v>126.76</v>
      </c>
      <c r="J40" s="228">
        <v>125.9</v>
      </c>
      <c r="K40" s="228">
        <v>0.86</v>
      </c>
      <c r="L40" s="229">
        <v>6.7999999999999996E-3</v>
      </c>
      <c r="M40" s="228">
        <v>127.42</v>
      </c>
      <c r="N40" s="228">
        <v>126.73</v>
      </c>
      <c r="O40" s="228">
        <v>0.69</v>
      </c>
      <c r="P40" s="229">
        <v>5.4000000000000003E-3</v>
      </c>
      <c r="Q40" s="228">
        <v>128.08000000000001</v>
      </c>
      <c r="R40" s="228">
        <v>127.41</v>
      </c>
      <c r="S40" s="228">
        <v>0.67</v>
      </c>
      <c r="T40" s="229">
        <v>5.3E-3</v>
      </c>
      <c r="U40" s="228">
        <v>128.84</v>
      </c>
      <c r="V40" s="228">
        <v>128</v>
      </c>
      <c r="W40" s="228">
        <v>0.84</v>
      </c>
      <c r="X40" s="229">
        <v>6.6E-3</v>
      </c>
      <c r="Y40" s="228">
        <v>0.66</v>
      </c>
      <c r="Z40" s="228">
        <v>0.83</v>
      </c>
      <c r="AA40" s="228">
        <v>-0.17</v>
      </c>
      <c r="AB40" s="229">
        <v>5.1999999999999998E-3</v>
      </c>
      <c r="AC40" s="228">
        <v>0.66</v>
      </c>
      <c r="AD40" s="228">
        <v>0.83</v>
      </c>
      <c r="AE40" s="228">
        <v>-0.17</v>
      </c>
      <c r="AF40" s="229">
        <v>5.1999999999999998E-3</v>
      </c>
      <c r="AG40" s="228">
        <v>1.32</v>
      </c>
      <c r="AH40" s="228">
        <v>1.51</v>
      </c>
      <c r="AI40" s="228">
        <v>-0.19</v>
      </c>
      <c r="AJ40" s="229">
        <v>1.04E-2</v>
      </c>
      <c r="AK40" s="228">
        <v>2.08</v>
      </c>
      <c r="AL40" s="228">
        <v>2.1</v>
      </c>
      <c r="AM40" s="228">
        <v>-0.02</v>
      </c>
      <c r="AN40" s="229">
        <v>1.6400000000000001E-2</v>
      </c>
      <c r="AO40" s="228">
        <v>127.41</v>
      </c>
      <c r="AP40" s="228">
        <v>128.15</v>
      </c>
      <c r="AQ40" s="228">
        <v>0</v>
      </c>
      <c r="AR40" s="230">
        <v>51813000</v>
      </c>
      <c r="AS40" s="230">
        <v>62397000</v>
      </c>
      <c r="AT40" s="230">
        <v>-10584000</v>
      </c>
      <c r="AU40" s="229">
        <v>-0.1696</v>
      </c>
      <c r="AV40" s="230">
        <v>48910500</v>
      </c>
      <c r="AW40" s="230">
        <v>59190750</v>
      </c>
      <c r="AX40" s="230">
        <v>-10280250</v>
      </c>
      <c r="AY40" s="229">
        <v>-0.17369999999999999</v>
      </c>
      <c r="AZ40" s="230">
        <v>2362500</v>
      </c>
      <c r="BA40" s="230">
        <v>2625750</v>
      </c>
      <c r="BB40" s="230">
        <v>-263250</v>
      </c>
      <c r="BC40" s="229">
        <v>-0.1003</v>
      </c>
      <c r="BD40" s="230">
        <v>540000</v>
      </c>
      <c r="BE40" s="230">
        <v>580500</v>
      </c>
      <c r="BF40" s="230">
        <v>-40500</v>
      </c>
      <c r="BG40" s="229">
        <v>-6.9800000000000001E-2</v>
      </c>
      <c r="BH40" s="230">
        <v>150518250</v>
      </c>
      <c r="BI40" s="230">
        <v>192834000</v>
      </c>
      <c r="BJ40" s="230">
        <v>-42315750</v>
      </c>
      <c r="BK40" s="229">
        <v>-0.21940000000000001</v>
      </c>
      <c r="BL40" s="230">
        <v>76774500</v>
      </c>
      <c r="BM40" s="230">
        <v>102107250</v>
      </c>
      <c r="BN40" s="230">
        <v>-25332750</v>
      </c>
      <c r="BO40" s="229">
        <v>-0.24809999999999999</v>
      </c>
      <c r="BP40" s="230">
        <v>279105750</v>
      </c>
      <c r="BQ40" s="230">
        <v>357338250</v>
      </c>
      <c r="BR40" s="230">
        <v>-78232500</v>
      </c>
      <c r="BS40" s="229">
        <v>-0.21890000000000001</v>
      </c>
      <c r="BT40" s="230">
        <v>28241272</v>
      </c>
      <c r="BU40" s="230">
        <v>37375911</v>
      </c>
      <c r="BV40" s="230">
        <v>-9134639</v>
      </c>
      <c r="BW40" s="229">
        <v>-0.24440000000000001</v>
      </c>
      <c r="BX40" s="230">
        <v>273847500</v>
      </c>
      <c r="BY40" s="230">
        <v>269966250</v>
      </c>
      <c r="BZ40" s="230">
        <v>3881250</v>
      </c>
      <c r="CA40" s="229">
        <v>1.44E-2</v>
      </c>
      <c r="CB40" s="230">
        <v>267894000</v>
      </c>
      <c r="CC40" s="230">
        <v>264424500</v>
      </c>
      <c r="CD40" s="230">
        <v>3469500</v>
      </c>
      <c r="CE40" s="229">
        <v>1.3100000000000001E-2</v>
      </c>
      <c r="CF40" s="230">
        <v>5278500</v>
      </c>
      <c r="CG40" s="230">
        <v>5055750</v>
      </c>
      <c r="CH40" s="230">
        <v>222750</v>
      </c>
      <c r="CI40" s="229">
        <v>4.41E-2</v>
      </c>
      <c r="CJ40" s="230">
        <v>675000</v>
      </c>
      <c r="CK40" s="230">
        <v>486000</v>
      </c>
      <c r="CL40" s="230">
        <v>189000</v>
      </c>
      <c r="CM40" s="229">
        <v>0.38890000000000002</v>
      </c>
      <c r="CN40" s="230">
        <v>71806500</v>
      </c>
      <c r="CO40" s="230">
        <v>67405500</v>
      </c>
      <c r="CP40" s="230">
        <v>4401000</v>
      </c>
      <c r="CQ40" s="229">
        <v>6.5299999999999997E-2</v>
      </c>
      <c r="CR40" s="230">
        <v>67452750</v>
      </c>
      <c r="CS40" s="230">
        <v>63679500</v>
      </c>
      <c r="CT40" s="230">
        <v>3773250</v>
      </c>
      <c r="CU40" s="229">
        <v>5.9299999999999999E-2</v>
      </c>
      <c r="CV40" s="230">
        <v>413106750</v>
      </c>
      <c r="CW40" s="230">
        <v>401051250</v>
      </c>
      <c r="CX40" s="230">
        <v>12055500</v>
      </c>
      <c r="CY40" s="229">
        <v>3.0099999999999998E-2</v>
      </c>
      <c r="CZ40" s="228">
        <v>30.54</v>
      </c>
      <c r="DA40" s="228">
        <v>29.3</v>
      </c>
      <c r="DB40" s="228">
        <v>1.24</v>
      </c>
      <c r="DC40" s="228">
        <v>1.24</v>
      </c>
      <c r="DD40" s="228">
        <v>37.94</v>
      </c>
      <c r="DE40" s="228">
        <v>38.03</v>
      </c>
      <c r="DF40" s="228">
        <v>-7.4</v>
      </c>
      <c r="DG40" s="228">
        <v>-0.09</v>
      </c>
      <c r="DH40" s="228">
        <v>30.02</v>
      </c>
      <c r="DI40" s="228">
        <v>28.77</v>
      </c>
      <c r="DJ40" s="228">
        <v>1.25</v>
      </c>
      <c r="DK40" s="228">
        <v>1.25</v>
      </c>
      <c r="DL40" s="228">
        <v>31.55</v>
      </c>
      <c r="DM40" s="228">
        <v>30.3</v>
      </c>
      <c r="DN40" s="228">
        <v>1.25</v>
      </c>
      <c r="DO40" s="228">
        <v>1.25</v>
      </c>
      <c r="DP40" s="228">
        <v>0.94</v>
      </c>
      <c r="DQ40" s="228">
        <v>0.94</v>
      </c>
      <c r="DR40" s="228">
        <v>0</v>
      </c>
      <c r="DS40" s="229">
        <v>0</v>
      </c>
      <c r="DT40" s="228">
        <v>130</v>
      </c>
      <c r="DU40" s="228">
        <v>115</v>
      </c>
      <c r="DV40" s="228">
        <v>0.51</v>
      </c>
      <c r="DW40" s="228">
        <v>0.53</v>
      </c>
      <c r="DX40" s="228">
        <v>-0.02</v>
      </c>
      <c r="DY40" s="229">
        <v>-3.7699999999999997E-2</v>
      </c>
      <c r="DZ40" s="229">
        <v>2.1700000000000001E-2</v>
      </c>
      <c r="EA40" s="230">
        <v>5541750</v>
      </c>
      <c r="EB40" s="229">
        <v>5.1999999999999998E-3</v>
      </c>
      <c r="EC40" s="229">
        <v>2.1700000000000001E-2</v>
      </c>
      <c r="ED40" s="228">
        <v>0.74</v>
      </c>
      <c r="EE40" s="229">
        <v>5.7999999999999996E-3</v>
      </c>
      <c r="EF40" s="230">
        <v>11456188</v>
      </c>
      <c r="EG40" s="230">
        <v>17329998</v>
      </c>
      <c r="EH40" s="229">
        <v>-0.33889999999999998</v>
      </c>
      <c r="EI40" s="229">
        <v>0.40570000000000001</v>
      </c>
      <c r="EJ40" s="231">
        <v>199143.27</v>
      </c>
      <c r="EK40" s="231">
        <v>95450.51</v>
      </c>
      <c r="EL40" s="231">
        <v>66041.759999999995</v>
      </c>
      <c r="EM40" s="231">
        <v>14349</v>
      </c>
      <c r="EN40" s="231">
        <v>360635.54</v>
      </c>
      <c r="EO40" s="231">
        <v>457202.18</v>
      </c>
      <c r="EP40" s="231">
        <v>-96566.64</v>
      </c>
      <c r="EQ40" s="229">
        <v>-0.2112</v>
      </c>
      <c r="ER40" s="231">
        <v>90688</v>
      </c>
      <c r="ES40" s="231">
        <v>79892</v>
      </c>
      <c r="ET40" s="231">
        <v>348981</v>
      </c>
      <c r="EU40" s="231">
        <v>504315430</v>
      </c>
      <c r="EV40" s="231">
        <v>519561</v>
      </c>
      <c r="EW40" s="231">
        <v>501750</v>
      </c>
      <c r="EX40" s="231">
        <v>17811</v>
      </c>
      <c r="EY40" s="229">
        <v>3.5499999999999997E-2</v>
      </c>
      <c r="EZ40" s="229">
        <v>0.81910000000000005</v>
      </c>
      <c r="FA40" s="227" t="s">
        <v>555</v>
      </c>
      <c r="FB40" s="161">
        <f t="shared" si="0"/>
        <v>5953500</v>
      </c>
    </row>
    <row r="41" spans="1:158" ht="17.25" hidden="1" thickBot="1" x14ac:dyDescent="0.3">
      <c r="A41" s="226">
        <v>45936</v>
      </c>
      <c r="B41" s="227" t="s">
        <v>175</v>
      </c>
      <c r="C41" s="227" t="s">
        <v>598</v>
      </c>
      <c r="D41" s="228">
        <v>475</v>
      </c>
      <c r="E41" s="231">
        <v>1529.3</v>
      </c>
      <c r="F41" s="231">
        <v>1497.2</v>
      </c>
      <c r="G41" s="228">
        <v>32.1</v>
      </c>
      <c r="H41" s="229">
        <v>2.1399999999999999E-2</v>
      </c>
      <c r="I41" s="231">
        <v>1524.9</v>
      </c>
      <c r="J41" s="231">
        <v>1490.1</v>
      </c>
      <c r="K41" s="228">
        <v>34.799999999999997</v>
      </c>
      <c r="L41" s="229">
        <v>2.3400000000000001E-2</v>
      </c>
      <c r="M41" s="231">
        <v>1529.3</v>
      </c>
      <c r="N41" s="231">
        <v>1497.2</v>
      </c>
      <c r="O41" s="228">
        <v>32.1</v>
      </c>
      <c r="P41" s="229">
        <v>2.1399999999999999E-2</v>
      </c>
      <c r="Q41" s="231">
        <v>1532.7</v>
      </c>
      <c r="R41" s="231">
        <v>1501.3</v>
      </c>
      <c r="S41" s="228">
        <v>31.4</v>
      </c>
      <c r="T41" s="229">
        <v>2.0899999999999998E-2</v>
      </c>
      <c r="U41" s="231">
        <v>1536.9</v>
      </c>
      <c r="V41" s="231">
        <v>1505.2</v>
      </c>
      <c r="W41" s="228">
        <v>31.7</v>
      </c>
      <c r="X41" s="229">
        <v>2.1100000000000001E-2</v>
      </c>
      <c r="Y41" s="228">
        <v>4.4000000000000004</v>
      </c>
      <c r="Z41" s="228">
        <v>7.1</v>
      </c>
      <c r="AA41" s="228">
        <v>-2.7</v>
      </c>
      <c r="AB41" s="229">
        <v>2.8999999999999998E-3</v>
      </c>
      <c r="AC41" s="228">
        <v>4.4000000000000004</v>
      </c>
      <c r="AD41" s="228">
        <v>7.1</v>
      </c>
      <c r="AE41" s="228">
        <v>-2.7</v>
      </c>
      <c r="AF41" s="229">
        <v>2.8999999999999998E-3</v>
      </c>
      <c r="AG41" s="228">
        <v>7.8</v>
      </c>
      <c r="AH41" s="228">
        <v>11.2</v>
      </c>
      <c r="AI41" s="228">
        <v>-3.4</v>
      </c>
      <c r="AJ41" s="229">
        <v>5.1000000000000004E-3</v>
      </c>
      <c r="AK41" s="228">
        <v>12</v>
      </c>
      <c r="AL41" s="228">
        <v>15.1</v>
      </c>
      <c r="AM41" s="228">
        <v>-3.1</v>
      </c>
      <c r="AN41" s="229">
        <v>7.9000000000000008E-3</v>
      </c>
      <c r="AO41" s="231">
        <v>1518.9</v>
      </c>
      <c r="AP41" s="231">
        <v>1521.36</v>
      </c>
      <c r="AQ41" s="228">
        <v>0</v>
      </c>
      <c r="AR41" s="230">
        <v>2732675</v>
      </c>
      <c r="AS41" s="230">
        <v>1161375</v>
      </c>
      <c r="AT41" s="230">
        <v>1571300</v>
      </c>
      <c r="AU41" s="229">
        <v>1.353</v>
      </c>
      <c r="AV41" s="230">
        <v>2517025</v>
      </c>
      <c r="AW41" s="230">
        <v>1023625</v>
      </c>
      <c r="AX41" s="230">
        <v>1493400</v>
      </c>
      <c r="AY41" s="229">
        <v>1.4589000000000001</v>
      </c>
      <c r="AZ41" s="230">
        <v>170525</v>
      </c>
      <c r="BA41" s="230">
        <v>107825</v>
      </c>
      <c r="BB41" s="230">
        <v>62700</v>
      </c>
      <c r="BC41" s="229">
        <v>0.58150000000000002</v>
      </c>
      <c r="BD41" s="230">
        <v>45125</v>
      </c>
      <c r="BE41" s="230">
        <v>29925</v>
      </c>
      <c r="BF41" s="230">
        <v>15200</v>
      </c>
      <c r="BG41" s="229">
        <v>0.50790000000000002</v>
      </c>
      <c r="BH41" s="230">
        <v>11704475</v>
      </c>
      <c r="BI41" s="230">
        <v>4757125</v>
      </c>
      <c r="BJ41" s="230">
        <v>6947350</v>
      </c>
      <c r="BK41" s="229">
        <v>1.4603999999999999</v>
      </c>
      <c r="BL41" s="230">
        <v>3937275</v>
      </c>
      <c r="BM41" s="230">
        <v>1964600</v>
      </c>
      <c r="BN41" s="230">
        <v>1972675</v>
      </c>
      <c r="BO41" s="229">
        <v>1.0041</v>
      </c>
      <c r="BP41" s="230">
        <v>18374425</v>
      </c>
      <c r="BQ41" s="230">
        <v>7883100</v>
      </c>
      <c r="BR41" s="230">
        <v>10491325</v>
      </c>
      <c r="BS41" s="229">
        <v>1.3309</v>
      </c>
      <c r="BT41" s="230">
        <v>2020414</v>
      </c>
      <c r="BU41" s="230">
        <v>1372102</v>
      </c>
      <c r="BV41" s="230">
        <v>648312</v>
      </c>
      <c r="BW41" s="229">
        <v>0.47249999999999998</v>
      </c>
      <c r="BX41" s="230">
        <v>8896750</v>
      </c>
      <c r="BY41" s="230">
        <v>8797475</v>
      </c>
      <c r="BZ41" s="230">
        <v>99275</v>
      </c>
      <c r="CA41" s="229">
        <v>1.1299999999999999E-2</v>
      </c>
      <c r="CB41" s="230">
        <v>8310125</v>
      </c>
      <c r="CC41" s="230">
        <v>8254550</v>
      </c>
      <c r="CD41" s="230">
        <v>55575</v>
      </c>
      <c r="CE41" s="229">
        <v>6.7000000000000002E-3</v>
      </c>
      <c r="CF41" s="230">
        <v>549575</v>
      </c>
      <c r="CG41" s="230">
        <v>509675</v>
      </c>
      <c r="CH41" s="230">
        <v>39900</v>
      </c>
      <c r="CI41" s="229">
        <v>7.8299999999999995E-2</v>
      </c>
      <c r="CJ41" s="230">
        <v>37050</v>
      </c>
      <c r="CK41" s="230">
        <v>33250</v>
      </c>
      <c r="CL41" s="230">
        <v>3800</v>
      </c>
      <c r="CM41" s="229">
        <v>0.1143</v>
      </c>
      <c r="CN41" s="230">
        <v>4322975</v>
      </c>
      <c r="CO41" s="230">
        <v>4034650</v>
      </c>
      <c r="CP41" s="230">
        <v>288325</v>
      </c>
      <c r="CQ41" s="229">
        <v>7.1499999999999994E-2</v>
      </c>
      <c r="CR41" s="230">
        <v>3130250</v>
      </c>
      <c r="CS41" s="230">
        <v>2963050</v>
      </c>
      <c r="CT41" s="230">
        <v>167200</v>
      </c>
      <c r="CU41" s="229">
        <v>5.6399999999999999E-2</v>
      </c>
      <c r="CV41" s="230">
        <v>16349975</v>
      </c>
      <c r="CW41" s="230">
        <v>15795175</v>
      </c>
      <c r="CX41" s="230">
        <v>554800</v>
      </c>
      <c r="CY41" s="229">
        <v>3.5099999999999999E-2</v>
      </c>
      <c r="CZ41" s="228">
        <v>28.99</v>
      </c>
      <c r="DA41" s="228">
        <v>28.29</v>
      </c>
      <c r="DB41" s="228">
        <v>0.7</v>
      </c>
      <c r="DC41" s="228">
        <v>0.7</v>
      </c>
      <c r="DD41" s="228">
        <v>48.13</v>
      </c>
      <c r="DE41" s="228">
        <v>48.16</v>
      </c>
      <c r="DF41" s="228">
        <v>-19.14</v>
      </c>
      <c r="DG41" s="228">
        <v>-0.03</v>
      </c>
      <c r="DH41" s="228">
        <v>28.81</v>
      </c>
      <c r="DI41" s="228">
        <v>28.09</v>
      </c>
      <c r="DJ41" s="228">
        <v>0.72</v>
      </c>
      <c r="DK41" s="228">
        <v>0.72</v>
      </c>
      <c r="DL41" s="228">
        <v>29.53</v>
      </c>
      <c r="DM41" s="228">
        <v>28.77</v>
      </c>
      <c r="DN41" s="228">
        <v>0.76</v>
      </c>
      <c r="DO41" s="228">
        <v>0.76</v>
      </c>
      <c r="DP41" s="228">
        <v>0.72</v>
      </c>
      <c r="DQ41" s="228">
        <v>0.73</v>
      </c>
      <c r="DR41" s="228">
        <v>-0.01</v>
      </c>
      <c r="DS41" s="229">
        <v>-1.37E-2</v>
      </c>
      <c r="DT41" s="231">
        <v>1600</v>
      </c>
      <c r="DU41" s="231">
        <v>1500</v>
      </c>
      <c r="DV41" s="228">
        <v>0.34</v>
      </c>
      <c r="DW41" s="228">
        <v>0.41</v>
      </c>
      <c r="DX41" s="228">
        <v>-7.0000000000000007E-2</v>
      </c>
      <c r="DY41" s="229">
        <v>-0.17069999999999999</v>
      </c>
      <c r="DZ41" s="229">
        <v>6.59E-2</v>
      </c>
      <c r="EA41" s="230">
        <v>542925</v>
      </c>
      <c r="EB41" s="229">
        <v>2.2000000000000001E-3</v>
      </c>
      <c r="EC41" s="229">
        <v>6.59E-2</v>
      </c>
      <c r="ED41" s="228">
        <v>2.46</v>
      </c>
      <c r="EE41" s="229">
        <v>1.6000000000000001E-3</v>
      </c>
      <c r="EF41" s="230">
        <v>678333</v>
      </c>
      <c r="EG41" s="230">
        <v>569046</v>
      </c>
      <c r="EH41" s="229">
        <v>0.19209999999999999</v>
      </c>
      <c r="EI41" s="229">
        <v>0.3357</v>
      </c>
      <c r="EJ41" s="231">
        <v>185320.91</v>
      </c>
      <c r="EK41" s="231">
        <v>58934.13</v>
      </c>
      <c r="EL41" s="231">
        <v>41514.97</v>
      </c>
      <c r="EM41" s="231">
        <v>8664</v>
      </c>
      <c r="EN41" s="231">
        <v>285770.01</v>
      </c>
      <c r="EO41" s="231">
        <v>120744.41</v>
      </c>
      <c r="EP41" s="231">
        <v>165025.60000000001</v>
      </c>
      <c r="EQ41" s="229">
        <v>1.3667</v>
      </c>
      <c r="ER41" s="231">
        <v>68424</v>
      </c>
      <c r="ES41" s="231">
        <v>46599</v>
      </c>
      <c r="ET41" s="231">
        <v>136079</v>
      </c>
      <c r="EU41" s="231">
        <v>26647500</v>
      </c>
      <c r="EV41" s="231">
        <v>251103</v>
      </c>
      <c r="EW41" s="231">
        <v>239617</v>
      </c>
      <c r="EX41" s="231">
        <v>11486</v>
      </c>
      <c r="EY41" s="229">
        <v>4.7899999999999998E-2</v>
      </c>
      <c r="EZ41" s="229">
        <v>0.61360000000000003</v>
      </c>
      <c r="FA41" s="227" t="s">
        <v>555</v>
      </c>
      <c r="FB41" s="161">
        <f t="shared" si="0"/>
        <v>586625</v>
      </c>
    </row>
    <row r="42" spans="1:158" ht="17.25" hidden="1" thickBot="1" x14ac:dyDescent="0.3">
      <c r="A42" s="226">
        <v>45936</v>
      </c>
      <c r="B42" s="227" t="s">
        <v>161</v>
      </c>
      <c r="C42" s="227" t="s">
        <v>613</v>
      </c>
      <c r="D42" s="228">
        <v>850</v>
      </c>
      <c r="E42" s="228">
        <v>749.95</v>
      </c>
      <c r="F42" s="228">
        <v>750.6</v>
      </c>
      <c r="G42" s="228">
        <v>-0.65</v>
      </c>
      <c r="H42" s="229">
        <v>-8.9999999999999998E-4</v>
      </c>
      <c r="I42" s="228">
        <v>745.4</v>
      </c>
      <c r="J42" s="228">
        <v>747.5</v>
      </c>
      <c r="K42" s="228">
        <v>-2.1</v>
      </c>
      <c r="L42" s="229">
        <v>-2.8E-3</v>
      </c>
      <c r="M42" s="228">
        <v>749.95</v>
      </c>
      <c r="N42" s="228">
        <v>750.6</v>
      </c>
      <c r="O42" s="228">
        <v>-0.65</v>
      </c>
      <c r="P42" s="229">
        <v>-8.9999999999999998E-4</v>
      </c>
      <c r="Q42" s="228">
        <v>754.9</v>
      </c>
      <c r="R42" s="228">
        <v>755.1</v>
      </c>
      <c r="S42" s="228">
        <v>-0.2</v>
      </c>
      <c r="T42" s="229">
        <v>-2.9999999999999997E-4</v>
      </c>
      <c r="U42" s="228">
        <v>755</v>
      </c>
      <c r="V42" s="228">
        <v>757.6</v>
      </c>
      <c r="W42" s="228">
        <v>-2.6</v>
      </c>
      <c r="X42" s="229">
        <v>-3.3999999999999998E-3</v>
      </c>
      <c r="Y42" s="228">
        <v>4.55</v>
      </c>
      <c r="Z42" s="228">
        <v>3.1</v>
      </c>
      <c r="AA42" s="228">
        <v>1.45</v>
      </c>
      <c r="AB42" s="229">
        <v>6.1000000000000004E-3</v>
      </c>
      <c r="AC42" s="228">
        <v>4.55</v>
      </c>
      <c r="AD42" s="228">
        <v>3.1</v>
      </c>
      <c r="AE42" s="228">
        <v>1.45</v>
      </c>
      <c r="AF42" s="229">
        <v>6.1000000000000004E-3</v>
      </c>
      <c r="AG42" s="228">
        <v>9.5</v>
      </c>
      <c r="AH42" s="228">
        <v>7.6</v>
      </c>
      <c r="AI42" s="228">
        <v>1.9</v>
      </c>
      <c r="AJ42" s="229">
        <v>1.2699999999999999E-2</v>
      </c>
      <c r="AK42" s="228">
        <v>9.6</v>
      </c>
      <c r="AL42" s="228">
        <v>10.1</v>
      </c>
      <c r="AM42" s="228">
        <v>-0.5</v>
      </c>
      <c r="AN42" s="229">
        <v>1.29E-2</v>
      </c>
      <c r="AO42" s="228">
        <v>748.36</v>
      </c>
      <c r="AP42" s="228">
        <v>752.66</v>
      </c>
      <c r="AQ42" s="228">
        <v>0</v>
      </c>
      <c r="AR42" s="230">
        <v>1620950</v>
      </c>
      <c r="AS42" s="230">
        <v>1650700</v>
      </c>
      <c r="AT42" s="230">
        <v>-29750</v>
      </c>
      <c r="AU42" s="229">
        <v>-1.7999999999999999E-2</v>
      </c>
      <c r="AV42" s="230">
        <v>1558050</v>
      </c>
      <c r="AW42" s="230">
        <v>1540200</v>
      </c>
      <c r="AX42" s="230">
        <v>17850</v>
      </c>
      <c r="AY42" s="229">
        <v>1.1599999999999999E-2</v>
      </c>
      <c r="AZ42" s="230">
        <v>53550</v>
      </c>
      <c r="BA42" s="230">
        <v>101150</v>
      </c>
      <c r="BB42" s="230">
        <v>-47600</v>
      </c>
      <c r="BC42" s="229">
        <v>-0.47060000000000002</v>
      </c>
      <c r="BD42" s="230">
        <v>9350</v>
      </c>
      <c r="BE42" s="230">
        <v>9350</v>
      </c>
      <c r="BF42" s="228">
        <v>0</v>
      </c>
      <c r="BG42" s="229">
        <v>0</v>
      </c>
      <c r="BH42" s="230">
        <v>3122050</v>
      </c>
      <c r="BI42" s="230">
        <v>3721300</v>
      </c>
      <c r="BJ42" s="230">
        <v>-599250</v>
      </c>
      <c r="BK42" s="229">
        <v>-0.161</v>
      </c>
      <c r="BL42" s="230">
        <v>635800</v>
      </c>
      <c r="BM42" s="230">
        <v>857650</v>
      </c>
      <c r="BN42" s="230">
        <v>-221850</v>
      </c>
      <c r="BO42" s="229">
        <v>-0.25869999999999999</v>
      </c>
      <c r="BP42" s="230">
        <v>5378800</v>
      </c>
      <c r="BQ42" s="230">
        <v>6229650</v>
      </c>
      <c r="BR42" s="230">
        <v>-850850</v>
      </c>
      <c r="BS42" s="229">
        <v>-0.1366</v>
      </c>
      <c r="BT42" s="230">
        <v>1249071</v>
      </c>
      <c r="BU42" s="230">
        <v>1446028</v>
      </c>
      <c r="BV42" s="230">
        <v>-196957</v>
      </c>
      <c r="BW42" s="229">
        <v>-0.13619999999999999</v>
      </c>
      <c r="BX42" s="230">
        <v>17496400</v>
      </c>
      <c r="BY42" s="230">
        <v>17303450</v>
      </c>
      <c r="BZ42" s="230">
        <v>192950</v>
      </c>
      <c r="CA42" s="229">
        <v>1.12E-2</v>
      </c>
      <c r="CB42" s="230">
        <v>17181900</v>
      </c>
      <c r="CC42" s="230">
        <v>17008500</v>
      </c>
      <c r="CD42" s="230">
        <v>173400</v>
      </c>
      <c r="CE42" s="229">
        <v>1.0200000000000001E-2</v>
      </c>
      <c r="CF42" s="230">
        <v>294100</v>
      </c>
      <c r="CG42" s="230">
        <v>281350</v>
      </c>
      <c r="CH42" s="230">
        <v>12750</v>
      </c>
      <c r="CI42" s="229">
        <v>4.53E-2</v>
      </c>
      <c r="CJ42" s="230">
        <v>20400</v>
      </c>
      <c r="CK42" s="230">
        <v>13600</v>
      </c>
      <c r="CL42" s="230">
        <v>6800</v>
      </c>
      <c r="CM42" s="229">
        <v>0.5</v>
      </c>
      <c r="CN42" s="230">
        <v>4288250</v>
      </c>
      <c r="CO42" s="230">
        <v>3978000</v>
      </c>
      <c r="CP42" s="230">
        <v>310250</v>
      </c>
      <c r="CQ42" s="229">
        <v>7.8E-2</v>
      </c>
      <c r="CR42" s="230">
        <v>2522800</v>
      </c>
      <c r="CS42" s="230">
        <v>2408050</v>
      </c>
      <c r="CT42" s="230">
        <v>114750</v>
      </c>
      <c r="CU42" s="229">
        <v>4.7699999999999999E-2</v>
      </c>
      <c r="CV42" s="230">
        <v>24307450</v>
      </c>
      <c r="CW42" s="230">
        <v>23689500</v>
      </c>
      <c r="CX42" s="230">
        <v>617950</v>
      </c>
      <c r="CY42" s="229">
        <v>2.6100000000000002E-2</v>
      </c>
      <c r="CZ42" s="228">
        <v>32.340000000000003</v>
      </c>
      <c r="DA42" s="228">
        <v>31.06</v>
      </c>
      <c r="DB42" s="228">
        <v>1.28</v>
      </c>
      <c r="DC42" s="228">
        <v>1.28</v>
      </c>
      <c r="DD42" s="228">
        <v>42.22</v>
      </c>
      <c r="DE42" s="228">
        <v>42.33</v>
      </c>
      <c r="DF42" s="228">
        <v>-9.8800000000000008</v>
      </c>
      <c r="DG42" s="228">
        <v>-0.11</v>
      </c>
      <c r="DH42" s="228">
        <v>32.409999999999997</v>
      </c>
      <c r="DI42" s="228">
        <v>31.22</v>
      </c>
      <c r="DJ42" s="228">
        <v>1.19</v>
      </c>
      <c r="DK42" s="228">
        <v>1.19</v>
      </c>
      <c r="DL42" s="228">
        <v>31.96</v>
      </c>
      <c r="DM42" s="228">
        <v>30.4</v>
      </c>
      <c r="DN42" s="228">
        <v>1.56</v>
      </c>
      <c r="DO42" s="228">
        <v>1.56</v>
      </c>
      <c r="DP42" s="228">
        <v>0.59</v>
      </c>
      <c r="DQ42" s="228">
        <v>0.61</v>
      </c>
      <c r="DR42" s="228">
        <v>-0.02</v>
      </c>
      <c r="DS42" s="229">
        <v>-3.2800000000000003E-2</v>
      </c>
      <c r="DT42" s="228">
        <v>840</v>
      </c>
      <c r="DU42" s="228">
        <v>700</v>
      </c>
      <c r="DV42" s="228">
        <v>0.2</v>
      </c>
      <c r="DW42" s="228">
        <v>0.23</v>
      </c>
      <c r="DX42" s="228">
        <v>-0.03</v>
      </c>
      <c r="DY42" s="229">
        <v>-0.13039999999999999</v>
      </c>
      <c r="DZ42" s="229">
        <v>1.7999999999999999E-2</v>
      </c>
      <c r="EA42" s="230">
        <v>294950</v>
      </c>
      <c r="EB42" s="229">
        <v>6.6E-3</v>
      </c>
      <c r="EC42" s="229">
        <v>1.7999999999999999E-2</v>
      </c>
      <c r="ED42" s="228">
        <v>4.3</v>
      </c>
      <c r="EE42" s="229">
        <v>5.7000000000000002E-3</v>
      </c>
      <c r="EF42" s="230">
        <v>629523</v>
      </c>
      <c r="EG42" s="230">
        <v>713058</v>
      </c>
      <c r="EH42" s="229">
        <v>-0.1172</v>
      </c>
      <c r="EI42" s="229">
        <v>0.504</v>
      </c>
      <c r="EJ42" s="231">
        <v>24788.35</v>
      </c>
      <c r="EK42" s="231">
        <v>4701.76</v>
      </c>
      <c r="EL42" s="231">
        <v>12133.71</v>
      </c>
      <c r="EM42" s="231">
        <v>5684</v>
      </c>
      <c r="EN42" s="231">
        <v>41623.82</v>
      </c>
      <c r="EO42" s="231">
        <v>48225.8</v>
      </c>
      <c r="EP42" s="231">
        <v>-6601.98</v>
      </c>
      <c r="EQ42" s="229">
        <v>-0.13689999999999999</v>
      </c>
      <c r="ER42" s="231">
        <v>34196</v>
      </c>
      <c r="ES42" s="231">
        <v>18418</v>
      </c>
      <c r="ET42" s="231">
        <v>131230</v>
      </c>
      <c r="EU42" s="231">
        <v>100245792</v>
      </c>
      <c r="EV42" s="231">
        <v>183844</v>
      </c>
      <c r="EW42" s="231">
        <v>179216</v>
      </c>
      <c r="EX42" s="231">
        <v>4628</v>
      </c>
      <c r="EY42" s="229">
        <v>2.58E-2</v>
      </c>
      <c r="EZ42" s="229">
        <v>0.24249999999999999</v>
      </c>
      <c r="FA42" s="227" t="s">
        <v>567</v>
      </c>
      <c r="FB42" s="161">
        <f t="shared" si="0"/>
        <v>314500</v>
      </c>
    </row>
    <row r="43" spans="1:158" ht="17.25" hidden="1" thickBot="1" x14ac:dyDescent="0.3">
      <c r="A43" s="226">
        <v>45936</v>
      </c>
      <c r="B43" s="227" t="s">
        <v>175</v>
      </c>
      <c r="C43" s="227" t="s">
        <v>198</v>
      </c>
      <c r="D43" s="228">
        <v>625</v>
      </c>
      <c r="E43" s="231">
        <v>1620.4</v>
      </c>
      <c r="F43" s="231">
        <v>1566.2</v>
      </c>
      <c r="G43" s="228">
        <v>54.2</v>
      </c>
      <c r="H43" s="229">
        <v>3.4599999999999999E-2</v>
      </c>
      <c r="I43" s="231">
        <v>1634.1</v>
      </c>
      <c r="J43" s="231">
        <v>1570.9</v>
      </c>
      <c r="K43" s="228">
        <v>63.2</v>
      </c>
      <c r="L43" s="229">
        <v>4.02E-2</v>
      </c>
      <c r="M43" s="231">
        <v>1620.4</v>
      </c>
      <c r="N43" s="231">
        <v>1566.2</v>
      </c>
      <c r="O43" s="228">
        <v>54.2</v>
      </c>
      <c r="P43" s="229">
        <v>3.4599999999999999E-2</v>
      </c>
      <c r="Q43" s="231">
        <v>1609.3</v>
      </c>
      <c r="R43" s="231">
        <v>1555.4</v>
      </c>
      <c r="S43" s="228">
        <v>53.9</v>
      </c>
      <c r="T43" s="229">
        <v>3.4700000000000002E-2</v>
      </c>
      <c r="U43" s="231">
        <v>1601.6</v>
      </c>
      <c r="V43" s="231">
        <v>1553.9</v>
      </c>
      <c r="W43" s="228">
        <v>47.7</v>
      </c>
      <c r="X43" s="229">
        <v>3.0700000000000002E-2</v>
      </c>
      <c r="Y43" s="228">
        <v>-13.7</v>
      </c>
      <c r="Z43" s="228">
        <v>-4.7</v>
      </c>
      <c r="AA43" s="228">
        <v>-9</v>
      </c>
      <c r="AB43" s="229">
        <v>-8.3999999999999995E-3</v>
      </c>
      <c r="AC43" s="228">
        <v>-13.7</v>
      </c>
      <c r="AD43" s="228">
        <v>-4.7</v>
      </c>
      <c r="AE43" s="228">
        <v>-9</v>
      </c>
      <c r="AF43" s="229">
        <v>-8.3999999999999995E-3</v>
      </c>
      <c r="AG43" s="228">
        <v>-24.8</v>
      </c>
      <c r="AH43" s="228">
        <v>-15.5</v>
      </c>
      <c r="AI43" s="228">
        <v>-9.3000000000000007</v>
      </c>
      <c r="AJ43" s="229">
        <v>-1.52E-2</v>
      </c>
      <c r="AK43" s="228">
        <v>-32.5</v>
      </c>
      <c r="AL43" s="228">
        <v>-17</v>
      </c>
      <c r="AM43" s="228">
        <v>-15.5</v>
      </c>
      <c r="AN43" s="229">
        <v>-1.9900000000000001E-2</v>
      </c>
      <c r="AO43" s="231">
        <v>1602.15</v>
      </c>
      <c r="AP43" s="231">
        <v>1596.3</v>
      </c>
      <c r="AQ43" s="228">
        <v>0</v>
      </c>
      <c r="AR43" s="230">
        <v>3398125</v>
      </c>
      <c r="AS43" s="230">
        <v>2506250</v>
      </c>
      <c r="AT43" s="230">
        <v>891875</v>
      </c>
      <c r="AU43" s="229">
        <v>0.35589999999999999</v>
      </c>
      <c r="AV43" s="230">
        <v>3282500</v>
      </c>
      <c r="AW43" s="230">
        <v>2408125</v>
      </c>
      <c r="AX43" s="230">
        <v>874375</v>
      </c>
      <c r="AY43" s="229">
        <v>0.36309999999999998</v>
      </c>
      <c r="AZ43" s="230">
        <v>107500</v>
      </c>
      <c r="BA43" s="230">
        <v>87500</v>
      </c>
      <c r="BB43" s="230">
        <v>20000</v>
      </c>
      <c r="BC43" s="229">
        <v>0.2286</v>
      </c>
      <c r="BD43" s="230">
        <v>8125</v>
      </c>
      <c r="BE43" s="230">
        <v>10625</v>
      </c>
      <c r="BF43" s="230">
        <v>-2500</v>
      </c>
      <c r="BG43" s="229">
        <v>-0.23530000000000001</v>
      </c>
      <c r="BH43" s="230">
        <v>7953125</v>
      </c>
      <c r="BI43" s="230">
        <v>4408750</v>
      </c>
      <c r="BJ43" s="230">
        <v>3544375</v>
      </c>
      <c r="BK43" s="229">
        <v>0.80389999999999995</v>
      </c>
      <c r="BL43" s="230">
        <v>3364375</v>
      </c>
      <c r="BM43" s="230">
        <v>2601250</v>
      </c>
      <c r="BN43" s="230">
        <v>763125</v>
      </c>
      <c r="BO43" s="229">
        <v>0.29339999999999999</v>
      </c>
      <c r="BP43" s="230">
        <v>14715625</v>
      </c>
      <c r="BQ43" s="230">
        <v>9516250</v>
      </c>
      <c r="BR43" s="230">
        <v>5199375</v>
      </c>
      <c r="BS43" s="229">
        <v>0.5464</v>
      </c>
      <c r="BT43" s="230">
        <v>1897839</v>
      </c>
      <c r="BU43" s="230">
        <v>1544239</v>
      </c>
      <c r="BV43" s="230">
        <v>353600</v>
      </c>
      <c r="BW43" s="229">
        <v>0.22900000000000001</v>
      </c>
      <c r="BX43" s="230">
        <v>14651875</v>
      </c>
      <c r="BY43" s="230">
        <v>14698750</v>
      </c>
      <c r="BZ43" s="230">
        <v>-46875</v>
      </c>
      <c r="CA43" s="229">
        <v>-3.2000000000000002E-3</v>
      </c>
      <c r="CB43" s="230">
        <v>14455000</v>
      </c>
      <c r="CC43" s="230">
        <v>14504375</v>
      </c>
      <c r="CD43" s="230">
        <v>-49375</v>
      </c>
      <c r="CE43" s="229">
        <v>-3.3999999999999998E-3</v>
      </c>
      <c r="CF43" s="230">
        <v>183125</v>
      </c>
      <c r="CG43" s="230">
        <v>180000</v>
      </c>
      <c r="CH43" s="230">
        <v>3125</v>
      </c>
      <c r="CI43" s="229">
        <v>1.7399999999999999E-2</v>
      </c>
      <c r="CJ43" s="230">
        <v>13750</v>
      </c>
      <c r="CK43" s="230">
        <v>14375</v>
      </c>
      <c r="CL43" s="228">
        <v>-625</v>
      </c>
      <c r="CM43" s="229">
        <v>-4.3499999999999997E-2</v>
      </c>
      <c r="CN43" s="230">
        <v>1927500</v>
      </c>
      <c r="CO43" s="230">
        <v>1837500</v>
      </c>
      <c r="CP43" s="230">
        <v>90000</v>
      </c>
      <c r="CQ43" s="229">
        <v>4.9000000000000002E-2</v>
      </c>
      <c r="CR43" s="230">
        <v>1569375</v>
      </c>
      <c r="CS43" s="230">
        <v>1478750</v>
      </c>
      <c r="CT43" s="230">
        <v>90625</v>
      </c>
      <c r="CU43" s="229">
        <v>6.13E-2</v>
      </c>
      <c r="CV43" s="230">
        <v>18148750</v>
      </c>
      <c r="CW43" s="230">
        <v>18015000</v>
      </c>
      <c r="CX43" s="230">
        <v>133750</v>
      </c>
      <c r="CY43" s="229">
        <v>7.4000000000000003E-3</v>
      </c>
      <c r="CZ43" s="228">
        <v>26.23</v>
      </c>
      <c r="DA43" s="228">
        <v>25.12</v>
      </c>
      <c r="DB43" s="228">
        <v>1.1100000000000001</v>
      </c>
      <c r="DC43" s="228">
        <v>1.1100000000000001</v>
      </c>
      <c r="DD43" s="228">
        <v>39.090000000000003</v>
      </c>
      <c r="DE43" s="228">
        <v>38.82</v>
      </c>
      <c r="DF43" s="228">
        <v>-12.86</v>
      </c>
      <c r="DG43" s="228">
        <v>0.27</v>
      </c>
      <c r="DH43" s="228">
        <v>26</v>
      </c>
      <c r="DI43" s="228">
        <v>25.26</v>
      </c>
      <c r="DJ43" s="228">
        <v>0.74</v>
      </c>
      <c r="DK43" s="228">
        <v>0.74</v>
      </c>
      <c r="DL43" s="228">
        <v>26.75</v>
      </c>
      <c r="DM43" s="228">
        <v>24.89</v>
      </c>
      <c r="DN43" s="228">
        <v>1.86</v>
      </c>
      <c r="DO43" s="228">
        <v>1.86</v>
      </c>
      <c r="DP43" s="228">
        <v>0.81</v>
      </c>
      <c r="DQ43" s="228">
        <v>0.8</v>
      </c>
      <c r="DR43" s="228">
        <v>0.01</v>
      </c>
      <c r="DS43" s="229">
        <v>1.2500000000000001E-2</v>
      </c>
      <c r="DT43" s="231">
        <v>1700</v>
      </c>
      <c r="DU43" s="231">
        <v>1500</v>
      </c>
      <c r="DV43" s="228">
        <v>0.42</v>
      </c>
      <c r="DW43" s="228">
        <v>0.59</v>
      </c>
      <c r="DX43" s="228">
        <v>-0.17</v>
      </c>
      <c r="DY43" s="229">
        <v>-0.28810000000000002</v>
      </c>
      <c r="DZ43" s="229">
        <v>1.34E-2</v>
      </c>
      <c r="EA43" s="230">
        <v>194375</v>
      </c>
      <c r="EB43" s="229">
        <v>-6.8999999999999999E-3</v>
      </c>
      <c r="EC43" s="229">
        <v>1.34E-2</v>
      </c>
      <c r="ED43" s="228">
        <v>-5.85</v>
      </c>
      <c r="EE43" s="229">
        <v>-3.7000000000000002E-3</v>
      </c>
      <c r="EF43" s="230">
        <v>1014744</v>
      </c>
      <c r="EG43" s="230">
        <v>938591</v>
      </c>
      <c r="EH43" s="229">
        <v>8.1100000000000005E-2</v>
      </c>
      <c r="EI43" s="229">
        <v>0.53469999999999995</v>
      </c>
      <c r="EJ43" s="231">
        <v>132425.37</v>
      </c>
      <c r="EK43" s="231">
        <v>52626.33</v>
      </c>
      <c r="EL43" s="231">
        <v>54435.45</v>
      </c>
      <c r="EM43" s="231">
        <v>7745</v>
      </c>
      <c r="EN43" s="231">
        <v>239487.15</v>
      </c>
      <c r="EO43" s="231">
        <v>151835.35999999999</v>
      </c>
      <c r="EP43" s="231">
        <v>87651.79</v>
      </c>
      <c r="EQ43" s="229">
        <v>0.57730000000000004</v>
      </c>
      <c r="ER43" s="231">
        <v>31872</v>
      </c>
      <c r="ES43" s="231">
        <v>23871</v>
      </c>
      <c r="ET43" s="231">
        <v>237396</v>
      </c>
      <c r="EU43" s="231">
        <v>63212268</v>
      </c>
      <c r="EV43" s="231">
        <v>293139</v>
      </c>
      <c r="EW43" s="231">
        <v>282488</v>
      </c>
      <c r="EX43" s="231">
        <v>10651</v>
      </c>
      <c r="EY43" s="229">
        <v>3.7699999999999997E-2</v>
      </c>
      <c r="EZ43" s="229">
        <v>0.28710000000000002</v>
      </c>
      <c r="FA43" s="227" t="s">
        <v>556</v>
      </c>
      <c r="FB43" s="161">
        <f t="shared" si="0"/>
        <v>196875</v>
      </c>
    </row>
    <row r="44" spans="1:158" ht="17.25" hidden="1" thickBot="1" x14ac:dyDescent="0.3">
      <c r="A44" s="226">
        <v>45936</v>
      </c>
      <c r="B44" s="227" t="s">
        <v>170</v>
      </c>
      <c r="C44" s="227" t="s">
        <v>199</v>
      </c>
      <c r="D44" s="228">
        <v>375</v>
      </c>
      <c r="E44" s="231">
        <v>1522.1</v>
      </c>
      <c r="F44" s="231">
        <v>1523.7</v>
      </c>
      <c r="G44" s="228">
        <v>-1.6</v>
      </c>
      <c r="H44" s="229">
        <v>-1.1000000000000001E-3</v>
      </c>
      <c r="I44" s="231">
        <v>1513.1</v>
      </c>
      <c r="J44" s="231">
        <v>1517.7</v>
      </c>
      <c r="K44" s="228">
        <v>-4.5999999999999996</v>
      </c>
      <c r="L44" s="229">
        <v>-3.0000000000000001E-3</v>
      </c>
      <c r="M44" s="231">
        <v>1522.1</v>
      </c>
      <c r="N44" s="231">
        <v>1523.7</v>
      </c>
      <c r="O44" s="228">
        <v>-1.6</v>
      </c>
      <c r="P44" s="229">
        <v>-1.1000000000000001E-3</v>
      </c>
      <c r="Q44" s="231">
        <v>1530.3</v>
      </c>
      <c r="R44" s="231">
        <v>1532.1</v>
      </c>
      <c r="S44" s="228">
        <v>-1.8</v>
      </c>
      <c r="T44" s="229">
        <v>-1.1999999999999999E-3</v>
      </c>
      <c r="U44" s="231">
        <v>1521.2</v>
      </c>
      <c r="V44" s="231">
        <v>1538.5</v>
      </c>
      <c r="W44" s="228">
        <v>-17.3</v>
      </c>
      <c r="X44" s="229">
        <v>-1.12E-2</v>
      </c>
      <c r="Y44" s="228">
        <v>9</v>
      </c>
      <c r="Z44" s="228">
        <v>6</v>
      </c>
      <c r="AA44" s="228">
        <v>3</v>
      </c>
      <c r="AB44" s="229">
        <v>5.8999999999999999E-3</v>
      </c>
      <c r="AC44" s="228">
        <v>9</v>
      </c>
      <c r="AD44" s="228">
        <v>6</v>
      </c>
      <c r="AE44" s="228">
        <v>3</v>
      </c>
      <c r="AF44" s="229">
        <v>5.8999999999999999E-3</v>
      </c>
      <c r="AG44" s="228">
        <v>17.2</v>
      </c>
      <c r="AH44" s="228">
        <v>14.4</v>
      </c>
      <c r="AI44" s="228">
        <v>2.8</v>
      </c>
      <c r="AJ44" s="229">
        <v>1.14E-2</v>
      </c>
      <c r="AK44" s="228">
        <v>8.1</v>
      </c>
      <c r="AL44" s="228">
        <v>20.8</v>
      </c>
      <c r="AM44" s="228">
        <v>-12.7</v>
      </c>
      <c r="AN44" s="229">
        <v>5.4000000000000003E-3</v>
      </c>
      <c r="AO44" s="231">
        <v>1517.72</v>
      </c>
      <c r="AP44" s="231">
        <v>1526.76</v>
      </c>
      <c r="AQ44" s="228">
        <v>0</v>
      </c>
      <c r="AR44" s="230">
        <v>843000</v>
      </c>
      <c r="AS44" s="230">
        <v>834750</v>
      </c>
      <c r="AT44" s="230">
        <v>8250</v>
      </c>
      <c r="AU44" s="229">
        <v>9.9000000000000008E-3</v>
      </c>
      <c r="AV44" s="230">
        <v>802875</v>
      </c>
      <c r="AW44" s="230">
        <v>808500</v>
      </c>
      <c r="AX44" s="230">
        <v>-5625</v>
      </c>
      <c r="AY44" s="229">
        <v>-7.0000000000000001E-3</v>
      </c>
      <c r="AZ44" s="230">
        <v>39375</v>
      </c>
      <c r="BA44" s="230">
        <v>23625</v>
      </c>
      <c r="BB44" s="230">
        <v>15750</v>
      </c>
      <c r="BC44" s="229">
        <v>0.66669999999999996</v>
      </c>
      <c r="BD44" s="228">
        <v>750</v>
      </c>
      <c r="BE44" s="230">
        <v>2625</v>
      </c>
      <c r="BF44" s="230">
        <v>-1875</v>
      </c>
      <c r="BG44" s="229">
        <v>-0.71430000000000005</v>
      </c>
      <c r="BH44" s="230">
        <v>2543625</v>
      </c>
      <c r="BI44" s="230">
        <v>2340375</v>
      </c>
      <c r="BJ44" s="230">
        <v>203250</v>
      </c>
      <c r="BK44" s="229">
        <v>8.6800000000000002E-2</v>
      </c>
      <c r="BL44" s="230">
        <v>1559625</v>
      </c>
      <c r="BM44" s="230">
        <v>1413750</v>
      </c>
      <c r="BN44" s="230">
        <v>145875</v>
      </c>
      <c r="BO44" s="229">
        <v>0.1032</v>
      </c>
      <c r="BP44" s="230">
        <v>4946250</v>
      </c>
      <c r="BQ44" s="230">
        <v>4588875</v>
      </c>
      <c r="BR44" s="230">
        <v>357375</v>
      </c>
      <c r="BS44" s="229">
        <v>7.7899999999999997E-2</v>
      </c>
      <c r="BT44" s="230">
        <v>784944</v>
      </c>
      <c r="BU44" s="230">
        <v>1187627</v>
      </c>
      <c r="BV44" s="230">
        <v>-402683</v>
      </c>
      <c r="BW44" s="229">
        <v>-0.33910000000000001</v>
      </c>
      <c r="BX44" s="230">
        <v>10716750</v>
      </c>
      <c r="BY44" s="230">
        <v>10777125</v>
      </c>
      <c r="BZ44" s="230">
        <v>-60375</v>
      </c>
      <c r="CA44" s="229">
        <v>-5.5999999999999999E-3</v>
      </c>
      <c r="CB44" s="230">
        <v>10635000</v>
      </c>
      <c r="CC44" s="230">
        <v>10710375</v>
      </c>
      <c r="CD44" s="230">
        <v>-75375</v>
      </c>
      <c r="CE44" s="229">
        <v>-7.0000000000000001E-3</v>
      </c>
      <c r="CF44" s="230">
        <v>79125</v>
      </c>
      <c r="CG44" s="230">
        <v>64500</v>
      </c>
      <c r="CH44" s="230">
        <v>14625</v>
      </c>
      <c r="CI44" s="229">
        <v>0.22670000000000001</v>
      </c>
      <c r="CJ44" s="230">
        <v>2625</v>
      </c>
      <c r="CK44" s="230">
        <v>2250</v>
      </c>
      <c r="CL44" s="228">
        <v>375</v>
      </c>
      <c r="CM44" s="229">
        <v>0.16669999999999999</v>
      </c>
      <c r="CN44" s="230">
        <v>2680125</v>
      </c>
      <c r="CO44" s="230">
        <v>2125125</v>
      </c>
      <c r="CP44" s="230">
        <v>555000</v>
      </c>
      <c r="CQ44" s="229">
        <v>0.26119999999999999</v>
      </c>
      <c r="CR44" s="230">
        <v>1998000</v>
      </c>
      <c r="CS44" s="230">
        <v>1928250</v>
      </c>
      <c r="CT44" s="230">
        <v>69750</v>
      </c>
      <c r="CU44" s="229">
        <v>3.6200000000000003E-2</v>
      </c>
      <c r="CV44" s="230">
        <v>15394875</v>
      </c>
      <c r="CW44" s="230">
        <v>14830500</v>
      </c>
      <c r="CX44" s="230">
        <v>564375</v>
      </c>
      <c r="CY44" s="229">
        <v>3.8100000000000002E-2</v>
      </c>
      <c r="CZ44" s="228">
        <v>18.420000000000002</v>
      </c>
      <c r="DA44" s="228">
        <v>18.510000000000002</v>
      </c>
      <c r="DB44" s="228">
        <v>-0.09</v>
      </c>
      <c r="DC44" s="228">
        <v>-0.09</v>
      </c>
      <c r="DD44" s="228">
        <v>26.3</v>
      </c>
      <c r="DE44" s="228">
        <v>26.36</v>
      </c>
      <c r="DF44" s="228">
        <v>-7.88</v>
      </c>
      <c r="DG44" s="228">
        <v>-0.06</v>
      </c>
      <c r="DH44" s="228">
        <v>18.010000000000002</v>
      </c>
      <c r="DI44" s="228">
        <v>17.78</v>
      </c>
      <c r="DJ44" s="228">
        <v>0.23</v>
      </c>
      <c r="DK44" s="228">
        <v>0.23</v>
      </c>
      <c r="DL44" s="228">
        <v>19.09</v>
      </c>
      <c r="DM44" s="228">
        <v>19.71</v>
      </c>
      <c r="DN44" s="228">
        <v>-0.62</v>
      </c>
      <c r="DO44" s="228">
        <v>-0.62</v>
      </c>
      <c r="DP44" s="228">
        <v>0.75</v>
      </c>
      <c r="DQ44" s="228">
        <v>0.91</v>
      </c>
      <c r="DR44" s="228">
        <v>-0.16</v>
      </c>
      <c r="DS44" s="229">
        <v>-0.17580000000000001</v>
      </c>
      <c r="DT44" s="231">
        <v>1600</v>
      </c>
      <c r="DU44" s="231">
        <v>1500</v>
      </c>
      <c r="DV44" s="228">
        <v>0.61</v>
      </c>
      <c r="DW44" s="228">
        <v>0.6</v>
      </c>
      <c r="DX44" s="228">
        <v>0.01</v>
      </c>
      <c r="DY44" s="229">
        <v>1.67E-2</v>
      </c>
      <c r="DZ44" s="229">
        <v>7.6E-3</v>
      </c>
      <c r="EA44" s="230">
        <v>66750</v>
      </c>
      <c r="EB44" s="229">
        <v>5.4000000000000003E-3</v>
      </c>
      <c r="EC44" s="229">
        <v>7.6E-3</v>
      </c>
      <c r="ED44" s="228">
        <v>9.0399999999999991</v>
      </c>
      <c r="EE44" s="229">
        <v>6.0000000000000001E-3</v>
      </c>
      <c r="EF44" s="230">
        <v>456639</v>
      </c>
      <c r="EG44" s="230">
        <v>823545</v>
      </c>
      <c r="EH44" s="229">
        <v>-0.44550000000000001</v>
      </c>
      <c r="EI44" s="229">
        <v>0.58169999999999999</v>
      </c>
      <c r="EJ44" s="231">
        <v>40143.69</v>
      </c>
      <c r="EK44" s="231">
        <v>23373.32</v>
      </c>
      <c r="EL44" s="231">
        <v>12797.97</v>
      </c>
      <c r="EM44" s="231">
        <v>8467</v>
      </c>
      <c r="EN44" s="231">
        <v>76314.98</v>
      </c>
      <c r="EO44" s="231">
        <v>70552.12</v>
      </c>
      <c r="EP44" s="231">
        <v>5762.86</v>
      </c>
      <c r="EQ44" s="229">
        <v>8.1699999999999995E-2</v>
      </c>
      <c r="ER44" s="231">
        <v>42898</v>
      </c>
      <c r="ES44" s="231">
        <v>28986</v>
      </c>
      <c r="ET44" s="231">
        <v>163126</v>
      </c>
      <c r="EU44" s="231">
        <v>57073940</v>
      </c>
      <c r="EV44" s="231">
        <v>235010</v>
      </c>
      <c r="EW44" s="231">
        <v>226167</v>
      </c>
      <c r="EX44" s="231">
        <v>8843</v>
      </c>
      <c r="EY44" s="229">
        <v>3.9100000000000003E-2</v>
      </c>
      <c r="EZ44" s="229">
        <v>0.2697</v>
      </c>
      <c r="FA44" s="227" t="s">
        <v>568</v>
      </c>
      <c r="FB44" s="161">
        <f t="shared" si="0"/>
        <v>81750</v>
      </c>
    </row>
    <row r="45" spans="1:158" ht="17.25" hidden="1" thickBot="1" x14ac:dyDescent="0.3">
      <c r="A45" s="226">
        <v>45936</v>
      </c>
      <c r="B45" s="227" t="s">
        <v>227</v>
      </c>
      <c r="C45" s="227" t="s">
        <v>200</v>
      </c>
      <c r="D45" s="228">
        <v>1350</v>
      </c>
      <c r="E45" s="228">
        <v>384.2</v>
      </c>
      <c r="F45" s="228">
        <v>384.9</v>
      </c>
      <c r="G45" s="228">
        <v>-0.7</v>
      </c>
      <c r="H45" s="229">
        <v>-1.8E-3</v>
      </c>
      <c r="I45" s="228">
        <v>381.9</v>
      </c>
      <c r="J45" s="228">
        <v>383.35</v>
      </c>
      <c r="K45" s="228">
        <v>-1.45</v>
      </c>
      <c r="L45" s="229">
        <v>-3.8E-3</v>
      </c>
      <c r="M45" s="228">
        <v>384.2</v>
      </c>
      <c r="N45" s="228">
        <v>384.9</v>
      </c>
      <c r="O45" s="228">
        <v>-0.7</v>
      </c>
      <c r="P45" s="229">
        <v>-1.8E-3</v>
      </c>
      <c r="Q45" s="228">
        <v>385.05</v>
      </c>
      <c r="R45" s="228">
        <v>385.6</v>
      </c>
      <c r="S45" s="228">
        <v>-0.55000000000000004</v>
      </c>
      <c r="T45" s="229">
        <v>-1.4E-3</v>
      </c>
      <c r="U45" s="228">
        <v>387.3</v>
      </c>
      <c r="V45" s="228">
        <v>388.05</v>
      </c>
      <c r="W45" s="228">
        <v>-0.75</v>
      </c>
      <c r="X45" s="229">
        <v>-1.9E-3</v>
      </c>
      <c r="Y45" s="228">
        <v>2.2999999999999998</v>
      </c>
      <c r="Z45" s="228">
        <v>1.55</v>
      </c>
      <c r="AA45" s="228">
        <v>0.75</v>
      </c>
      <c r="AB45" s="229">
        <v>6.0000000000000001E-3</v>
      </c>
      <c r="AC45" s="228">
        <v>2.2999999999999998</v>
      </c>
      <c r="AD45" s="228">
        <v>1.55</v>
      </c>
      <c r="AE45" s="228">
        <v>0.75</v>
      </c>
      <c r="AF45" s="229">
        <v>6.0000000000000001E-3</v>
      </c>
      <c r="AG45" s="228">
        <v>3.15</v>
      </c>
      <c r="AH45" s="228">
        <v>2.25</v>
      </c>
      <c r="AI45" s="228">
        <v>0.9</v>
      </c>
      <c r="AJ45" s="229">
        <v>8.2000000000000007E-3</v>
      </c>
      <c r="AK45" s="228">
        <v>5.4</v>
      </c>
      <c r="AL45" s="228">
        <v>4.7</v>
      </c>
      <c r="AM45" s="228">
        <v>0.7</v>
      </c>
      <c r="AN45" s="229">
        <v>1.41E-2</v>
      </c>
      <c r="AO45" s="228">
        <v>383.49</v>
      </c>
      <c r="AP45" s="228">
        <v>383.97</v>
      </c>
      <c r="AQ45" s="228">
        <v>0</v>
      </c>
      <c r="AR45" s="230">
        <v>7561350</v>
      </c>
      <c r="AS45" s="230">
        <v>9825300</v>
      </c>
      <c r="AT45" s="230">
        <v>-2263950</v>
      </c>
      <c r="AU45" s="229">
        <v>-0.23039999999999999</v>
      </c>
      <c r="AV45" s="230">
        <v>6998400</v>
      </c>
      <c r="AW45" s="230">
        <v>8735850</v>
      </c>
      <c r="AX45" s="230">
        <v>-1737450</v>
      </c>
      <c r="AY45" s="229">
        <v>-0.19889999999999999</v>
      </c>
      <c r="AZ45" s="230">
        <v>445500</v>
      </c>
      <c r="BA45" s="230">
        <v>918000</v>
      </c>
      <c r="BB45" s="230">
        <v>-472500</v>
      </c>
      <c r="BC45" s="229">
        <v>-0.51470000000000005</v>
      </c>
      <c r="BD45" s="230">
        <v>117450</v>
      </c>
      <c r="BE45" s="230">
        <v>171450</v>
      </c>
      <c r="BF45" s="230">
        <v>-54000</v>
      </c>
      <c r="BG45" s="229">
        <v>-0.315</v>
      </c>
      <c r="BH45" s="230">
        <v>19585800</v>
      </c>
      <c r="BI45" s="230">
        <v>34284600</v>
      </c>
      <c r="BJ45" s="230">
        <v>-14698800</v>
      </c>
      <c r="BK45" s="229">
        <v>-0.42870000000000003</v>
      </c>
      <c r="BL45" s="230">
        <v>7531650</v>
      </c>
      <c r="BM45" s="230">
        <v>16600950</v>
      </c>
      <c r="BN45" s="230">
        <v>-9069300</v>
      </c>
      <c r="BO45" s="229">
        <v>-0.54630000000000001</v>
      </c>
      <c r="BP45" s="230">
        <v>34678800</v>
      </c>
      <c r="BQ45" s="230">
        <v>60710850</v>
      </c>
      <c r="BR45" s="230">
        <v>-26032050</v>
      </c>
      <c r="BS45" s="229">
        <v>-0.42880000000000001</v>
      </c>
      <c r="BT45" s="230">
        <v>7587742</v>
      </c>
      <c r="BU45" s="230">
        <v>7918273</v>
      </c>
      <c r="BV45" s="230">
        <v>-330531</v>
      </c>
      <c r="BW45" s="229">
        <v>-4.1700000000000001E-2</v>
      </c>
      <c r="BX45" s="230">
        <v>70488900</v>
      </c>
      <c r="BY45" s="230">
        <v>69857100</v>
      </c>
      <c r="BZ45" s="230">
        <v>631800</v>
      </c>
      <c r="CA45" s="229">
        <v>8.9999999999999993E-3</v>
      </c>
      <c r="CB45" s="230">
        <v>68724450</v>
      </c>
      <c r="CC45" s="230">
        <v>68299200</v>
      </c>
      <c r="CD45" s="230">
        <v>425250</v>
      </c>
      <c r="CE45" s="229">
        <v>6.1999999999999998E-3</v>
      </c>
      <c r="CF45" s="230">
        <v>1590300</v>
      </c>
      <c r="CG45" s="230">
        <v>1444500</v>
      </c>
      <c r="CH45" s="230">
        <v>145800</v>
      </c>
      <c r="CI45" s="229">
        <v>0.1009</v>
      </c>
      <c r="CJ45" s="230">
        <v>174150</v>
      </c>
      <c r="CK45" s="230">
        <v>113400</v>
      </c>
      <c r="CL45" s="230">
        <v>60750</v>
      </c>
      <c r="CM45" s="229">
        <v>0.53569999999999995</v>
      </c>
      <c r="CN45" s="230">
        <v>24421500</v>
      </c>
      <c r="CO45" s="230">
        <v>21363750</v>
      </c>
      <c r="CP45" s="230">
        <v>3057750</v>
      </c>
      <c r="CQ45" s="229">
        <v>0.1431</v>
      </c>
      <c r="CR45" s="230">
        <v>17517600</v>
      </c>
      <c r="CS45" s="230">
        <v>16575300</v>
      </c>
      <c r="CT45" s="230">
        <v>942300</v>
      </c>
      <c r="CU45" s="229">
        <v>5.6800000000000003E-2</v>
      </c>
      <c r="CV45" s="230">
        <v>112428000</v>
      </c>
      <c r="CW45" s="230">
        <v>107796150</v>
      </c>
      <c r="CX45" s="230">
        <v>4631850</v>
      </c>
      <c r="CY45" s="229">
        <v>4.2999999999999997E-2</v>
      </c>
      <c r="CZ45" s="228">
        <v>18.04</v>
      </c>
      <c r="DA45" s="228">
        <v>17.48</v>
      </c>
      <c r="DB45" s="228">
        <v>0.56000000000000005</v>
      </c>
      <c r="DC45" s="228">
        <v>0.56000000000000005</v>
      </c>
      <c r="DD45" s="228">
        <v>29.25</v>
      </c>
      <c r="DE45" s="228">
        <v>29.33</v>
      </c>
      <c r="DF45" s="228">
        <v>-11.21</v>
      </c>
      <c r="DG45" s="228">
        <v>-0.08</v>
      </c>
      <c r="DH45" s="228">
        <v>18.25</v>
      </c>
      <c r="DI45" s="228">
        <v>17.72</v>
      </c>
      <c r="DJ45" s="228">
        <v>0.53</v>
      </c>
      <c r="DK45" s="228">
        <v>0.53</v>
      </c>
      <c r="DL45" s="228">
        <v>17.489999999999998</v>
      </c>
      <c r="DM45" s="228">
        <v>16.989999999999998</v>
      </c>
      <c r="DN45" s="228">
        <v>0.5</v>
      </c>
      <c r="DO45" s="228">
        <v>0.5</v>
      </c>
      <c r="DP45" s="228">
        <v>0.72</v>
      </c>
      <c r="DQ45" s="228">
        <v>0.78</v>
      </c>
      <c r="DR45" s="228">
        <v>-0.06</v>
      </c>
      <c r="DS45" s="229">
        <v>-7.6899999999999996E-2</v>
      </c>
      <c r="DT45" s="228">
        <v>400</v>
      </c>
      <c r="DU45" s="228">
        <v>450</v>
      </c>
      <c r="DV45" s="228">
        <v>0.38</v>
      </c>
      <c r="DW45" s="228">
        <v>0.48</v>
      </c>
      <c r="DX45" s="228">
        <v>-0.1</v>
      </c>
      <c r="DY45" s="229">
        <v>-0.20830000000000001</v>
      </c>
      <c r="DZ45" s="229">
        <v>2.5000000000000001E-2</v>
      </c>
      <c r="EA45" s="230">
        <v>1557900</v>
      </c>
      <c r="EB45" s="229">
        <v>2.2000000000000001E-3</v>
      </c>
      <c r="EC45" s="229">
        <v>2.5000000000000001E-2</v>
      </c>
      <c r="ED45" s="228">
        <v>0.48</v>
      </c>
      <c r="EE45" s="229">
        <v>1.2999999999999999E-3</v>
      </c>
      <c r="EF45" s="230">
        <v>5021462</v>
      </c>
      <c r="EG45" s="230">
        <v>4406639</v>
      </c>
      <c r="EH45" s="229">
        <v>0.13950000000000001</v>
      </c>
      <c r="EI45" s="229">
        <v>0.66180000000000005</v>
      </c>
      <c r="EJ45" s="231">
        <v>78192.160000000003</v>
      </c>
      <c r="EK45" s="231">
        <v>28910.53</v>
      </c>
      <c r="EL45" s="231">
        <v>29002.21</v>
      </c>
      <c r="EM45" s="231">
        <v>14214</v>
      </c>
      <c r="EN45" s="231">
        <v>136104.9</v>
      </c>
      <c r="EO45" s="231">
        <v>239069.39</v>
      </c>
      <c r="EP45" s="231">
        <v>-102964.49</v>
      </c>
      <c r="EQ45" s="229">
        <v>-0.43070000000000003</v>
      </c>
      <c r="ER45" s="231">
        <v>98545</v>
      </c>
      <c r="ES45" s="231">
        <v>68753</v>
      </c>
      <c r="ET45" s="231">
        <v>270837</v>
      </c>
      <c r="EU45" s="231">
        <v>227199238</v>
      </c>
      <c r="EV45" s="231">
        <v>438136</v>
      </c>
      <c r="EW45" s="231">
        <v>420508</v>
      </c>
      <c r="EX45" s="231">
        <v>17628</v>
      </c>
      <c r="EY45" s="229">
        <v>4.19E-2</v>
      </c>
      <c r="EZ45" s="229">
        <v>0.49480000000000002</v>
      </c>
      <c r="FA45" s="227" t="s">
        <v>567</v>
      </c>
      <c r="FB45" s="161">
        <f t="shared" si="0"/>
        <v>1764450</v>
      </c>
    </row>
    <row r="46" spans="1:158" ht="17.25" hidden="1" thickBot="1" x14ac:dyDescent="0.3">
      <c r="A46" s="226">
        <v>45936</v>
      </c>
      <c r="B46" s="227" t="s">
        <v>221</v>
      </c>
      <c r="C46" s="227" t="s">
        <v>470</v>
      </c>
      <c r="D46" s="228">
        <v>375</v>
      </c>
      <c r="E46" s="231">
        <v>1668.5</v>
      </c>
      <c r="F46" s="231">
        <v>1619</v>
      </c>
      <c r="G46" s="228">
        <v>49.5</v>
      </c>
      <c r="H46" s="229">
        <v>3.0599999999999999E-2</v>
      </c>
      <c r="I46" s="231">
        <v>1662.4</v>
      </c>
      <c r="J46" s="231">
        <v>1613.1</v>
      </c>
      <c r="K46" s="228">
        <v>49.3</v>
      </c>
      <c r="L46" s="229">
        <v>3.0599999999999999E-2</v>
      </c>
      <c r="M46" s="231">
        <v>1668.5</v>
      </c>
      <c r="N46" s="231">
        <v>1619</v>
      </c>
      <c r="O46" s="228">
        <v>49.5</v>
      </c>
      <c r="P46" s="229">
        <v>3.0599999999999999E-2</v>
      </c>
      <c r="Q46" s="231">
        <v>1669.4</v>
      </c>
      <c r="R46" s="231">
        <v>1620.7</v>
      </c>
      <c r="S46" s="228">
        <v>48.7</v>
      </c>
      <c r="T46" s="229">
        <v>0.03</v>
      </c>
      <c r="U46" s="231">
        <v>1674</v>
      </c>
      <c r="V46" s="231">
        <v>1626.2</v>
      </c>
      <c r="W46" s="228">
        <v>47.8</v>
      </c>
      <c r="X46" s="229">
        <v>2.9399999999999999E-2</v>
      </c>
      <c r="Y46" s="228">
        <v>6.1</v>
      </c>
      <c r="Z46" s="228">
        <v>5.9</v>
      </c>
      <c r="AA46" s="228">
        <v>0.2</v>
      </c>
      <c r="AB46" s="229">
        <v>3.7000000000000002E-3</v>
      </c>
      <c r="AC46" s="228">
        <v>6.1</v>
      </c>
      <c r="AD46" s="228">
        <v>5.9</v>
      </c>
      <c r="AE46" s="228">
        <v>0.2</v>
      </c>
      <c r="AF46" s="229">
        <v>3.7000000000000002E-3</v>
      </c>
      <c r="AG46" s="228">
        <v>7</v>
      </c>
      <c r="AH46" s="228">
        <v>7.6</v>
      </c>
      <c r="AI46" s="228">
        <v>-0.6</v>
      </c>
      <c r="AJ46" s="229">
        <v>4.1999999999999997E-3</v>
      </c>
      <c r="AK46" s="228">
        <v>11.6</v>
      </c>
      <c r="AL46" s="228">
        <v>13.1</v>
      </c>
      <c r="AM46" s="228">
        <v>-1.5</v>
      </c>
      <c r="AN46" s="229">
        <v>7.0000000000000001E-3</v>
      </c>
      <c r="AO46" s="231">
        <v>1647.61</v>
      </c>
      <c r="AP46" s="231">
        <v>1647.77</v>
      </c>
      <c r="AQ46" s="228">
        <v>0</v>
      </c>
      <c r="AR46" s="230">
        <v>2940000</v>
      </c>
      <c r="AS46" s="230">
        <v>1788750</v>
      </c>
      <c r="AT46" s="230">
        <v>1151250</v>
      </c>
      <c r="AU46" s="229">
        <v>0.64359999999999995</v>
      </c>
      <c r="AV46" s="230">
        <v>2838375</v>
      </c>
      <c r="AW46" s="230">
        <v>1738875</v>
      </c>
      <c r="AX46" s="230">
        <v>1099500</v>
      </c>
      <c r="AY46" s="229">
        <v>0.63229999999999997</v>
      </c>
      <c r="AZ46" s="230">
        <v>90000</v>
      </c>
      <c r="BA46" s="230">
        <v>45000</v>
      </c>
      <c r="BB46" s="230">
        <v>45000</v>
      </c>
      <c r="BC46" s="229">
        <v>1</v>
      </c>
      <c r="BD46" s="230">
        <v>11625</v>
      </c>
      <c r="BE46" s="230">
        <v>4875</v>
      </c>
      <c r="BF46" s="230">
        <v>6750</v>
      </c>
      <c r="BG46" s="229">
        <v>1.3846000000000001</v>
      </c>
      <c r="BH46" s="230">
        <v>8731875</v>
      </c>
      <c r="BI46" s="230">
        <v>3723000</v>
      </c>
      <c r="BJ46" s="230">
        <v>5008875</v>
      </c>
      <c r="BK46" s="229">
        <v>1.3453999999999999</v>
      </c>
      <c r="BL46" s="230">
        <v>3535500</v>
      </c>
      <c r="BM46" s="230">
        <v>1660125</v>
      </c>
      <c r="BN46" s="230">
        <v>1875375</v>
      </c>
      <c r="BO46" s="229">
        <v>1.1296999999999999</v>
      </c>
      <c r="BP46" s="230">
        <v>15207375</v>
      </c>
      <c r="BQ46" s="230">
        <v>7171875</v>
      </c>
      <c r="BR46" s="230">
        <v>8035500</v>
      </c>
      <c r="BS46" s="229">
        <v>1.1204000000000001</v>
      </c>
      <c r="BT46" s="230">
        <v>1484232</v>
      </c>
      <c r="BU46" s="230">
        <v>1467561</v>
      </c>
      <c r="BV46" s="230">
        <v>16671</v>
      </c>
      <c r="BW46" s="229">
        <v>1.14E-2</v>
      </c>
      <c r="BX46" s="230">
        <v>13149000</v>
      </c>
      <c r="BY46" s="230">
        <v>13396500</v>
      </c>
      <c r="BZ46" s="230">
        <v>-247500</v>
      </c>
      <c r="CA46" s="229">
        <v>-1.8499999999999999E-2</v>
      </c>
      <c r="CB46" s="230">
        <v>12891750</v>
      </c>
      <c r="CC46" s="230">
        <v>13134000</v>
      </c>
      <c r="CD46" s="230">
        <v>-242250</v>
      </c>
      <c r="CE46" s="229">
        <v>-1.84E-2</v>
      </c>
      <c r="CF46" s="230">
        <v>249750</v>
      </c>
      <c r="CG46" s="230">
        <v>253125</v>
      </c>
      <c r="CH46" s="230">
        <v>-3375</v>
      </c>
      <c r="CI46" s="229">
        <v>-1.3299999999999999E-2</v>
      </c>
      <c r="CJ46" s="230">
        <v>7500</v>
      </c>
      <c r="CK46" s="230">
        <v>9375</v>
      </c>
      <c r="CL46" s="230">
        <v>-1875</v>
      </c>
      <c r="CM46" s="229">
        <v>-0.2</v>
      </c>
      <c r="CN46" s="230">
        <v>4099875</v>
      </c>
      <c r="CO46" s="230">
        <v>3942750</v>
      </c>
      <c r="CP46" s="230">
        <v>157125</v>
      </c>
      <c r="CQ46" s="229">
        <v>3.9899999999999998E-2</v>
      </c>
      <c r="CR46" s="230">
        <v>2425125</v>
      </c>
      <c r="CS46" s="230">
        <v>2358750</v>
      </c>
      <c r="CT46" s="230">
        <v>66375</v>
      </c>
      <c r="CU46" s="229">
        <v>2.81E-2</v>
      </c>
      <c r="CV46" s="230">
        <v>19674000</v>
      </c>
      <c r="CW46" s="230">
        <v>19698000</v>
      </c>
      <c r="CX46" s="230">
        <v>-24000</v>
      </c>
      <c r="CY46" s="229">
        <v>-1.1999999999999999E-3</v>
      </c>
      <c r="CZ46" s="228">
        <v>38.049999999999997</v>
      </c>
      <c r="DA46" s="228">
        <v>36.58</v>
      </c>
      <c r="DB46" s="228">
        <v>1.47</v>
      </c>
      <c r="DC46" s="228">
        <v>1.47</v>
      </c>
      <c r="DD46" s="228">
        <v>43.5</v>
      </c>
      <c r="DE46" s="228">
        <v>43.42</v>
      </c>
      <c r="DF46" s="228">
        <v>-5.45</v>
      </c>
      <c r="DG46" s="228">
        <v>0.08</v>
      </c>
      <c r="DH46" s="228">
        <v>37.83</v>
      </c>
      <c r="DI46" s="228">
        <v>36.450000000000003</v>
      </c>
      <c r="DJ46" s="228">
        <v>1.38</v>
      </c>
      <c r="DK46" s="228">
        <v>1.38</v>
      </c>
      <c r="DL46" s="228">
        <v>38.61</v>
      </c>
      <c r="DM46" s="228">
        <v>36.85</v>
      </c>
      <c r="DN46" s="228">
        <v>1.76</v>
      </c>
      <c r="DO46" s="228">
        <v>1.76</v>
      </c>
      <c r="DP46" s="228">
        <v>0.59</v>
      </c>
      <c r="DQ46" s="228">
        <v>0.6</v>
      </c>
      <c r="DR46" s="228">
        <v>-0.01</v>
      </c>
      <c r="DS46" s="229">
        <v>-1.67E-2</v>
      </c>
      <c r="DT46" s="231">
        <v>1700</v>
      </c>
      <c r="DU46" s="231">
        <v>1600</v>
      </c>
      <c r="DV46" s="228">
        <v>0.4</v>
      </c>
      <c r="DW46" s="228">
        <v>0.45</v>
      </c>
      <c r="DX46" s="228">
        <v>-0.05</v>
      </c>
      <c r="DY46" s="229">
        <v>-0.1111</v>
      </c>
      <c r="DZ46" s="229">
        <v>1.9599999999999999E-2</v>
      </c>
      <c r="EA46" s="230">
        <v>262500</v>
      </c>
      <c r="EB46" s="229">
        <v>5.0000000000000001E-4</v>
      </c>
      <c r="EC46" s="229">
        <v>1.9599999999999999E-2</v>
      </c>
      <c r="ED46" s="228">
        <v>0.16</v>
      </c>
      <c r="EE46" s="229">
        <v>1E-4</v>
      </c>
      <c r="EF46" s="230">
        <v>687046</v>
      </c>
      <c r="EG46" s="230">
        <v>890679</v>
      </c>
      <c r="EH46" s="229">
        <v>-0.2286</v>
      </c>
      <c r="EI46" s="229">
        <v>0.46289999999999998</v>
      </c>
      <c r="EJ46" s="231">
        <v>152132.57</v>
      </c>
      <c r="EK46" s="231">
        <v>56682.53</v>
      </c>
      <c r="EL46" s="231">
        <v>48440.77</v>
      </c>
      <c r="EM46" s="231">
        <v>14640</v>
      </c>
      <c r="EN46" s="231">
        <v>257255.87</v>
      </c>
      <c r="EO46" s="231">
        <v>119383.99</v>
      </c>
      <c r="EP46" s="231">
        <v>137871.88</v>
      </c>
      <c r="EQ46" s="229">
        <v>1.1549</v>
      </c>
      <c r="ER46" s="231">
        <v>71414</v>
      </c>
      <c r="ES46" s="231">
        <v>37843</v>
      </c>
      <c r="ET46" s="231">
        <v>219394</v>
      </c>
      <c r="EU46" s="231">
        <v>50163899</v>
      </c>
      <c r="EV46" s="231">
        <v>328650</v>
      </c>
      <c r="EW46" s="231">
        <v>321908</v>
      </c>
      <c r="EX46" s="231">
        <v>6742</v>
      </c>
      <c r="EY46" s="229">
        <v>2.0899999999999998E-2</v>
      </c>
      <c r="EZ46" s="229">
        <v>0.39219999999999999</v>
      </c>
      <c r="FA46" s="227" t="s">
        <v>556</v>
      </c>
      <c r="FB46" s="161">
        <f t="shared" si="0"/>
        <v>257250</v>
      </c>
    </row>
    <row r="47" spans="1:158" ht="17.25" hidden="1" thickBot="1" x14ac:dyDescent="0.3">
      <c r="A47" s="226">
        <v>45936</v>
      </c>
      <c r="B47" s="227" t="s">
        <v>168</v>
      </c>
      <c r="C47" s="227" t="s">
        <v>201</v>
      </c>
      <c r="D47" s="228">
        <v>225</v>
      </c>
      <c r="E47" s="231">
        <v>2243.6</v>
      </c>
      <c r="F47" s="231">
        <v>2226.4</v>
      </c>
      <c r="G47" s="228">
        <v>17.2</v>
      </c>
      <c r="H47" s="229">
        <v>7.7000000000000002E-3</v>
      </c>
      <c r="I47" s="231">
        <v>2228.8000000000002</v>
      </c>
      <c r="J47" s="231">
        <v>2213.9</v>
      </c>
      <c r="K47" s="228">
        <v>14.9</v>
      </c>
      <c r="L47" s="229">
        <v>6.7000000000000002E-3</v>
      </c>
      <c r="M47" s="231">
        <v>2243.6</v>
      </c>
      <c r="N47" s="231">
        <v>2226.4</v>
      </c>
      <c r="O47" s="228">
        <v>17.2</v>
      </c>
      <c r="P47" s="229">
        <v>7.7000000000000002E-3</v>
      </c>
      <c r="Q47" s="231">
        <v>2233.3000000000002</v>
      </c>
      <c r="R47" s="231">
        <v>2216.5</v>
      </c>
      <c r="S47" s="228">
        <v>16.8</v>
      </c>
      <c r="T47" s="229">
        <v>7.6E-3</v>
      </c>
      <c r="U47" s="231">
        <v>2244.6999999999998</v>
      </c>
      <c r="V47" s="231">
        <v>2224.6</v>
      </c>
      <c r="W47" s="228">
        <v>20.100000000000001</v>
      </c>
      <c r="X47" s="229">
        <v>8.9999999999999993E-3</v>
      </c>
      <c r="Y47" s="228">
        <v>14.8</v>
      </c>
      <c r="Z47" s="228">
        <v>12.5</v>
      </c>
      <c r="AA47" s="228">
        <v>2.2999999999999998</v>
      </c>
      <c r="AB47" s="229">
        <v>6.6E-3</v>
      </c>
      <c r="AC47" s="228">
        <v>14.8</v>
      </c>
      <c r="AD47" s="228">
        <v>12.5</v>
      </c>
      <c r="AE47" s="228">
        <v>2.2999999999999998</v>
      </c>
      <c r="AF47" s="229">
        <v>6.6E-3</v>
      </c>
      <c r="AG47" s="228">
        <v>4.5</v>
      </c>
      <c r="AH47" s="228">
        <v>2.6</v>
      </c>
      <c r="AI47" s="228">
        <v>1.9</v>
      </c>
      <c r="AJ47" s="229">
        <v>2E-3</v>
      </c>
      <c r="AK47" s="228">
        <v>15.9</v>
      </c>
      <c r="AL47" s="228">
        <v>10.7</v>
      </c>
      <c r="AM47" s="228">
        <v>5.2</v>
      </c>
      <c r="AN47" s="229">
        <v>7.1000000000000004E-3</v>
      </c>
      <c r="AO47" s="231">
        <v>2237.17</v>
      </c>
      <c r="AP47" s="231">
        <v>2224.9699999999998</v>
      </c>
      <c r="AQ47" s="228">
        <v>0</v>
      </c>
      <c r="AR47" s="230">
        <v>721575</v>
      </c>
      <c r="AS47" s="230">
        <v>903375</v>
      </c>
      <c r="AT47" s="230">
        <v>-181800</v>
      </c>
      <c r="AU47" s="229">
        <v>-0.20119999999999999</v>
      </c>
      <c r="AV47" s="230">
        <v>656550</v>
      </c>
      <c r="AW47" s="230">
        <v>730800</v>
      </c>
      <c r="AX47" s="230">
        <v>-74250</v>
      </c>
      <c r="AY47" s="229">
        <v>-0.1016</v>
      </c>
      <c r="AZ47" s="230">
        <v>58950</v>
      </c>
      <c r="BA47" s="230">
        <v>150975</v>
      </c>
      <c r="BB47" s="230">
        <v>-92025</v>
      </c>
      <c r="BC47" s="229">
        <v>-0.60950000000000004</v>
      </c>
      <c r="BD47" s="230">
        <v>6075</v>
      </c>
      <c r="BE47" s="230">
        <v>21600</v>
      </c>
      <c r="BF47" s="230">
        <v>-15525</v>
      </c>
      <c r="BG47" s="229">
        <v>-0.71879999999999999</v>
      </c>
      <c r="BH47" s="230">
        <v>1426050</v>
      </c>
      <c r="BI47" s="230">
        <v>1393875</v>
      </c>
      <c r="BJ47" s="230">
        <v>32175</v>
      </c>
      <c r="BK47" s="229">
        <v>2.3099999999999999E-2</v>
      </c>
      <c r="BL47" s="230">
        <v>285750</v>
      </c>
      <c r="BM47" s="230">
        <v>496125</v>
      </c>
      <c r="BN47" s="230">
        <v>-210375</v>
      </c>
      <c r="BO47" s="229">
        <v>-0.42399999999999999</v>
      </c>
      <c r="BP47" s="230">
        <v>2433375</v>
      </c>
      <c r="BQ47" s="230">
        <v>2793375</v>
      </c>
      <c r="BR47" s="230">
        <v>-360000</v>
      </c>
      <c r="BS47" s="229">
        <v>-0.12889999999999999</v>
      </c>
      <c r="BT47" s="230">
        <v>452051</v>
      </c>
      <c r="BU47" s="230">
        <v>957020</v>
      </c>
      <c r="BV47" s="230">
        <v>-504969</v>
      </c>
      <c r="BW47" s="229">
        <v>-0.52759999999999996</v>
      </c>
      <c r="BX47" s="230">
        <v>5258925</v>
      </c>
      <c r="BY47" s="230">
        <v>5293125</v>
      </c>
      <c r="BZ47" s="230">
        <v>-34200</v>
      </c>
      <c r="CA47" s="229">
        <v>-6.4999999999999997E-3</v>
      </c>
      <c r="CB47" s="230">
        <v>4827150</v>
      </c>
      <c r="CC47" s="230">
        <v>4870125</v>
      </c>
      <c r="CD47" s="230">
        <v>-42975</v>
      </c>
      <c r="CE47" s="229">
        <v>-8.8000000000000005E-3</v>
      </c>
      <c r="CF47" s="230">
        <v>417150</v>
      </c>
      <c r="CG47" s="230">
        <v>409950</v>
      </c>
      <c r="CH47" s="230">
        <v>7200</v>
      </c>
      <c r="CI47" s="229">
        <v>1.7600000000000001E-2</v>
      </c>
      <c r="CJ47" s="230">
        <v>14625</v>
      </c>
      <c r="CK47" s="230">
        <v>13050</v>
      </c>
      <c r="CL47" s="230">
        <v>1575</v>
      </c>
      <c r="CM47" s="229">
        <v>0.1207</v>
      </c>
      <c r="CN47" s="230">
        <v>1468575</v>
      </c>
      <c r="CO47" s="230">
        <v>1448550</v>
      </c>
      <c r="CP47" s="230">
        <v>20025</v>
      </c>
      <c r="CQ47" s="229">
        <v>1.38E-2</v>
      </c>
      <c r="CR47" s="230">
        <v>1162125</v>
      </c>
      <c r="CS47" s="230">
        <v>1134675</v>
      </c>
      <c r="CT47" s="230">
        <v>27450</v>
      </c>
      <c r="CU47" s="229">
        <v>2.4199999999999999E-2</v>
      </c>
      <c r="CV47" s="230">
        <v>7889625</v>
      </c>
      <c r="CW47" s="230">
        <v>7876350</v>
      </c>
      <c r="CX47" s="230">
        <v>13275</v>
      </c>
      <c r="CY47" s="229">
        <v>1.6999999999999999E-3</v>
      </c>
      <c r="CZ47" s="228">
        <v>23.66</v>
      </c>
      <c r="DA47" s="228">
        <v>23.08</v>
      </c>
      <c r="DB47" s="228">
        <v>0.57999999999999996</v>
      </c>
      <c r="DC47" s="228">
        <v>0.57999999999999996</v>
      </c>
      <c r="DD47" s="228">
        <v>28.55</v>
      </c>
      <c r="DE47" s="228">
        <v>28.61</v>
      </c>
      <c r="DF47" s="228">
        <v>-4.8899999999999997</v>
      </c>
      <c r="DG47" s="228">
        <v>-0.06</v>
      </c>
      <c r="DH47" s="228">
        <v>23.64</v>
      </c>
      <c r="DI47" s="228">
        <v>23.24</v>
      </c>
      <c r="DJ47" s="228">
        <v>0.4</v>
      </c>
      <c r="DK47" s="228">
        <v>0.4</v>
      </c>
      <c r="DL47" s="228">
        <v>23.76</v>
      </c>
      <c r="DM47" s="228">
        <v>22.62</v>
      </c>
      <c r="DN47" s="228">
        <v>1.1399999999999999</v>
      </c>
      <c r="DO47" s="228">
        <v>1.1399999999999999</v>
      </c>
      <c r="DP47" s="228">
        <v>0.79</v>
      </c>
      <c r="DQ47" s="228">
        <v>0.78</v>
      </c>
      <c r="DR47" s="228">
        <v>0.01</v>
      </c>
      <c r="DS47" s="229">
        <v>1.2800000000000001E-2</v>
      </c>
      <c r="DT47" s="231">
        <v>2340</v>
      </c>
      <c r="DU47" s="231">
        <v>2300</v>
      </c>
      <c r="DV47" s="228">
        <v>0.2</v>
      </c>
      <c r="DW47" s="228">
        <v>0.36</v>
      </c>
      <c r="DX47" s="228">
        <v>-0.16</v>
      </c>
      <c r="DY47" s="229">
        <v>-0.44440000000000002</v>
      </c>
      <c r="DZ47" s="229">
        <v>8.2100000000000006E-2</v>
      </c>
      <c r="EA47" s="230">
        <v>423000</v>
      </c>
      <c r="EB47" s="229">
        <v>-4.5999999999999999E-3</v>
      </c>
      <c r="EC47" s="229">
        <v>8.2100000000000006E-2</v>
      </c>
      <c r="ED47" s="228">
        <v>-12.2</v>
      </c>
      <c r="EE47" s="229">
        <v>-5.4999999999999997E-3</v>
      </c>
      <c r="EF47" s="230">
        <v>258713</v>
      </c>
      <c r="EG47" s="230">
        <v>675681</v>
      </c>
      <c r="EH47" s="229">
        <v>-0.61709999999999998</v>
      </c>
      <c r="EI47" s="229">
        <v>0.57230000000000003</v>
      </c>
      <c r="EJ47" s="231">
        <v>33265.53</v>
      </c>
      <c r="EK47" s="231">
        <v>6377.19</v>
      </c>
      <c r="EL47" s="231">
        <v>16135.61</v>
      </c>
      <c r="EM47" s="231">
        <v>7840</v>
      </c>
      <c r="EN47" s="231">
        <v>55778.33</v>
      </c>
      <c r="EO47" s="231">
        <v>63487.62</v>
      </c>
      <c r="EP47" s="231">
        <v>-7709.29</v>
      </c>
      <c r="EQ47" s="229">
        <v>-0.12139999999999999</v>
      </c>
      <c r="ER47" s="231">
        <v>34405</v>
      </c>
      <c r="ES47" s="231">
        <v>26039</v>
      </c>
      <c r="ET47" s="231">
        <v>117946</v>
      </c>
      <c r="EU47" s="231">
        <v>19990944</v>
      </c>
      <c r="EV47" s="231">
        <v>178390</v>
      </c>
      <c r="EW47" s="231">
        <v>177287</v>
      </c>
      <c r="EX47" s="231">
        <v>1103</v>
      </c>
      <c r="EY47" s="229">
        <v>6.1999999999999998E-3</v>
      </c>
      <c r="EZ47" s="229">
        <v>0.3947</v>
      </c>
      <c r="FA47" s="227" t="s">
        <v>556</v>
      </c>
      <c r="FB47" s="161">
        <f t="shared" si="0"/>
        <v>431775</v>
      </c>
    </row>
    <row r="48" spans="1:158" ht="17.25" hidden="1" thickBot="1" x14ac:dyDescent="0.3">
      <c r="A48" s="226">
        <v>45936</v>
      </c>
      <c r="B48" s="227" t="s">
        <v>215</v>
      </c>
      <c r="C48" s="227" t="s">
        <v>202</v>
      </c>
      <c r="D48" s="228">
        <v>1250</v>
      </c>
      <c r="E48" s="228">
        <v>534</v>
      </c>
      <c r="F48" s="228">
        <v>535.6</v>
      </c>
      <c r="G48" s="228">
        <v>-1.6</v>
      </c>
      <c r="H48" s="229">
        <v>-3.0000000000000001E-3</v>
      </c>
      <c r="I48" s="228">
        <v>532.15</v>
      </c>
      <c r="J48" s="228">
        <v>533.5</v>
      </c>
      <c r="K48" s="228">
        <v>-1.35</v>
      </c>
      <c r="L48" s="229">
        <v>-2.5000000000000001E-3</v>
      </c>
      <c r="M48" s="228">
        <v>534</v>
      </c>
      <c r="N48" s="228">
        <v>535.6</v>
      </c>
      <c r="O48" s="228">
        <v>-1.6</v>
      </c>
      <c r="P48" s="229">
        <v>-3.0000000000000001E-3</v>
      </c>
      <c r="Q48" s="228">
        <v>534.95000000000005</v>
      </c>
      <c r="R48" s="228">
        <v>536.79999999999995</v>
      </c>
      <c r="S48" s="228">
        <v>-1.85</v>
      </c>
      <c r="T48" s="229">
        <v>-3.3999999999999998E-3</v>
      </c>
      <c r="U48" s="228">
        <v>538.25</v>
      </c>
      <c r="V48" s="228">
        <v>539.75</v>
      </c>
      <c r="W48" s="228">
        <v>-1.5</v>
      </c>
      <c r="X48" s="229">
        <v>-2.8E-3</v>
      </c>
      <c r="Y48" s="228">
        <v>1.85</v>
      </c>
      <c r="Z48" s="228">
        <v>2.1</v>
      </c>
      <c r="AA48" s="228">
        <v>-0.25</v>
      </c>
      <c r="AB48" s="229">
        <v>3.5000000000000001E-3</v>
      </c>
      <c r="AC48" s="228">
        <v>1.85</v>
      </c>
      <c r="AD48" s="228">
        <v>2.1</v>
      </c>
      <c r="AE48" s="228">
        <v>-0.25</v>
      </c>
      <c r="AF48" s="229">
        <v>3.5000000000000001E-3</v>
      </c>
      <c r="AG48" s="228">
        <v>2.8</v>
      </c>
      <c r="AH48" s="228">
        <v>3.3</v>
      </c>
      <c r="AI48" s="228">
        <v>-0.5</v>
      </c>
      <c r="AJ48" s="229">
        <v>5.3E-3</v>
      </c>
      <c r="AK48" s="228">
        <v>6.1</v>
      </c>
      <c r="AL48" s="228">
        <v>6.25</v>
      </c>
      <c r="AM48" s="228">
        <v>-0.15</v>
      </c>
      <c r="AN48" s="229">
        <v>1.15E-2</v>
      </c>
      <c r="AO48" s="228">
        <v>532.89</v>
      </c>
      <c r="AP48" s="228">
        <v>533.66</v>
      </c>
      <c r="AQ48" s="228">
        <v>0</v>
      </c>
      <c r="AR48" s="230">
        <v>2546250</v>
      </c>
      <c r="AS48" s="230">
        <v>3242500</v>
      </c>
      <c r="AT48" s="230">
        <v>-696250</v>
      </c>
      <c r="AU48" s="229">
        <v>-0.2147</v>
      </c>
      <c r="AV48" s="230">
        <v>2268750</v>
      </c>
      <c r="AW48" s="230">
        <v>2937500</v>
      </c>
      <c r="AX48" s="230">
        <v>-668750</v>
      </c>
      <c r="AY48" s="229">
        <v>-0.22770000000000001</v>
      </c>
      <c r="AZ48" s="230">
        <v>260000</v>
      </c>
      <c r="BA48" s="230">
        <v>282500</v>
      </c>
      <c r="BB48" s="230">
        <v>-22500</v>
      </c>
      <c r="BC48" s="229">
        <v>-7.9600000000000004E-2</v>
      </c>
      <c r="BD48" s="230">
        <v>17500</v>
      </c>
      <c r="BE48" s="230">
        <v>22500</v>
      </c>
      <c r="BF48" s="230">
        <v>-5000</v>
      </c>
      <c r="BG48" s="229">
        <v>-0.22220000000000001</v>
      </c>
      <c r="BH48" s="230">
        <v>4747500</v>
      </c>
      <c r="BI48" s="230">
        <v>7290000</v>
      </c>
      <c r="BJ48" s="230">
        <v>-2542500</v>
      </c>
      <c r="BK48" s="229">
        <v>-0.3488</v>
      </c>
      <c r="BL48" s="230">
        <v>1743750</v>
      </c>
      <c r="BM48" s="230">
        <v>2622500</v>
      </c>
      <c r="BN48" s="230">
        <v>-878750</v>
      </c>
      <c r="BO48" s="229">
        <v>-0.33510000000000001</v>
      </c>
      <c r="BP48" s="230">
        <v>9037500</v>
      </c>
      <c r="BQ48" s="230">
        <v>13155000</v>
      </c>
      <c r="BR48" s="230">
        <v>-4117500</v>
      </c>
      <c r="BS48" s="229">
        <v>-0.313</v>
      </c>
      <c r="BT48" s="230">
        <v>642275</v>
      </c>
      <c r="BU48" s="230">
        <v>855782</v>
      </c>
      <c r="BV48" s="230">
        <v>-213507</v>
      </c>
      <c r="BW48" s="229">
        <v>-0.2495</v>
      </c>
      <c r="BX48" s="230">
        <v>25516250</v>
      </c>
      <c r="BY48" s="230">
        <v>24838750</v>
      </c>
      <c r="BZ48" s="230">
        <v>677500</v>
      </c>
      <c r="CA48" s="229">
        <v>2.7300000000000001E-2</v>
      </c>
      <c r="CB48" s="230">
        <v>23790000</v>
      </c>
      <c r="CC48" s="230">
        <v>23232500</v>
      </c>
      <c r="CD48" s="230">
        <v>557500</v>
      </c>
      <c r="CE48" s="229">
        <v>2.4E-2</v>
      </c>
      <c r="CF48" s="230">
        <v>1678750</v>
      </c>
      <c r="CG48" s="230">
        <v>1572500</v>
      </c>
      <c r="CH48" s="230">
        <v>106250</v>
      </c>
      <c r="CI48" s="229">
        <v>6.7599999999999993E-2</v>
      </c>
      <c r="CJ48" s="230">
        <v>47500</v>
      </c>
      <c r="CK48" s="230">
        <v>33750</v>
      </c>
      <c r="CL48" s="230">
        <v>13750</v>
      </c>
      <c r="CM48" s="229">
        <v>0.40739999999999998</v>
      </c>
      <c r="CN48" s="230">
        <v>7722500</v>
      </c>
      <c r="CO48" s="230">
        <v>7100000</v>
      </c>
      <c r="CP48" s="230">
        <v>622500</v>
      </c>
      <c r="CQ48" s="229">
        <v>8.77E-2</v>
      </c>
      <c r="CR48" s="230">
        <v>6147500</v>
      </c>
      <c r="CS48" s="230">
        <v>5871250</v>
      </c>
      <c r="CT48" s="230">
        <v>276250</v>
      </c>
      <c r="CU48" s="229">
        <v>4.7100000000000003E-2</v>
      </c>
      <c r="CV48" s="230">
        <v>39386250</v>
      </c>
      <c r="CW48" s="230">
        <v>37810000</v>
      </c>
      <c r="CX48" s="230">
        <v>1576250</v>
      </c>
      <c r="CY48" s="229">
        <v>4.1700000000000001E-2</v>
      </c>
      <c r="CZ48" s="228">
        <v>26.29</v>
      </c>
      <c r="DA48" s="228">
        <v>25.22</v>
      </c>
      <c r="DB48" s="228">
        <v>1.07</v>
      </c>
      <c r="DC48" s="228">
        <v>1.07</v>
      </c>
      <c r="DD48" s="228">
        <v>36.81</v>
      </c>
      <c r="DE48" s="228">
        <v>36.9</v>
      </c>
      <c r="DF48" s="228">
        <v>-10.52</v>
      </c>
      <c r="DG48" s="228">
        <v>-0.09</v>
      </c>
      <c r="DH48" s="228">
        <v>26.25</v>
      </c>
      <c r="DI48" s="228">
        <v>25.08</v>
      </c>
      <c r="DJ48" s="228">
        <v>1.17</v>
      </c>
      <c r="DK48" s="228">
        <v>1.17</v>
      </c>
      <c r="DL48" s="228">
        <v>26.37</v>
      </c>
      <c r="DM48" s="228">
        <v>25.59</v>
      </c>
      <c r="DN48" s="228">
        <v>0.78</v>
      </c>
      <c r="DO48" s="228">
        <v>0.78</v>
      </c>
      <c r="DP48" s="228">
        <v>0.8</v>
      </c>
      <c r="DQ48" s="228">
        <v>0.83</v>
      </c>
      <c r="DR48" s="228">
        <v>-0.03</v>
      </c>
      <c r="DS48" s="229">
        <v>-3.61E-2</v>
      </c>
      <c r="DT48" s="228">
        <v>550</v>
      </c>
      <c r="DU48" s="228">
        <v>530</v>
      </c>
      <c r="DV48" s="228">
        <v>0.37</v>
      </c>
      <c r="DW48" s="228">
        <v>0.36</v>
      </c>
      <c r="DX48" s="228">
        <v>0.01</v>
      </c>
      <c r="DY48" s="229">
        <v>2.7799999999999998E-2</v>
      </c>
      <c r="DZ48" s="229">
        <v>6.7699999999999996E-2</v>
      </c>
      <c r="EA48" s="230">
        <v>1606250</v>
      </c>
      <c r="EB48" s="229">
        <v>1.8E-3</v>
      </c>
      <c r="EC48" s="229">
        <v>6.7699999999999996E-2</v>
      </c>
      <c r="ED48" s="228">
        <v>0.77</v>
      </c>
      <c r="EE48" s="229">
        <v>1.4E-3</v>
      </c>
      <c r="EF48" s="230">
        <v>273275</v>
      </c>
      <c r="EG48" s="230">
        <v>400025</v>
      </c>
      <c r="EH48" s="229">
        <v>-0.31690000000000002</v>
      </c>
      <c r="EI48" s="229">
        <v>0.42549999999999999</v>
      </c>
      <c r="EJ48" s="231">
        <v>26429.54</v>
      </c>
      <c r="EK48" s="231">
        <v>9187.7099999999991</v>
      </c>
      <c r="EL48" s="231">
        <v>13571.33</v>
      </c>
      <c r="EM48" s="231">
        <v>6657</v>
      </c>
      <c r="EN48" s="231">
        <v>49188.58</v>
      </c>
      <c r="EO48" s="231">
        <v>71617.98</v>
      </c>
      <c r="EP48" s="231">
        <v>-22429.4</v>
      </c>
      <c r="EQ48" s="229">
        <v>-0.31319999999999998</v>
      </c>
      <c r="ER48" s="231">
        <v>43398</v>
      </c>
      <c r="ES48" s="231">
        <v>33094</v>
      </c>
      <c r="ET48" s="231">
        <v>136275</v>
      </c>
      <c r="EU48" s="231">
        <v>48077012</v>
      </c>
      <c r="EV48" s="231">
        <v>212767</v>
      </c>
      <c r="EW48" s="231">
        <v>204717</v>
      </c>
      <c r="EX48" s="231">
        <v>8050</v>
      </c>
      <c r="EY48" s="229">
        <v>3.9300000000000002E-2</v>
      </c>
      <c r="EZ48" s="229">
        <v>0.81920000000000004</v>
      </c>
      <c r="FA48" s="227" t="s">
        <v>567</v>
      </c>
      <c r="FB48" s="161">
        <f t="shared" si="0"/>
        <v>1726250</v>
      </c>
    </row>
    <row r="49" spans="1:158" ht="17.25" hidden="1" thickBot="1" x14ac:dyDescent="0.3">
      <c r="A49" s="226">
        <v>45936</v>
      </c>
      <c r="B49" s="227" t="s">
        <v>184</v>
      </c>
      <c r="C49" s="227" t="s">
        <v>523</v>
      </c>
      <c r="D49" s="228">
        <v>1800</v>
      </c>
      <c r="E49" s="228">
        <v>290.8</v>
      </c>
      <c r="F49" s="228">
        <v>296.39999999999998</v>
      </c>
      <c r="G49" s="228">
        <v>-5.6</v>
      </c>
      <c r="H49" s="229">
        <v>-1.89E-2</v>
      </c>
      <c r="I49" s="228">
        <v>289.05</v>
      </c>
      <c r="J49" s="228">
        <v>295.2</v>
      </c>
      <c r="K49" s="228">
        <v>-6.15</v>
      </c>
      <c r="L49" s="229">
        <v>-2.0799999999999999E-2</v>
      </c>
      <c r="M49" s="228">
        <v>290.8</v>
      </c>
      <c r="N49" s="228">
        <v>296.39999999999998</v>
      </c>
      <c r="O49" s="228">
        <v>-5.6</v>
      </c>
      <c r="P49" s="229">
        <v>-1.89E-2</v>
      </c>
      <c r="Q49" s="228">
        <v>292.5</v>
      </c>
      <c r="R49" s="228">
        <v>297.89999999999998</v>
      </c>
      <c r="S49" s="228">
        <v>-5.4</v>
      </c>
      <c r="T49" s="229">
        <v>-1.8100000000000002E-2</v>
      </c>
      <c r="U49" s="228">
        <v>294.25</v>
      </c>
      <c r="V49" s="228">
        <v>299.95</v>
      </c>
      <c r="W49" s="228">
        <v>-5.7</v>
      </c>
      <c r="X49" s="229">
        <v>-1.9E-2</v>
      </c>
      <c r="Y49" s="228">
        <v>1.75</v>
      </c>
      <c r="Z49" s="228">
        <v>1.2</v>
      </c>
      <c r="AA49" s="228">
        <v>0.55000000000000004</v>
      </c>
      <c r="AB49" s="229">
        <v>6.1000000000000004E-3</v>
      </c>
      <c r="AC49" s="228">
        <v>1.75</v>
      </c>
      <c r="AD49" s="228">
        <v>1.2</v>
      </c>
      <c r="AE49" s="228">
        <v>0.55000000000000004</v>
      </c>
      <c r="AF49" s="229">
        <v>6.1000000000000004E-3</v>
      </c>
      <c r="AG49" s="228">
        <v>3.45</v>
      </c>
      <c r="AH49" s="228">
        <v>2.7</v>
      </c>
      <c r="AI49" s="228">
        <v>0.75</v>
      </c>
      <c r="AJ49" s="229">
        <v>1.1900000000000001E-2</v>
      </c>
      <c r="AK49" s="228">
        <v>5.2</v>
      </c>
      <c r="AL49" s="228">
        <v>4.75</v>
      </c>
      <c r="AM49" s="228">
        <v>0.45</v>
      </c>
      <c r="AN49" s="229">
        <v>1.7999999999999999E-2</v>
      </c>
      <c r="AO49" s="228">
        <v>291.58999999999997</v>
      </c>
      <c r="AP49" s="228">
        <v>293.64</v>
      </c>
      <c r="AQ49" s="228">
        <v>0</v>
      </c>
      <c r="AR49" s="230">
        <v>6368400</v>
      </c>
      <c r="AS49" s="230">
        <v>3214800</v>
      </c>
      <c r="AT49" s="230">
        <v>3153600</v>
      </c>
      <c r="AU49" s="229">
        <v>0.98099999999999998</v>
      </c>
      <c r="AV49" s="230">
        <v>5432400</v>
      </c>
      <c r="AW49" s="230">
        <v>3013200</v>
      </c>
      <c r="AX49" s="230">
        <v>2419200</v>
      </c>
      <c r="AY49" s="229">
        <v>0.80289999999999995</v>
      </c>
      <c r="AZ49" s="230">
        <v>664200</v>
      </c>
      <c r="BA49" s="230">
        <v>180000</v>
      </c>
      <c r="BB49" s="230">
        <v>484200</v>
      </c>
      <c r="BC49" s="229">
        <v>2.69</v>
      </c>
      <c r="BD49" s="230">
        <v>271800</v>
      </c>
      <c r="BE49" s="230">
        <v>21600</v>
      </c>
      <c r="BF49" s="230">
        <v>250200</v>
      </c>
      <c r="BG49" s="229">
        <v>11.583299999999999</v>
      </c>
      <c r="BH49" s="230">
        <v>11257200</v>
      </c>
      <c r="BI49" s="230">
        <v>4629600</v>
      </c>
      <c r="BJ49" s="230">
        <v>6627600</v>
      </c>
      <c r="BK49" s="229">
        <v>1.4316</v>
      </c>
      <c r="BL49" s="230">
        <v>3978000</v>
      </c>
      <c r="BM49" s="230">
        <v>1780200</v>
      </c>
      <c r="BN49" s="230">
        <v>2197800</v>
      </c>
      <c r="BO49" s="229">
        <v>1.2345999999999999</v>
      </c>
      <c r="BP49" s="230">
        <v>21603600</v>
      </c>
      <c r="BQ49" s="230">
        <v>9624600</v>
      </c>
      <c r="BR49" s="230">
        <v>11979000</v>
      </c>
      <c r="BS49" s="229">
        <v>1.2445999999999999</v>
      </c>
      <c r="BT49" s="230">
        <v>2773142</v>
      </c>
      <c r="BU49" s="230">
        <v>2669548</v>
      </c>
      <c r="BV49" s="230">
        <v>103594</v>
      </c>
      <c r="BW49" s="229">
        <v>3.8800000000000001E-2</v>
      </c>
      <c r="BX49" s="230">
        <v>49901400</v>
      </c>
      <c r="BY49" s="230">
        <v>48468600</v>
      </c>
      <c r="BZ49" s="230">
        <v>1432800</v>
      </c>
      <c r="CA49" s="229">
        <v>2.9600000000000001E-2</v>
      </c>
      <c r="CB49" s="230">
        <v>47797200</v>
      </c>
      <c r="CC49" s="230">
        <v>46891800</v>
      </c>
      <c r="CD49" s="230">
        <v>905400</v>
      </c>
      <c r="CE49" s="229">
        <v>1.9300000000000001E-2</v>
      </c>
      <c r="CF49" s="230">
        <v>1828800</v>
      </c>
      <c r="CG49" s="230">
        <v>1542600</v>
      </c>
      <c r="CH49" s="230">
        <v>286200</v>
      </c>
      <c r="CI49" s="229">
        <v>0.1855</v>
      </c>
      <c r="CJ49" s="230">
        <v>275400</v>
      </c>
      <c r="CK49" s="230">
        <v>34200</v>
      </c>
      <c r="CL49" s="230">
        <v>241200</v>
      </c>
      <c r="CM49" s="229">
        <v>7.0526</v>
      </c>
      <c r="CN49" s="230">
        <v>11813400</v>
      </c>
      <c r="CO49" s="230">
        <v>9419400</v>
      </c>
      <c r="CP49" s="230">
        <v>2394000</v>
      </c>
      <c r="CQ49" s="229">
        <v>0.25419999999999998</v>
      </c>
      <c r="CR49" s="230">
        <v>7993800</v>
      </c>
      <c r="CS49" s="230">
        <v>7185600</v>
      </c>
      <c r="CT49" s="230">
        <v>808200</v>
      </c>
      <c r="CU49" s="229">
        <v>0.1125</v>
      </c>
      <c r="CV49" s="230">
        <v>69708600</v>
      </c>
      <c r="CW49" s="230">
        <v>65073600</v>
      </c>
      <c r="CX49" s="230">
        <v>4635000</v>
      </c>
      <c r="CY49" s="229">
        <v>7.1199999999999999E-2</v>
      </c>
      <c r="CZ49" s="228">
        <v>29.88</v>
      </c>
      <c r="DA49" s="228">
        <v>27.48</v>
      </c>
      <c r="DB49" s="228">
        <v>2.4</v>
      </c>
      <c r="DC49" s="228">
        <v>2.4</v>
      </c>
      <c r="DD49" s="228">
        <v>33.020000000000003</v>
      </c>
      <c r="DE49" s="228">
        <v>33</v>
      </c>
      <c r="DF49" s="228">
        <v>-3.14</v>
      </c>
      <c r="DG49" s="228">
        <v>0.02</v>
      </c>
      <c r="DH49" s="228">
        <v>30.11</v>
      </c>
      <c r="DI49" s="228">
        <v>27.46</v>
      </c>
      <c r="DJ49" s="228">
        <v>2.65</v>
      </c>
      <c r="DK49" s="228">
        <v>2.65</v>
      </c>
      <c r="DL49" s="228">
        <v>29.24</v>
      </c>
      <c r="DM49" s="228">
        <v>27.54</v>
      </c>
      <c r="DN49" s="228">
        <v>1.7</v>
      </c>
      <c r="DO49" s="228">
        <v>1.7</v>
      </c>
      <c r="DP49" s="228">
        <v>0.68</v>
      </c>
      <c r="DQ49" s="228">
        <v>0.76</v>
      </c>
      <c r="DR49" s="228">
        <v>-0.08</v>
      </c>
      <c r="DS49" s="229">
        <v>-0.1053</v>
      </c>
      <c r="DT49" s="228">
        <v>300</v>
      </c>
      <c r="DU49" s="228">
        <v>300</v>
      </c>
      <c r="DV49" s="228">
        <v>0.35</v>
      </c>
      <c r="DW49" s="228">
        <v>0.38</v>
      </c>
      <c r="DX49" s="228">
        <v>-0.03</v>
      </c>
      <c r="DY49" s="229">
        <v>-7.8899999999999998E-2</v>
      </c>
      <c r="DZ49" s="229">
        <v>4.2200000000000001E-2</v>
      </c>
      <c r="EA49" s="230">
        <v>1576800</v>
      </c>
      <c r="EB49" s="229">
        <v>5.7999999999999996E-3</v>
      </c>
      <c r="EC49" s="229">
        <v>4.2200000000000001E-2</v>
      </c>
      <c r="ED49" s="228">
        <v>2.0499999999999998</v>
      </c>
      <c r="EE49" s="229">
        <v>7.0000000000000001E-3</v>
      </c>
      <c r="EF49" s="230">
        <v>905529</v>
      </c>
      <c r="EG49" s="230">
        <v>1793416</v>
      </c>
      <c r="EH49" s="229">
        <v>-0.49509999999999998</v>
      </c>
      <c r="EI49" s="229">
        <v>0.32650000000000001</v>
      </c>
      <c r="EJ49" s="231">
        <v>34963.629999999997</v>
      </c>
      <c r="EK49" s="231">
        <v>11695.65</v>
      </c>
      <c r="EL49" s="231">
        <v>18600.97</v>
      </c>
      <c r="EM49" s="231">
        <v>6988</v>
      </c>
      <c r="EN49" s="231">
        <v>65260.25</v>
      </c>
      <c r="EO49" s="231">
        <v>29263.17</v>
      </c>
      <c r="EP49" s="231">
        <v>35997.08</v>
      </c>
      <c r="EQ49" s="229">
        <v>1.2301</v>
      </c>
      <c r="ER49" s="231">
        <v>36817</v>
      </c>
      <c r="ES49" s="231">
        <v>23608</v>
      </c>
      <c r="ET49" s="231">
        <v>145154</v>
      </c>
      <c r="EU49" s="231">
        <v>81400589</v>
      </c>
      <c r="EV49" s="231">
        <v>205579</v>
      </c>
      <c r="EW49" s="231">
        <v>194512</v>
      </c>
      <c r="EX49" s="231">
        <v>11067</v>
      </c>
      <c r="EY49" s="229">
        <v>5.6899999999999999E-2</v>
      </c>
      <c r="EZ49" s="229">
        <v>0.85640000000000005</v>
      </c>
      <c r="FA49" s="227" t="s">
        <v>567</v>
      </c>
      <c r="FB49" s="161">
        <f t="shared" si="0"/>
        <v>2104200</v>
      </c>
    </row>
    <row r="50" spans="1:158" ht="17.25" hidden="1" thickBot="1" x14ac:dyDescent="0.3">
      <c r="A50" s="226">
        <v>45936</v>
      </c>
      <c r="B50" s="227" t="s">
        <v>184</v>
      </c>
      <c r="C50" s="227" t="s">
        <v>203</v>
      </c>
      <c r="D50" s="228">
        <v>200</v>
      </c>
      <c r="E50" s="231">
        <v>3966.2</v>
      </c>
      <c r="F50" s="231">
        <v>3936</v>
      </c>
      <c r="G50" s="228">
        <v>30.2</v>
      </c>
      <c r="H50" s="229">
        <v>7.7000000000000002E-3</v>
      </c>
      <c r="I50" s="231">
        <v>3943</v>
      </c>
      <c r="J50" s="231">
        <v>3932.7</v>
      </c>
      <c r="K50" s="228">
        <v>10.3</v>
      </c>
      <c r="L50" s="229">
        <v>2.5999999999999999E-3</v>
      </c>
      <c r="M50" s="231">
        <v>3966.2</v>
      </c>
      <c r="N50" s="231">
        <v>3936</v>
      </c>
      <c r="O50" s="228">
        <v>30.2</v>
      </c>
      <c r="P50" s="229">
        <v>7.7000000000000002E-3</v>
      </c>
      <c r="Q50" s="231">
        <v>3974.9</v>
      </c>
      <c r="R50" s="231">
        <v>3944.9</v>
      </c>
      <c r="S50" s="228">
        <v>30</v>
      </c>
      <c r="T50" s="229">
        <v>7.6E-3</v>
      </c>
      <c r="U50" s="231">
        <v>3970</v>
      </c>
      <c r="V50" s="231">
        <v>3970</v>
      </c>
      <c r="W50" s="228">
        <v>0</v>
      </c>
      <c r="X50" s="229">
        <v>0</v>
      </c>
      <c r="Y50" s="228">
        <v>23.2</v>
      </c>
      <c r="Z50" s="228">
        <v>3.3</v>
      </c>
      <c r="AA50" s="228">
        <v>19.899999999999999</v>
      </c>
      <c r="AB50" s="229">
        <v>5.8999999999999999E-3</v>
      </c>
      <c r="AC50" s="228">
        <v>23.2</v>
      </c>
      <c r="AD50" s="228">
        <v>3.3</v>
      </c>
      <c r="AE50" s="228">
        <v>19.899999999999999</v>
      </c>
      <c r="AF50" s="229">
        <v>5.8999999999999999E-3</v>
      </c>
      <c r="AG50" s="228">
        <v>31.9</v>
      </c>
      <c r="AH50" s="228">
        <v>12.2</v>
      </c>
      <c r="AI50" s="228">
        <v>19.7</v>
      </c>
      <c r="AJ50" s="229">
        <v>8.0999999999999996E-3</v>
      </c>
      <c r="AK50" s="228">
        <v>27</v>
      </c>
      <c r="AL50" s="228">
        <v>37.299999999999997</v>
      </c>
      <c r="AM50" s="228">
        <v>-10.3</v>
      </c>
      <c r="AN50" s="229">
        <v>6.7999999999999996E-3</v>
      </c>
      <c r="AO50" s="231">
        <v>3965.38</v>
      </c>
      <c r="AP50" s="231">
        <v>3975.11</v>
      </c>
      <c r="AQ50" s="228">
        <v>0</v>
      </c>
      <c r="AR50" s="230">
        <v>482600</v>
      </c>
      <c r="AS50" s="230">
        <v>492400</v>
      </c>
      <c r="AT50" s="230">
        <v>-9800</v>
      </c>
      <c r="AU50" s="229">
        <v>-1.9900000000000001E-2</v>
      </c>
      <c r="AV50" s="230">
        <v>473600</v>
      </c>
      <c r="AW50" s="230">
        <v>475000</v>
      </c>
      <c r="AX50" s="230">
        <v>-1400</v>
      </c>
      <c r="AY50" s="229">
        <v>-2.8999999999999998E-3</v>
      </c>
      <c r="AZ50" s="230">
        <v>8800</v>
      </c>
      <c r="BA50" s="230">
        <v>17000</v>
      </c>
      <c r="BB50" s="230">
        <v>-8200</v>
      </c>
      <c r="BC50" s="229">
        <v>-0.4824</v>
      </c>
      <c r="BD50" s="228">
        <v>200</v>
      </c>
      <c r="BE50" s="228">
        <v>400</v>
      </c>
      <c r="BF50" s="228">
        <v>-200</v>
      </c>
      <c r="BG50" s="229">
        <v>-0.5</v>
      </c>
      <c r="BH50" s="230">
        <v>768400</v>
      </c>
      <c r="BI50" s="230">
        <v>1090000</v>
      </c>
      <c r="BJ50" s="230">
        <v>-321600</v>
      </c>
      <c r="BK50" s="229">
        <v>-0.29499999999999998</v>
      </c>
      <c r="BL50" s="230">
        <v>257800</v>
      </c>
      <c r="BM50" s="230">
        <v>361400</v>
      </c>
      <c r="BN50" s="230">
        <v>-103600</v>
      </c>
      <c r="BO50" s="229">
        <v>-0.28670000000000001</v>
      </c>
      <c r="BP50" s="230">
        <v>1508800</v>
      </c>
      <c r="BQ50" s="230">
        <v>1943800</v>
      </c>
      <c r="BR50" s="230">
        <v>-435000</v>
      </c>
      <c r="BS50" s="229">
        <v>-0.2238</v>
      </c>
      <c r="BT50" s="230">
        <v>292627</v>
      </c>
      <c r="BU50" s="230">
        <v>436315</v>
      </c>
      <c r="BV50" s="230">
        <v>-143688</v>
      </c>
      <c r="BW50" s="229">
        <v>-0.32929999999999998</v>
      </c>
      <c r="BX50" s="230">
        <v>3015000</v>
      </c>
      <c r="BY50" s="230">
        <v>3017600</v>
      </c>
      <c r="BZ50" s="230">
        <v>-2600</v>
      </c>
      <c r="CA50" s="229">
        <v>-8.9999999999999998E-4</v>
      </c>
      <c r="CB50" s="230">
        <v>2985600</v>
      </c>
      <c r="CC50" s="230">
        <v>2989200</v>
      </c>
      <c r="CD50" s="230">
        <v>-3600</v>
      </c>
      <c r="CE50" s="229">
        <v>-1.1999999999999999E-3</v>
      </c>
      <c r="CF50" s="230">
        <v>29200</v>
      </c>
      <c r="CG50" s="230">
        <v>28000</v>
      </c>
      <c r="CH50" s="230">
        <v>1200</v>
      </c>
      <c r="CI50" s="229">
        <v>4.2900000000000001E-2</v>
      </c>
      <c r="CJ50" s="228">
        <v>200</v>
      </c>
      <c r="CK50" s="228">
        <v>400</v>
      </c>
      <c r="CL50" s="228">
        <v>-200</v>
      </c>
      <c r="CM50" s="229">
        <v>-0.5</v>
      </c>
      <c r="CN50" s="230">
        <v>579800</v>
      </c>
      <c r="CO50" s="230">
        <v>517600</v>
      </c>
      <c r="CP50" s="230">
        <v>62200</v>
      </c>
      <c r="CQ50" s="229">
        <v>0.1202</v>
      </c>
      <c r="CR50" s="230">
        <v>452400</v>
      </c>
      <c r="CS50" s="230">
        <v>440200</v>
      </c>
      <c r="CT50" s="230">
        <v>12200</v>
      </c>
      <c r="CU50" s="229">
        <v>2.7699999999999999E-2</v>
      </c>
      <c r="CV50" s="230">
        <v>4047200</v>
      </c>
      <c r="CW50" s="230">
        <v>3975400</v>
      </c>
      <c r="CX50" s="230">
        <v>71800</v>
      </c>
      <c r="CY50" s="229">
        <v>1.8100000000000002E-2</v>
      </c>
      <c r="CZ50" s="228">
        <v>23.32</v>
      </c>
      <c r="DA50" s="228">
        <v>23.2</v>
      </c>
      <c r="DB50" s="228">
        <v>0.12</v>
      </c>
      <c r="DC50" s="228">
        <v>0.12</v>
      </c>
      <c r="DD50" s="228">
        <v>35.68</v>
      </c>
      <c r="DE50" s="228">
        <v>35.76</v>
      </c>
      <c r="DF50" s="228">
        <v>-12.36</v>
      </c>
      <c r="DG50" s="228">
        <v>-0.08</v>
      </c>
      <c r="DH50" s="228">
        <v>23.27</v>
      </c>
      <c r="DI50" s="228">
        <v>23.12</v>
      </c>
      <c r="DJ50" s="228">
        <v>0.15</v>
      </c>
      <c r="DK50" s="228">
        <v>0.15</v>
      </c>
      <c r="DL50" s="228">
        <v>23.48</v>
      </c>
      <c r="DM50" s="228">
        <v>23.44</v>
      </c>
      <c r="DN50" s="228">
        <v>0.04</v>
      </c>
      <c r="DO50" s="228">
        <v>0.04</v>
      </c>
      <c r="DP50" s="228">
        <v>0.78</v>
      </c>
      <c r="DQ50" s="228">
        <v>0.85</v>
      </c>
      <c r="DR50" s="228">
        <v>-7.0000000000000007E-2</v>
      </c>
      <c r="DS50" s="229">
        <v>-8.2400000000000001E-2</v>
      </c>
      <c r="DT50" s="231">
        <v>4000</v>
      </c>
      <c r="DU50" s="231">
        <v>3900</v>
      </c>
      <c r="DV50" s="228">
        <v>0.34</v>
      </c>
      <c r="DW50" s="228">
        <v>0.33</v>
      </c>
      <c r="DX50" s="228">
        <v>0.01</v>
      </c>
      <c r="DY50" s="229">
        <v>3.0300000000000001E-2</v>
      </c>
      <c r="DZ50" s="229">
        <v>9.7999999999999997E-3</v>
      </c>
      <c r="EA50" s="230">
        <v>28400</v>
      </c>
      <c r="EB50" s="229">
        <v>2.2000000000000001E-3</v>
      </c>
      <c r="EC50" s="229">
        <v>9.7999999999999997E-3</v>
      </c>
      <c r="ED50" s="228">
        <v>9.73</v>
      </c>
      <c r="EE50" s="229">
        <v>2.5000000000000001E-3</v>
      </c>
      <c r="EF50" s="230">
        <v>183218</v>
      </c>
      <c r="EG50" s="230">
        <v>260144</v>
      </c>
      <c r="EH50" s="229">
        <v>-0.29570000000000002</v>
      </c>
      <c r="EI50" s="229">
        <v>0.62609999999999999</v>
      </c>
      <c r="EJ50" s="231">
        <v>31561.57</v>
      </c>
      <c r="EK50" s="231">
        <v>10014.959999999999</v>
      </c>
      <c r="EL50" s="231">
        <v>19137.78</v>
      </c>
      <c r="EM50" s="231">
        <v>7301</v>
      </c>
      <c r="EN50" s="231">
        <v>60714.31</v>
      </c>
      <c r="EO50" s="231">
        <v>77861.08</v>
      </c>
      <c r="EP50" s="231">
        <v>-17146.77</v>
      </c>
      <c r="EQ50" s="229">
        <v>-0.22020000000000001</v>
      </c>
      <c r="ER50" s="231">
        <v>23671</v>
      </c>
      <c r="ES50" s="231">
        <v>17412</v>
      </c>
      <c r="ET50" s="231">
        <v>119583</v>
      </c>
      <c r="EU50" s="231">
        <v>20374200</v>
      </c>
      <c r="EV50" s="231">
        <v>160666</v>
      </c>
      <c r="EW50" s="231">
        <v>156741</v>
      </c>
      <c r="EX50" s="231">
        <v>3925</v>
      </c>
      <c r="EY50" s="229">
        <v>2.5000000000000001E-2</v>
      </c>
      <c r="EZ50" s="229">
        <v>0.1986</v>
      </c>
      <c r="FA50" s="227" t="s">
        <v>556</v>
      </c>
      <c r="FB50" s="161">
        <f t="shared" si="0"/>
        <v>29400</v>
      </c>
    </row>
    <row r="51" spans="1:158" ht="17.25" hidden="1" thickBot="1" x14ac:dyDescent="0.3">
      <c r="A51" s="226">
        <v>45936</v>
      </c>
      <c r="B51" s="227" t="s">
        <v>221</v>
      </c>
      <c r="C51" s="227" t="s">
        <v>573</v>
      </c>
      <c r="D51" s="228">
        <v>425</v>
      </c>
      <c r="E51" s="231">
        <v>1185.2</v>
      </c>
      <c r="F51" s="231">
        <v>1170.3</v>
      </c>
      <c r="G51" s="228">
        <v>14.9</v>
      </c>
      <c r="H51" s="229">
        <v>1.2699999999999999E-2</v>
      </c>
      <c r="I51" s="231">
        <v>1180.5999999999999</v>
      </c>
      <c r="J51" s="231">
        <v>1170.3</v>
      </c>
      <c r="K51" s="228">
        <v>10.3</v>
      </c>
      <c r="L51" s="229">
        <v>8.8000000000000005E-3</v>
      </c>
      <c r="M51" s="231">
        <v>1185.2</v>
      </c>
      <c r="N51" s="231">
        <v>1170.3</v>
      </c>
      <c r="O51" s="228">
        <v>14.9</v>
      </c>
      <c r="P51" s="229">
        <v>1.2699999999999999E-2</v>
      </c>
      <c r="Q51" s="231">
        <v>1182.5</v>
      </c>
      <c r="R51" s="231">
        <v>1167.8</v>
      </c>
      <c r="S51" s="228">
        <v>14.7</v>
      </c>
      <c r="T51" s="229">
        <v>1.26E-2</v>
      </c>
      <c r="U51" s="231">
        <v>1183.9000000000001</v>
      </c>
      <c r="V51" s="231">
        <v>1158.9000000000001</v>
      </c>
      <c r="W51" s="228">
        <v>25</v>
      </c>
      <c r="X51" s="229">
        <v>2.1600000000000001E-2</v>
      </c>
      <c r="Y51" s="228">
        <v>4.5999999999999996</v>
      </c>
      <c r="Z51" s="228">
        <v>0</v>
      </c>
      <c r="AA51" s="228">
        <v>4.5999999999999996</v>
      </c>
      <c r="AB51" s="229">
        <v>3.8999999999999998E-3</v>
      </c>
      <c r="AC51" s="228">
        <v>4.5999999999999996</v>
      </c>
      <c r="AD51" s="228">
        <v>0</v>
      </c>
      <c r="AE51" s="228">
        <v>4.5999999999999996</v>
      </c>
      <c r="AF51" s="229">
        <v>3.8999999999999998E-3</v>
      </c>
      <c r="AG51" s="228">
        <v>1.9</v>
      </c>
      <c r="AH51" s="228">
        <v>-2.5</v>
      </c>
      <c r="AI51" s="228">
        <v>4.4000000000000004</v>
      </c>
      <c r="AJ51" s="229">
        <v>1.6000000000000001E-3</v>
      </c>
      <c r="AK51" s="228">
        <v>3.3</v>
      </c>
      <c r="AL51" s="228">
        <v>-11.4</v>
      </c>
      <c r="AM51" s="228">
        <v>14.7</v>
      </c>
      <c r="AN51" s="229">
        <v>2.8E-3</v>
      </c>
      <c r="AO51" s="231">
        <v>1180.3900000000001</v>
      </c>
      <c r="AP51" s="231">
        <v>1176.3699999999999</v>
      </c>
      <c r="AQ51" s="228">
        <v>0</v>
      </c>
      <c r="AR51" s="230">
        <v>1173850</v>
      </c>
      <c r="AS51" s="230">
        <v>507025</v>
      </c>
      <c r="AT51" s="230">
        <v>666825</v>
      </c>
      <c r="AU51" s="229">
        <v>1.3151999999999999</v>
      </c>
      <c r="AV51" s="230">
        <v>1116900</v>
      </c>
      <c r="AW51" s="230">
        <v>486200</v>
      </c>
      <c r="AX51" s="230">
        <v>630700</v>
      </c>
      <c r="AY51" s="229">
        <v>1.2971999999999999</v>
      </c>
      <c r="AZ51" s="230">
        <v>52275</v>
      </c>
      <c r="BA51" s="230">
        <v>19975</v>
      </c>
      <c r="BB51" s="230">
        <v>32300</v>
      </c>
      <c r="BC51" s="229">
        <v>1.617</v>
      </c>
      <c r="BD51" s="230">
        <v>4675</v>
      </c>
      <c r="BE51" s="228">
        <v>850</v>
      </c>
      <c r="BF51" s="230">
        <v>3825</v>
      </c>
      <c r="BG51" s="229">
        <v>4.5</v>
      </c>
      <c r="BH51" s="230">
        <v>2297550</v>
      </c>
      <c r="BI51" s="230">
        <v>1227825</v>
      </c>
      <c r="BJ51" s="230">
        <v>1069725</v>
      </c>
      <c r="BK51" s="229">
        <v>0.87119999999999997</v>
      </c>
      <c r="BL51" s="230">
        <v>487050</v>
      </c>
      <c r="BM51" s="230">
        <v>280925</v>
      </c>
      <c r="BN51" s="230">
        <v>206125</v>
      </c>
      <c r="BO51" s="229">
        <v>0.73370000000000002</v>
      </c>
      <c r="BP51" s="230">
        <v>3958450</v>
      </c>
      <c r="BQ51" s="230">
        <v>2015775</v>
      </c>
      <c r="BR51" s="230">
        <v>1942675</v>
      </c>
      <c r="BS51" s="229">
        <v>0.9637</v>
      </c>
      <c r="BT51" s="230">
        <v>954051</v>
      </c>
      <c r="BU51" s="230">
        <v>346031</v>
      </c>
      <c r="BV51" s="230">
        <v>608020</v>
      </c>
      <c r="BW51" s="229">
        <v>1.7571000000000001</v>
      </c>
      <c r="BX51" s="230">
        <v>3549175</v>
      </c>
      <c r="BY51" s="230">
        <v>3279300</v>
      </c>
      <c r="BZ51" s="230">
        <v>269875</v>
      </c>
      <c r="CA51" s="229">
        <v>8.2299999999999998E-2</v>
      </c>
      <c r="CB51" s="230">
        <v>3292900</v>
      </c>
      <c r="CC51" s="230">
        <v>3036200</v>
      </c>
      <c r="CD51" s="230">
        <v>256700</v>
      </c>
      <c r="CE51" s="229">
        <v>8.4500000000000006E-2</v>
      </c>
      <c r="CF51" s="230">
        <v>251175</v>
      </c>
      <c r="CG51" s="230">
        <v>240550</v>
      </c>
      <c r="CH51" s="230">
        <v>10625</v>
      </c>
      <c r="CI51" s="229">
        <v>4.4200000000000003E-2</v>
      </c>
      <c r="CJ51" s="230">
        <v>5100</v>
      </c>
      <c r="CK51" s="230">
        <v>2550</v>
      </c>
      <c r="CL51" s="230">
        <v>2550</v>
      </c>
      <c r="CM51" s="229">
        <v>1</v>
      </c>
      <c r="CN51" s="230">
        <v>1390600</v>
      </c>
      <c r="CO51" s="230">
        <v>1249075</v>
      </c>
      <c r="CP51" s="230">
        <v>141525</v>
      </c>
      <c r="CQ51" s="229">
        <v>0.1133</v>
      </c>
      <c r="CR51" s="230">
        <v>850425</v>
      </c>
      <c r="CS51" s="230">
        <v>757775</v>
      </c>
      <c r="CT51" s="230">
        <v>92650</v>
      </c>
      <c r="CU51" s="229">
        <v>0.12230000000000001</v>
      </c>
      <c r="CV51" s="230">
        <v>5790200</v>
      </c>
      <c r="CW51" s="230">
        <v>5286150</v>
      </c>
      <c r="CX51" s="230">
        <v>504050</v>
      </c>
      <c r="CY51" s="229">
        <v>9.5399999999999999E-2</v>
      </c>
      <c r="CZ51" s="228">
        <v>36.57</v>
      </c>
      <c r="DA51" s="228">
        <v>34.909999999999997</v>
      </c>
      <c r="DB51" s="228">
        <v>1.66</v>
      </c>
      <c r="DC51" s="228">
        <v>1.66</v>
      </c>
      <c r="DD51" s="228">
        <v>44.82</v>
      </c>
      <c r="DE51" s="228">
        <v>44.9</v>
      </c>
      <c r="DF51" s="228">
        <v>-8.25</v>
      </c>
      <c r="DG51" s="228">
        <v>-0.08</v>
      </c>
      <c r="DH51" s="228">
        <v>36.68</v>
      </c>
      <c r="DI51" s="228">
        <v>35.159999999999997</v>
      </c>
      <c r="DJ51" s="228">
        <v>1.52</v>
      </c>
      <c r="DK51" s="228">
        <v>1.52</v>
      </c>
      <c r="DL51" s="228">
        <v>36.04</v>
      </c>
      <c r="DM51" s="228">
        <v>33.799999999999997</v>
      </c>
      <c r="DN51" s="228">
        <v>2.2400000000000002</v>
      </c>
      <c r="DO51" s="228">
        <v>2.2400000000000002</v>
      </c>
      <c r="DP51" s="228">
        <v>0.61</v>
      </c>
      <c r="DQ51" s="228">
        <v>0.61</v>
      </c>
      <c r="DR51" s="228">
        <v>0</v>
      </c>
      <c r="DS51" s="229">
        <v>0</v>
      </c>
      <c r="DT51" s="231">
        <v>1300</v>
      </c>
      <c r="DU51" s="231">
        <v>1100</v>
      </c>
      <c r="DV51" s="228">
        <v>0.21</v>
      </c>
      <c r="DW51" s="228">
        <v>0.23</v>
      </c>
      <c r="DX51" s="228">
        <v>-0.02</v>
      </c>
      <c r="DY51" s="229">
        <v>-8.6999999999999994E-2</v>
      </c>
      <c r="DZ51" s="229">
        <v>7.22E-2</v>
      </c>
      <c r="EA51" s="230">
        <v>243100</v>
      </c>
      <c r="EB51" s="229">
        <v>-2.3E-3</v>
      </c>
      <c r="EC51" s="229">
        <v>7.22E-2</v>
      </c>
      <c r="ED51" s="228">
        <v>-4.0199999999999996</v>
      </c>
      <c r="EE51" s="229">
        <v>-3.3999999999999998E-3</v>
      </c>
      <c r="EF51" s="230">
        <v>671046</v>
      </c>
      <c r="EG51" s="230">
        <v>166071</v>
      </c>
      <c r="EH51" s="229">
        <v>3.0407000000000002</v>
      </c>
      <c r="EI51" s="229">
        <v>0.70340000000000003</v>
      </c>
      <c r="EJ51" s="231">
        <v>28871.14</v>
      </c>
      <c r="EK51" s="231">
        <v>5635.75</v>
      </c>
      <c r="EL51" s="231">
        <v>13853.84</v>
      </c>
      <c r="EM51" s="231">
        <v>3313</v>
      </c>
      <c r="EN51" s="231">
        <v>48360.73</v>
      </c>
      <c r="EO51" s="231">
        <v>24665.75</v>
      </c>
      <c r="EP51" s="231">
        <v>23694.98</v>
      </c>
      <c r="EQ51" s="229">
        <v>0.96060000000000001</v>
      </c>
      <c r="ER51" s="231">
        <v>17363</v>
      </c>
      <c r="ES51" s="231">
        <v>9629</v>
      </c>
      <c r="ET51" s="231">
        <v>42058</v>
      </c>
      <c r="EU51" s="231">
        <v>12039544</v>
      </c>
      <c r="EV51" s="231">
        <v>69050</v>
      </c>
      <c r="EW51" s="231">
        <v>62694</v>
      </c>
      <c r="EX51" s="231">
        <v>6356</v>
      </c>
      <c r="EY51" s="229">
        <v>0.1014</v>
      </c>
      <c r="EZ51" s="229">
        <v>0.48089999999999999</v>
      </c>
      <c r="FA51" s="227" t="s">
        <v>555</v>
      </c>
      <c r="FB51" s="161">
        <f t="shared" si="0"/>
        <v>256275</v>
      </c>
    </row>
    <row r="52" spans="1:158" ht="17.25" hidden="1" thickBot="1" x14ac:dyDescent="0.3">
      <c r="A52" s="226">
        <v>45936</v>
      </c>
      <c r="B52" s="227" t="s">
        <v>168</v>
      </c>
      <c r="C52" s="227" t="s">
        <v>204</v>
      </c>
      <c r="D52" s="228">
        <v>1250</v>
      </c>
      <c r="E52" s="228">
        <v>496.35</v>
      </c>
      <c r="F52" s="228">
        <v>499.5</v>
      </c>
      <c r="G52" s="228">
        <v>-3.15</v>
      </c>
      <c r="H52" s="229">
        <v>-6.3E-3</v>
      </c>
      <c r="I52" s="228">
        <v>493.35</v>
      </c>
      <c r="J52" s="228">
        <v>496.15</v>
      </c>
      <c r="K52" s="228">
        <v>-2.8</v>
      </c>
      <c r="L52" s="229">
        <v>-5.5999999999999999E-3</v>
      </c>
      <c r="M52" s="228">
        <v>496.35</v>
      </c>
      <c r="N52" s="228">
        <v>499.5</v>
      </c>
      <c r="O52" s="228">
        <v>-3.15</v>
      </c>
      <c r="P52" s="229">
        <v>-6.3E-3</v>
      </c>
      <c r="Q52" s="228">
        <v>496.1</v>
      </c>
      <c r="R52" s="228">
        <v>499.5</v>
      </c>
      <c r="S52" s="228">
        <v>-3.4</v>
      </c>
      <c r="T52" s="229">
        <v>-6.7999999999999996E-3</v>
      </c>
      <c r="U52" s="228">
        <v>498.6</v>
      </c>
      <c r="V52" s="228">
        <v>501.5</v>
      </c>
      <c r="W52" s="228">
        <v>-2.9</v>
      </c>
      <c r="X52" s="229">
        <v>-5.7999999999999996E-3</v>
      </c>
      <c r="Y52" s="228">
        <v>3</v>
      </c>
      <c r="Z52" s="228">
        <v>3.35</v>
      </c>
      <c r="AA52" s="228">
        <v>-0.35</v>
      </c>
      <c r="AB52" s="229">
        <v>6.1000000000000004E-3</v>
      </c>
      <c r="AC52" s="228">
        <v>3</v>
      </c>
      <c r="AD52" s="228">
        <v>3.35</v>
      </c>
      <c r="AE52" s="228">
        <v>-0.35</v>
      </c>
      <c r="AF52" s="229">
        <v>6.1000000000000004E-3</v>
      </c>
      <c r="AG52" s="228">
        <v>2.75</v>
      </c>
      <c r="AH52" s="228">
        <v>3.35</v>
      </c>
      <c r="AI52" s="228">
        <v>-0.6</v>
      </c>
      <c r="AJ52" s="229">
        <v>5.5999999999999999E-3</v>
      </c>
      <c r="AK52" s="228">
        <v>5.25</v>
      </c>
      <c r="AL52" s="228">
        <v>5.35</v>
      </c>
      <c r="AM52" s="228">
        <v>-0.1</v>
      </c>
      <c r="AN52" s="229">
        <v>1.06E-2</v>
      </c>
      <c r="AO52" s="228">
        <v>496.74</v>
      </c>
      <c r="AP52" s="228">
        <v>496.26</v>
      </c>
      <c r="AQ52" s="228">
        <v>0</v>
      </c>
      <c r="AR52" s="230">
        <v>3708750</v>
      </c>
      <c r="AS52" s="230">
        <v>3346250</v>
      </c>
      <c r="AT52" s="230">
        <v>362500</v>
      </c>
      <c r="AU52" s="229">
        <v>0.10829999999999999</v>
      </c>
      <c r="AV52" s="230">
        <v>3506250</v>
      </c>
      <c r="AW52" s="230">
        <v>3213750</v>
      </c>
      <c r="AX52" s="230">
        <v>292500</v>
      </c>
      <c r="AY52" s="229">
        <v>9.0999999999999998E-2</v>
      </c>
      <c r="AZ52" s="230">
        <v>190000</v>
      </c>
      <c r="BA52" s="230">
        <v>125000</v>
      </c>
      <c r="BB52" s="230">
        <v>65000</v>
      </c>
      <c r="BC52" s="229">
        <v>0.52</v>
      </c>
      <c r="BD52" s="230">
        <v>12500</v>
      </c>
      <c r="BE52" s="230">
        <v>7500</v>
      </c>
      <c r="BF52" s="230">
        <v>5000</v>
      </c>
      <c r="BG52" s="229">
        <v>0.66669999999999996</v>
      </c>
      <c r="BH52" s="230">
        <v>6811250</v>
      </c>
      <c r="BI52" s="230">
        <v>9293750</v>
      </c>
      <c r="BJ52" s="230">
        <v>-2482500</v>
      </c>
      <c r="BK52" s="229">
        <v>-0.2671</v>
      </c>
      <c r="BL52" s="230">
        <v>2667500</v>
      </c>
      <c r="BM52" s="230">
        <v>2976250</v>
      </c>
      <c r="BN52" s="230">
        <v>-308750</v>
      </c>
      <c r="BO52" s="229">
        <v>-0.1037</v>
      </c>
      <c r="BP52" s="230">
        <v>13187500</v>
      </c>
      <c r="BQ52" s="230">
        <v>15616250</v>
      </c>
      <c r="BR52" s="230">
        <v>-2428750</v>
      </c>
      <c r="BS52" s="229">
        <v>-0.1555</v>
      </c>
      <c r="BT52" s="230">
        <v>3031522</v>
      </c>
      <c r="BU52" s="230">
        <v>3116080</v>
      </c>
      <c r="BV52" s="230">
        <v>-84558</v>
      </c>
      <c r="BW52" s="229">
        <v>-2.7099999999999999E-2</v>
      </c>
      <c r="BX52" s="230">
        <v>26901250</v>
      </c>
      <c r="BY52" s="230">
        <v>26343750</v>
      </c>
      <c r="BZ52" s="230">
        <v>557500</v>
      </c>
      <c r="CA52" s="229">
        <v>2.12E-2</v>
      </c>
      <c r="CB52" s="230">
        <v>25713750</v>
      </c>
      <c r="CC52" s="230">
        <v>25245000</v>
      </c>
      <c r="CD52" s="230">
        <v>468750</v>
      </c>
      <c r="CE52" s="229">
        <v>1.8599999999999998E-2</v>
      </c>
      <c r="CF52" s="230">
        <v>1163750</v>
      </c>
      <c r="CG52" s="230">
        <v>1086250</v>
      </c>
      <c r="CH52" s="230">
        <v>77500</v>
      </c>
      <c r="CI52" s="229">
        <v>7.1300000000000002E-2</v>
      </c>
      <c r="CJ52" s="230">
        <v>23750</v>
      </c>
      <c r="CK52" s="230">
        <v>12500</v>
      </c>
      <c r="CL52" s="230">
        <v>11250</v>
      </c>
      <c r="CM52" s="229">
        <v>0.9</v>
      </c>
      <c r="CN52" s="230">
        <v>11947500</v>
      </c>
      <c r="CO52" s="230">
        <v>10830000</v>
      </c>
      <c r="CP52" s="230">
        <v>1117500</v>
      </c>
      <c r="CQ52" s="229">
        <v>0.1032</v>
      </c>
      <c r="CR52" s="230">
        <v>6146250</v>
      </c>
      <c r="CS52" s="230">
        <v>5918750</v>
      </c>
      <c r="CT52" s="230">
        <v>227500</v>
      </c>
      <c r="CU52" s="229">
        <v>3.8399999999999997E-2</v>
      </c>
      <c r="CV52" s="230">
        <v>44995000</v>
      </c>
      <c r="CW52" s="230">
        <v>43092500</v>
      </c>
      <c r="CX52" s="230">
        <v>1902500</v>
      </c>
      <c r="CY52" s="229">
        <v>4.41E-2</v>
      </c>
      <c r="CZ52" s="228">
        <v>22.6</v>
      </c>
      <c r="DA52" s="228">
        <v>22.15</v>
      </c>
      <c r="DB52" s="228">
        <v>0.45</v>
      </c>
      <c r="DC52" s="228">
        <v>0.45</v>
      </c>
      <c r="DD52" s="228">
        <v>25.59</v>
      </c>
      <c r="DE52" s="228">
        <v>25.64</v>
      </c>
      <c r="DF52" s="228">
        <v>-2.99</v>
      </c>
      <c r="DG52" s="228">
        <v>-0.05</v>
      </c>
      <c r="DH52" s="228">
        <v>22.93</v>
      </c>
      <c r="DI52" s="228">
        <v>22.27</v>
      </c>
      <c r="DJ52" s="228">
        <v>0.66</v>
      </c>
      <c r="DK52" s="228">
        <v>0.66</v>
      </c>
      <c r="DL52" s="228">
        <v>21.78</v>
      </c>
      <c r="DM52" s="228">
        <v>21.76</v>
      </c>
      <c r="DN52" s="228">
        <v>0.02</v>
      </c>
      <c r="DO52" s="228">
        <v>0.02</v>
      </c>
      <c r="DP52" s="228">
        <v>0.51</v>
      </c>
      <c r="DQ52" s="228">
        <v>0.55000000000000004</v>
      </c>
      <c r="DR52" s="228">
        <v>-0.04</v>
      </c>
      <c r="DS52" s="229">
        <v>-7.2700000000000001E-2</v>
      </c>
      <c r="DT52" s="228">
        <v>500</v>
      </c>
      <c r="DU52" s="228">
        <v>500</v>
      </c>
      <c r="DV52" s="228">
        <v>0.39</v>
      </c>
      <c r="DW52" s="228">
        <v>0.32</v>
      </c>
      <c r="DX52" s="228">
        <v>7.0000000000000007E-2</v>
      </c>
      <c r="DY52" s="229">
        <v>0.21879999999999999</v>
      </c>
      <c r="DZ52" s="229">
        <v>4.41E-2</v>
      </c>
      <c r="EA52" s="230">
        <v>1098750</v>
      </c>
      <c r="EB52" s="229">
        <v>-5.0000000000000001E-4</v>
      </c>
      <c r="EC52" s="229">
        <v>4.41E-2</v>
      </c>
      <c r="ED52" s="228">
        <v>-0.48</v>
      </c>
      <c r="EE52" s="229">
        <v>-1E-3</v>
      </c>
      <c r="EF52" s="230">
        <v>2443107</v>
      </c>
      <c r="EG52" s="230">
        <v>2008685</v>
      </c>
      <c r="EH52" s="229">
        <v>0.21629999999999999</v>
      </c>
      <c r="EI52" s="229">
        <v>0.80589999999999995</v>
      </c>
      <c r="EJ52" s="231">
        <v>35594.6</v>
      </c>
      <c r="EK52" s="231">
        <v>13098.81</v>
      </c>
      <c r="EL52" s="231">
        <v>18422.12</v>
      </c>
      <c r="EM52" s="231">
        <v>8947</v>
      </c>
      <c r="EN52" s="231">
        <v>67115.53</v>
      </c>
      <c r="EO52" s="231">
        <v>80006.960000000006</v>
      </c>
      <c r="EP52" s="231">
        <v>-12891.43</v>
      </c>
      <c r="EQ52" s="229">
        <v>-0.16109999999999999</v>
      </c>
      <c r="ER52" s="231">
        <v>63373</v>
      </c>
      <c r="ES52" s="231">
        <v>30283</v>
      </c>
      <c r="ET52" s="231">
        <v>133522</v>
      </c>
      <c r="EU52" s="231">
        <v>89873278</v>
      </c>
      <c r="EV52" s="231">
        <v>227178</v>
      </c>
      <c r="EW52" s="231">
        <v>218343</v>
      </c>
      <c r="EX52" s="231">
        <v>8835</v>
      </c>
      <c r="EY52" s="229">
        <v>4.0500000000000001E-2</v>
      </c>
      <c r="EZ52" s="229">
        <v>0.50060000000000004</v>
      </c>
      <c r="FA52" s="227" t="s">
        <v>567</v>
      </c>
      <c r="FB52" s="161">
        <f t="shared" si="0"/>
        <v>1187500</v>
      </c>
    </row>
    <row r="53" spans="1:158" ht="17.25" hidden="1" thickBot="1" x14ac:dyDescent="0.3">
      <c r="A53" s="226">
        <v>45936</v>
      </c>
      <c r="B53" s="227" t="s">
        <v>157</v>
      </c>
      <c r="C53" s="227" t="s">
        <v>524</v>
      </c>
      <c r="D53" s="228">
        <v>325</v>
      </c>
      <c r="E53" s="231">
        <v>2264</v>
      </c>
      <c r="F53" s="231">
        <v>2269.1</v>
      </c>
      <c r="G53" s="228">
        <v>-5.0999999999999996</v>
      </c>
      <c r="H53" s="229">
        <v>-2.2000000000000001E-3</v>
      </c>
      <c r="I53" s="231">
        <v>2251.1999999999998</v>
      </c>
      <c r="J53" s="231">
        <v>2253.6999999999998</v>
      </c>
      <c r="K53" s="228">
        <v>-2.5</v>
      </c>
      <c r="L53" s="229">
        <v>-1.1000000000000001E-3</v>
      </c>
      <c r="M53" s="231">
        <v>2264</v>
      </c>
      <c r="N53" s="231">
        <v>2269.1</v>
      </c>
      <c r="O53" s="228">
        <v>-5.0999999999999996</v>
      </c>
      <c r="P53" s="229">
        <v>-2.2000000000000001E-3</v>
      </c>
      <c r="Q53" s="231">
        <v>2269.5</v>
      </c>
      <c r="R53" s="231">
        <v>2276.6999999999998</v>
      </c>
      <c r="S53" s="228">
        <v>-7.2</v>
      </c>
      <c r="T53" s="229">
        <v>-3.2000000000000002E-3</v>
      </c>
      <c r="U53" s="231">
        <v>2275</v>
      </c>
      <c r="V53" s="231">
        <v>2244.5</v>
      </c>
      <c r="W53" s="228">
        <v>30.5</v>
      </c>
      <c r="X53" s="229">
        <v>1.3599999999999999E-2</v>
      </c>
      <c r="Y53" s="228">
        <v>12.8</v>
      </c>
      <c r="Z53" s="228">
        <v>15.4</v>
      </c>
      <c r="AA53" s="228">
        <v>-2.6</v>
      </c>
      <c r="AB53" s="229">
        <v>5.7000000000000002E-3</v>
      </c>
      <c r="AC53" s="228">
        <v>12.8</v>
      </c>
      <c r="AD53" s="228">
        <v>15.4</v>
      </c>
      <c r="AE53" s="228">
        <v>-2.6</v>
      </c>
      <c r="AF53" s="229">
        <v>5.7000000000000002E-3</v>
      </c>
      <c r="AG53" s="228">
        <v>18.3</v>
      </c>
      <c r="AH53" s="228">
        <v>23</v>
      </c>
      <c r="AI53" s="228">
        <v>-4.7</v>
      </c>
      <c r="AJ53" s="229">
        <v>8.0999999999999996E-3</v>
      </c>
      <c r="AK53" s="228">
        <v>23.8</v>
      </c>
      <c r="AL53" s="228">
        <v>-9.1999999999999993</v>
      </c>
      <c r="AM53" s="228">
        <v>33</v>
      </c>
      <c r="AN53" s="229">
        <v>1.06E-2</v>
      </c>
      <c r="AO53" s="231">
        <v>2261.4</v>
      </c>
      <c r="AP53" s="231">
        <v>2267.87</v>
      </c>
      <c r="AQ53" s="228">
        <v>0</v>
      </c>
      <c r="AR53" s="230">
        <v>333450</v>
      </c>
      <c r="AS53" s="230">
        <v>536900</v>
      </c>
      <c r="AT53" s="230">
        <v>-203450</v>
      </c>
      <c r="AU53" s="229">
        <v>-0.37890000000000001</v>
      </c>
      <c r="AV53" s="230">
        <v>326300</v>
      </c>
      <c r="AW53" s="230">
        <v>528450</v>
      </c>
      <c r="AX53" s="230">
        <v>-202150</v>
      </c>
      <c r="AY53" s="229">
        <v>-0.38250000000000001</v>
      </c>
      <c r="AZ53" s="230">
        <v>5525</v>
      </c>
      <c r="BA53" s="230">
        <v>8450</v>
      </c>
      <c r="BB53" s="230">
        <v>-2925</v>
      </c>
      <c r="BC53" s="229">
        <v>-0.34620000000000001</v>
      </c>
      <c r="BD53" s="230">
        <v>1625</v>
      </c>
      <c r="BE53" s="228">
        <v>0</v>
      </c>
      <c r="BF53" s="230">
        <v>1625</v>
      </c>
      <c r="BG53" s="229">
        <v>0</v>
      </c>
      <c r="BH53" s="230">
        <v>255450</v>
      </c>
      <c r="BI53" s="230">
        <v>394225</v>
      </c>
      <c r="BJ53" s="230">
        <v>-138775</v>
      </c>
      <c r="BK53" s="229">
        <v>-0.35199999999999998</v>
      </c>
      <c r="BL53" s="230">
        <v>76375</v>
      </c>
      <c r="BM53" s="230">
        <v>480350</v>
      </c>
      <c r="BN53" s="230">
        <v>-403975</v>
      </c>
      <c r="BO53" s="229">
        <v>-0.84099999999999997</v>
      </c>
      <c r="BP53" s="230">
        <v>665275</v>
      </c>
      <c r="BQ53" s="230">
        <v>1411475</v>
      </c>
      <c r="BR53" s="230">
        <v>-746200</v>
      </c>
      <c r="BS53" s="229">
        <v>-0.52869999999999995</v>
      </c>
      <c r="BT53" s="230">
        <v>401696</v>
      </c>
      <c r="BU53" s="230">
        <v>641285</v>
      </c>
      <c r="BV53" s="230">
        <v>-239589</v>
      </c>
      <c r="BW53" s="229">
        <v>-0.37359999999999999</v>
      </c>
      <c r="BX53" s="230">
        <v>2404025</v>
      </c>
      <c r="BY53" s="230">
        <v>2374450</v>
      </c>
      <c r="BZ53" s="230">
        <v>29575</v>
      </c>
      <c r="CA53" s="229">
        <v>1.2500000000000001E-2</v>
      </c>
      <c r="CB53" s="230">
        <v>2380300</v>
      </c>
      <c r="CC53" s="230">
        <v>2353325</v>
      </c>
      <c r="CD53" s="230">
        <v>26975</v>
      </c>
      <c r="CE53" s="229">
        <v>1.15E-2</v>
      </c>
      <c r="CF53" s="230">
        <v>21775</v>
      </c>
      <c r="CG53" s="230">
        <v>20475</v>
      </c>
      <c r="CH53" s="230">
        <v>1300</v>
      </c>
      <c r="CI53" s="229">
        <v>6.3500000000000001E-2</v>
      </c>
      <c r="CJ53" s="230">
        <v>1950</v>
      </c>
      <c r="CK53" s="228">
        <v>650</v>
      </c>
      <c r="CL53" s="230">
        <v>1300</v>
      </c>
      <c r="CM53" s="229">
        <v>2</v>
      </c>
      <c r="CN53" s="230">
        <v>292175</v>
      </c>
      <c r="CO53" s="230">
        <v>272025</v>
      </c>
      <c r="CP53" s="230">
        <v>20150</v>
      </c>
      <c r="CQ53" s="229">
        <v>7.4099999999999999E-2</v>
      </c>
      <c r="CR53" s="230">
        <v>147550</v>
      </c>
      <c r="CS53" s="230">
        <v>140725</v>
      </c>
      <c r="CT53" s="230">
        <v>6825</v>
      </c>
      <c r="CU53" s="229">
        <v>4.8500000000000001E-2</v>
      </c>
      <c r="CV53" s="230">
        <v>2843750</v>
      </c>
      <c r="CW53" s="230">
        <v>2787200</v>
      </c>
      <c r="CX53" s="230">
        <v>56550</v>
      </c>
      <c r="CY53" s="229">
        <v>2.0299999999999999E-2</v>
      </c>
      <c r="CZ53" s="228">
        <v>25.37</v>
      </c>
      <c r="DA53" s="228">
        <v>24.3</v>
      </c>
      <c r="DB53" s="228">
        <v>1.07</v>
      </c>
      <c r="DC53" s="228">
        <v>1.07</v>
      </c>
      <c r="DD53" s="228">
        <v>30.65</v>
      </c>
      <c r="DE53" s="228">
        <v>30.73</v>
      </c>
      <c r="DF53" s="228">
        <v>-5.28</v>
      </c>
      <c r="DG53" s="228">
        <v>-0.08</v>
      </c>
      <c r="DH53" s="228">
        <v>25.35</v>
      </c>
      <c r="DI53" s="228">
        <v>24.77</v>
      </c>
      <c r="DJ53" s="228">
        <v>0.57999999999999996</v>
      </c>
      <c r="DK53" s="228">
        <v>0.57999999999999996</v>
      </c>
      <c r="DL53" s="228">
        <v>25.47</v>
      </c>
      <c r="DM53" s="228">
        <v>23.92</v>
      </c>
      <c r="DN53" s="228">
        <v>1.55</v>
      </c>
      <c r="DO53" s="228">
        <v>1.55</v>
      </c>
      <c r="DP53" s="228">
        <v>0.51</v>
      </c>
      <c r="DQ53" s="228">
        <v>0.52</v>
      </c>
      <c r="DR53" s="228">
        <v>-0.01</v>
      </c>
      <c r="DS53" s="229">
        <v>-1.9199999999999998E-2</v>
      </c>
      <c r="DT53" s="231">
        <v>2400</v>
      </c>
      <c r="DU53" s="231">
        <v>2200</v>
      </c>
      <c r="DV53" s="228">
        <v>0.3</v>
      </c>
      <c r="DW53" s="228">
        <v>1.22</v>
      </c>
      <c r="DX53" s="228">
        <v>-0.92</v>
      </c>
      <c r="DY53" s="229">
        <v>-0.75409999999999999</v>
      </c>
      <c r="DZ53" s="229">
        <v>9.9000000000000008E-3</v>
      </c>
      <c r="EA53" s="230">
        <v>21125</v>
      </c>
      <c r="EB53" s="229">
        <v>2.3999999999999998E-3</v>
      </c>
      <c r="EC53" s="229">
        <v>9.9000000000000008E-3</v>
      </c>
      <c r="ED53" s="228">
        <v>6.47</v>
      </c>
      <c r="EE53" s="229">
        <v>2.8999999999999998E-3</v>
      </c>
      <c r="EF53" s="230">
        <v>286259</v>
      </c>
      <c r="EG53" s="230">
        <v>428444</v>
      </c>
      <c r="EH53" s="229">
        <v>-0.33189999999999997</v>
      </c>
      <c r="EI53" s="229">
        <v>0.71260000000000001</v>
      </c>
      <c r="EJ53" s="231">
        <v>5987.52</v>
      </c>
      <c r="EK53" s="231">
        <v>1730.46</v>
      </c>
      <c r="EL53" s="231">
        <v>7541.21</v>
      </c>
      <c r="EM53" s="231">
        <v>2797</v>
      </c>
      <c r="EN53" s="231">
        <v>15259.19</v>
      </c>
      <c r="EO53" s="231">
        <v>32737.73</v>
      </c>
      <c r="EP53" s="231">
        <v>-17478.54</v>
      </c>
      <c r="EQ53" s="229">
        <v>-0.53390000000000004</v>
      </c>
      <c r="ER53" s="231">
        <v>6923</v>
      </c>
      <c r="ES53" s="231">
        <v>3299</v>
      </c>
      <c r="ET53" s="231">
        <v>54429</v>
      </c>
      <c r="EU53" s="231">
        <v>12425041</v>
      </c>
      <c r="EV53" s="231">
        <v>64651</v>
      </c>
      <c r="EW53" s="231">
        <v>63493</v>
      </c>
      <c r="EX53" s="231">
        <v>1158</v>
      </c>
      <c r="EY53" s="229">
        <v>1.8200000000000001E-2</v>
      </c>
      <c r="EZ53" s="229">
        <v>0.22889999999999999</v>
      </c>
      <c r="FA53" s="227" t="s">
        <v>567</v>
      </c>
      <c r="FB53" s="161">
        <f t="shared" si="0"/>
        <v>23725</v>
      </c>
    </row>
    <row r="54" spans="1:158" ht="17.25" hidden="1" thickBot="1" x14ac:dyDescent="0.3">
      <c r="A54" s="226">
        <v>45936</v>
      </c>
      <c r="B54" s="227" t="s">
        <v>616</v>
      </c>
      <c r="C54" s="227" t="s">
        <v>601</v>
      </c>
      <c r="D54" s="228">
        <v>2075</v>
      </c>
      <c r="E54" s="228">
        <v>465.1</v>
      </c>
      <c r="F54" s="228">
        <v>440.3</v>
      </c>
      <c r="G54" s="228">
        <v>24.8</v>
      </c>
      <c r="H54" s="229">
        <v>5.6300000000000003E-2</v>
      </c>
      <c r="I54" s="228">
        <v>462.6</v>
      </c>
      <c r="J54" s="228">
        <v>437.3</v>
      </c>
      <c r="K54" s="228">
        <v>25.3</v>
      </c>
      <c r="L54" s="229">
        <v>5.79E-2</v>
      </c>
      <c r="M54" s="228">
        <v>465.1</v>
      </c>
      <c r="N54" s="228">
        <v>440.3</v>
      </c>
      <c r="O54" s="228">
        <v>24.8</v>
      </c>
      <c r="P54" s="229">
        <v>5.6300000000000003E-2</v>
      </c>
      <c r="Q54" s="228">
        <v>467.45</v>
      </c>
      <c r="R54" s="228">
        <v>442.5</v>
      </c>
      <c r="S54" s="228">
        <v>24.95</v>
      </c>
      <c r="T54" s="229">
        <v>5.6399999999999999E-2</v>
      </c>
      <c r="U54" s="228">
        <v>468.95</v>
      </c>
      <c r="V54" s="228">
        <v>443.35</v>
      </c>
      <c r="W54" s="228">
        <v>25.6</v>
      </c>
      <c r="X54" s="229">
        <v>5.7700000000000001E-2</v>
      </c>
      <c r="Y54" s="228">
        <v>2.5</v>
      </c>
      <c r="Z54" s="228">
        <v>3</v>
      </c>
      <c r="AA54" s="228">
        <v>-0.5</v>
      </c>
      <c r="AB54" s="229">
        <v>5.4000000000000003E-3</v>
      </c>
      <c r="AC54" s="228">
        <v>2.5</v>
      </c>
      <c r="AD54" s="228">
        <v>3</v>
      </c>
      <c r="AE54" s="228">
        <v>-0.5</v>
      </c>
      <c r="AF54" s="229">
        <v>5.4000000000000003E-3</v>
      </c>
      <c r="AG54" s="228">
        <v>4.8499999999999996</v>
      </c>
      <c r="AH54" s="228">
        <v>5.2</v>
      </c>
      <c r="AI54" s="228">
        <v>-0.35</v>
      </c>
      <c r="AJ54" s="229">
        <v>1.0500000000000001E-2</v>
      </c>
      <c r="AK54" s="228">
        <v>6.35</v>
      </c>
      <c r="AL54" s="228">
        <v>6.05</v>
      </c>
      <c r="AM54" s="228">
        <v>0.3</v>
      </c>
      <c r="AN54" s="229">
        <v>1.37E-2</v>
      </c>
      <c r="AO54" s="228">
        <v>458.05</v>
      </c>
      <c r="AP54" s="228">
        <v>459.8</v>
      </c>
      <c r="AQ54" s="228">
        <v>0</v>
      </c>
      <c r="AR54" s="230">
        <v>12327575</v>
      </c>
      <c r="AS54" s="230">
        <v>8878925</v>
      </c>
      <c r="AT54" s="230">
        <v>3448650</v>
      </c>
      <c r="AU54" s="229">
        <v>0.38840000000000002</v>
      </c>
      <c r="AV54" s="230">
        <v>11812975</v>
      </c>
      <c r="AW54" s="230">
        <v>8536550</v>
      </c>
      <c r="AX54" s="230">
        <v>3276425</v>
      </c>
      <c r="AY54" s="229">
        <v>0.38379999999999997</v>
      </c>
      <c r="AZ54" s="230">
        <v>485550</v>
      </c>
      <c r="BA54" s="230">
        <v>311250</v>
      </c>
      <c r="BB54" s="230">
        <v>174300</v>
      </c>
      <c r="BC54" s="229">
        <v>0.56000000000000005</v>
      </c>
      <c r="BD54" s="230">
        <v>29050</v>
      </c>
      <c r="BE54" s="230">
        <v>31125</v>
      </c>
      <c r="BF54" s="230">
        <v>-2075</v>
      </c>
      <c r="BG54" s="229">
        <v>-6.6699999999999995E-2</v>
      </c>
      <c r="BH54" s="230">
        <v>38472575</v>
      </c>
      <c r="BI54" s="230">
        <v>17073100</v>
      </c>
      <c r="BJ54" s="230">
        <v>21399475</v>
      </c>
      <c r="BK54" s="229">
        <v>1.2534000000000001</v>
      </c>
      <c r="BL54" s="230">
        <v>18060800</v>
      </c>
      <c r="BM54" s="230">
        <v>8136075</v>
      </c>
      <c r="BN54" s="230">
        <v>9924725</v>
      </c>
      <c r="BO54" s="229">
        <v>1.2198</v>
      </c>
      <c r="BP54" s="230">
        <v>68860950</v>
      </c>
      <c r="BQ54" s="230">
        <v>34088100</v>
      </c>
      <c r="BR54" s="230">
        <v>34772850</v>
      </c>
      <c r="BS54" s="229">
        <v>1.0201</v>
      </c>
      <c r="BT54" s="230">
        <v>12684471</v>
      </c>
      <c r="BU54" s="230">
        <v>8355515</v>
      </c>
      <c r="BV54" s="230">
        <v>4328956</v>
      </c>
      <c r="BW54" s="229">
        <v>0.5181</v>
      </c>
      <c r="BX54" s="230">
        <v>17981950</v>
      </c>
      <c r="BY54" s="230">
        <v>16238950</v>
      </c>
      <c r="BZ54" s="230">
        <v>1743000</v>
      </c>
      <c r="CA54" s="229">
        <v>0.10730000000000001</v>
      </c>
      <c r="CB54" s="230">
        <v>17515075</v>
      </c>
      <c r="CC54" s="230">
        <v>15770000</v>
      </c>
      <c r="CD54" s="230">
        <v>1745075</v>
      </c>
      <c r="CE54" s="229">
        <v>0.11070000000000001</v>
      </c>
      <c r="CF54" s="230">
        <v>450275</v>
      </c>
      <c r="CG54" s="230">
        <v>452350</v>
      </c>
      <c r="CH54" s="230">
        <v>-2075</v>
      </c>
      <c r="CI54" s="229">
        <v>-4.5999999999999999E-3</v>
      </c>
      <c r="CJ54" s="230">
        <v>16600</v>
      </c>
      <c r="CK54" s="230">
        <v>16600</v>
      </c>
      <c r="CL54" s="228">
        <v>0</v>
      </c>
      <c r="CM54" s="229">
        <v>0</v>
      </c>
      <c r="CN54" s="230">
        <v>6444950</v>
      </c>
      <c r="CO54" s="230">
        <v>5899225</v>
      </c>
      <c r="CP54" s="230">
        <v>545725</v>
      </c>
      <c r="CQ54" s="229">
        <v>9.2499999999999999E-2</v>
      </c>
      <c r="CR54" s="230">
        <v>4876250</v>
      </c>
      <c r="CS54" s="230">
        <v>3322075</v>
      </c>
      <c r="CT54" s="230">
        <v>1554175</v>
      </c>
      <c r="CU54" s="229">
        <v>0.46779999999999999</v>
      </c>
      <c r="CV54" s="230">
        <v>29303150</v>
      </c>
      <c r="CW54" s="230">
        <v>25460250</v>
      </c>
      <c r="CX54" s="230">
        <v>3842900</v>
      </c>
      <c r="CY54" s="229">
        <v>0.15090000000000001</v>
      </c>
      <c r="CZ54" s="228">
        <v>31.65</v>
      </c>
      <c r="DA54" s="228">
        <v>31.54</v>
      </c>
      <c r="DB54" s="228">
        <v>0.11</v>
      </c>
      <c r="DC54" s="228">
        <v>0.11</v>
      </c>
      <c r="DD54" s="228">
        <v>41.11</v>
      </c>
      <c r="DE54" s="228">
        <v>40.54</v>
      </c>
      <c r="DF54" s="228">
        <v>-9.4600000000000009</v>
      </c>
      <c r="DG54" s="228">
        <v>0.56999999999999995</v>
      </c>
      <c r="DH54" s="228">
        <v>31.18</v>
      </c>
      <c r="DI54" s="228">
        <v>31.53</v>
      </c>
      <c r="DJ54" s="228">
        <v>-0.35</v>
      </c>
      <c r="DK54" s="228">
        <v>-0.35</v>
      </c>
      <c r="DL54" s="228">
        <v>32.64</v>
      </c>
      <c r="DM54" s="228">
        <v>31.56</v>
      </c>
      <c r="DN54" s="228">
        <v>1.08</v>
      </c>
      <c r="DO54" s="228">
        <v>1.08</v>
      </c>
      <c r="DP54" s="228">
        <v>0.76</v>
      </c>
      <c r="DQ54" s="228">
        <v>0.56000000000000005</v>
      </c>
      <c r="DR54" s="228">
        <v>0.2</v>
      </c>
      <c r="DS54" s="229">
        <v>0.35709999999999997</v>
      </c>
      <c r="DT54" s="228">
        <v>500</v>
      </c>
      <c r="DU54" s="228">
        <v>440</v>
      </c>
      <c r="DV54" s="228">
        <v>0.47</v>
      </c>
      <c r="DW54" s="228">
        <v>0.48</v>
      </c>
      <c r="DX54" s="228">
        <v>-0.01</v>
      </c>
      <c r="DY54" s="229">
        <v>-2.0799999999999999E-2</v>
      </c>
      <c r="DZ54" s="229">
        <v>2.5999999999999999E-2</v>
      </c>
      <c r="EA54" s="230">
        <v>468950</v>
      </c>
      <c r="EB54" s="229">
        <v>5.1000000000000004E-3</v>
      </c>
      <c r="EC54" s="229">
        <v>2.5999999999999999E-2</v>
      </c>
      <c r="ED54" s="228">
        <v>1.75</v>
      </c>
      <c r="EE54" s="229">
        <v>3.8E-3</v>
      </c>
      <c r="EF54" s="230">
        <v>5209275</v>
      </c>
      <c r="EG54" s="230">
        <v>5492817</v>
      </c>
      <c r="EH54" s="229">
        <v>-5.16E-2</v>
      </c>
      <c r="EI54" s="229">
        <v>0.41070000000000001</v>
      </c>
      <c r="EJ54" s="231">
        <v>184683.81</v>
      </c>
      <c r="EK54" s="231">
        <v>80612.03</v>
      </c>
      <c r="EL54" s="231">
        <v>56476.07</v>
      </c>
      <c r="EM54" s="231">
        <v>4437</v>
      </c>
      <c r="EN54" s="231">
        <v>321771.90999999997</v>
      </c>
      <c r="EO54" s="231">
        <v>153436.70000000001</v>
      </c>
      <c r="EP54" s="231">
        <v>168335.21</v>
      </c>
      <c r="EQ54" s="229">
        <v>1.0971</v>
      </c>
      <c r="ER54" s="231">
        <v>30696</v>
      </c>
      <c r="ES54" s="231">
        <v>21240</v>
      </c>
      <c r="ET54" s="231">
        <v>83645</v>
      </c>
      <c r="EU54" s="231">
        <v>94196226</v>
      </c>
      <c r="EV54" s="231">
        <v>135581</v>
      </c>
      <c r="EW54" s="231">
        <v>113520</v>
      </c>
      <c r="EX54" s="231">
        <v>22061</v>
      </c>
      <c r="EY54" s="229">
        <v>0.1943</v>
      </c>
      <c r="EZ54" s="229">
        <v>0.31109999999999999</v>
      </c>
      <c r="FA54" s="227" t="s">
        <v>555</v>
      </c>
      <c r="FB54" s="161">
        <f t="shared" si="0"/>
        <v>466875</v>
      </c>
    </row>
    <row r="55" spans="1:158" ht="17.25" hidden="1" thickBot="1" x14ac:dyDescent="0.3">
      <c r="A55" s="226">
        <v>45936</v>
      </c>
      <c r="B55" s="227" t="s">
        <v>170</v>
      </c>
      <c r="C55" s="227" t="s">
        <v>205</v>
      </c>
      <c r="D55" s="228">
        <v>100</v>
      </c>
      <c r="E55" s="231">
        <v>5853</v>
      </c>
      <c r="F55" s="231">
        <v>5887</v>
      </c>
      <c r="G55" s="228">
        <v>-34</v>
      </c>
      <c r="H55" s="229">
        <v>-5.7999999999999996E-3</v>
      </c>
      <c r="I55" s="231">
        <v>5826.5</v>
      </c>
      <c r="J55" s="231">
        <v>5866</v>
      </c>
      <c r="K55" s="228">
        <v>-39.5</v>
      </c>
      <c r="L55" s="229">
        <v>-6.7000000000000002E-3</v>
      </c>
      <c r="M55" s="231">
        <v>5853</v>
      </c>
      <c r="N55" s="231">
        <v>5887</v>
      </c>
      <c r="O55" s="228">
        <v>-34</v>
      </c>
      <c r="P55" s="229">
        <v>-5.7999999999999996E-3</v>
      </c>
      <c r="Q55" s="231">
        <v>5887</v>
      </c>
      <c r="R55" s="231">
        <v>5917</v>
      </c>
      <c r="S55" s="228">
        <v>-30</v>
      </c>
      <c r="T55" s="229">
        <v>-5.1000000000000004E-3</v>
      </c>
      <c r="U55" s="231">
        <v>5915</v>
      </c>
      <c r="V55" s="231">
        <v>5915</v>
      </c>
      <c r="W55" s="228">
        <v>0</v>
      </c>
      <c r="X55" s="229">
        <v>0</v>
      </c>
      <c r="Y55" s="228">
        <v>26.5</v>
      </c>
      <c r="Z55" s="228">
        <v>21</v>
      </c>
      <c r="AA55" s="228">
        <v>5.5</v>
      </c>
      <c r="AB55" s="229">
        <v>4.4999999999999997E-3</v>
      </c>
      <c r="AC55" s="228">
        <v>26.5</v>
      </c>
      <c r="AD55" s="228">
        <v>21</v>
      </c>
      <c r="AE55" s="228">
        <v>5.5</v>
      </c>
      <c r="AF55" s="229">
        <v>4.4999999999999997E-3</v>
      </c>
      <c r="AG55" s="228">
        <v>60.5</v>
      </c>
      <c r="AH55" s="228">
        <v>51</v>
      </c>
      <c r="AI55" s="228">
        <v>9.5</v>
      </c>
      <c r="AJ55" s="229">
        <v>1.04E-2</v>
      </c>
      <c r="AK55" s="228">
        <v>88.5</v>
      </c>
      <c r="AL55" s="228">
        <v>49</v>
      </c>
      <c r="AM55" s="228">
        <v>39.5</v>
      </c>
      <c r="AN55" s="229">
        <v>1.52E-2</v>
      </c>
      <c r="AO55" s="231">
        <v>5866.73</v>
      </c>
      <c r="AP55" s="231">
        <v>5895.24</v>
      </c>
      <c r="AQ55" s="228">
        <v>0</v>
      </c>
      <c r="AR55" s="230">
        <v>226900</v>
      </c>
      <c r="AS55" s="230">
        <v>490100</v>
      </c>
      <c r="AT55" s="230">
        <v>-263200</v>
      </c>
      <c r="AU55" s="229">
        <v>-0.53700000000000003</v>
      </c>
      <c r="AV55" s="230">
        <v>208500</v>
      </c>
      <c r="AW55" s="230">
        <v>472700</v>
      </c>
      <c r="AX55" s="230">
        <v>-264200</v>
      </c>
      <c r="AY55" s="229">
        <v>-0.55889999999999995</v>
      </c>
      <c r="AZ55" s="230">
        <v>16600</v>
      </c>
      <c r="BA55" s="230">
        <v>17000</v>
      </c>
      <c r="BB55" s="228">
        <v>-400</v>
      </c>
      <c r="BC55" s="229">
        <v>-2.35E-2</v>
      </c>
      <c r="BD55" s="230">
        <v>1800</v>
      </c>
      <c r="BE55" s="228">
        <v>400</v>
      </c>
      <c r="BF55" s="230">
        <v>1400</v>
      </c>
      <c r="BG55" s="229">
        <v>3.5</v>
      </c>
      <c r="BH55" s="230">
        <v>702100</v>
      </c>
      <c r="BI55" s="230">
        <v>1688500</v>
      </c>
      <c r="BJ55" s="230">
        <v>-986400</v>
      </c>
      <c r="BK55" s="229">
        <v>-0.58420000000000005</v>
      </c>
      <c r="BL55" s="230">
        <v>349100</v>
      </c>
      <c r="BM55" s="230">
        <v>526600</v>
      </c>
      <c r="BN55" s="230">
        <v>-177500</v>
      </c>
      <c r="BO55" s="229">
        <v>-0.33710000000000001</v>
      </c>
      <c r="BP55" s="230">
        <v>1278100</v>
      </c>
      <c r="BQ55" s="230">
        <v>2705200</v>
      </c>
      <c r="BR55" s="230">
        <v>-1427100</v>
      </c>
      <c r="BS55" s="229">
        <v>-0.52749999999999997</v>
      </c>
      <c r="BT55" s="230">
        <v>201367</v>
      </c>
      <c r="BU55" s="230">
        <v>665091</v>
      </c>
      <c r="BV55" s="230">
        <v>-463724</v>
      </c>
      <c r="BW55" s="229">
        <v>-0.69720000000000004</v>
      </c>
      <c r="BX55" s="230">
        <v>2718000</v>
      </c>
      <c r="BY55" s="230">
        <v>2716500</v>
      </c>
      <c r="BZ55" s="230">
        <v>1500</v>
      </c>
      <c r="CA55" s="229">
        <v>5.9999999999999995E-4</v>
      </c>
      <c r="CB55" s="230">
        <v>2666400</v>
      </c>
      <c r="CC55" s="230">
        <v>2673600</v>
      </c>
      <c r="CD55" s="230">
        <v>-7200</v>
      </c>
      <c r="CE55" s="229">
        <v>-2.7000000000000001E-3</v>
      </c>
      <c r="CF55" s="230">
        <v>49800</v>
      </c>
      <c r="CG55" s="230">
        <v>42500</v>
      </c>
      <c r="CH55" s="230">
        <v>7300</v>
      </c>
      <c r="CI55" s="229">
        <v>0.17180000000000001</v>
      </c>
      <c r="CJ55" s="230">
        <v>1800</v>
      </c>
      <c r="CK55" s="228">
        <v>400</v>
      </c>
      <c r="CL55" s="230">
        <v>1400</v>
      </c>
      <c r="CM55" s="229">
        <v>3.5</v>
      </c>
      <c r="CN55" s="230">
        <v>755300</v>
      </c>
      <c r="CO55" s="230">
        <v>704900</v>
      </c>
      <c r="CP55" s="230">
        <v>50400</v>
      </c>
      <c r="CQ55" s="229">
        <v>7.1499999999999994E-2</v>
      </c>
      <c r="CR55" s="230">
        <v>456100</v>
      </c>
      <c r="CS55" s="230">
        <v>455700</v>
      </c>
      <c r="CT55" s="228">
        <v>400</v>
      </c>
      <c r="CU55" s="229">
        <v>8.9999999999999998E-4</v>
      </c>
      <c r="CV55" s="230">
        <v>3929400</v>
      </c>
      <c r="CW55" s="230">
        <v>3877100</v>
      </c>
      <c r="CX55" s="230">
        <v>52300</v>
      </c>
      <c r="CY55" s="229">
        <v>1.35E-2</v>
      </c>
      <c r="CZ55" s="228">
        <v>23.29</v>
      </c>
      <c r="DA55" s="228">
        <v>22.41</v>
      </c>
      <c r="DB55" s="228">
        <v>0.88</v>
      </c>
      <c r="DC55" s="228">
        <v>0.88</v>
      </c>
      <c r="DD55" s="228">
        <v>31.29</v>
      </c>
      <c r="DE55" s="228">
        <v>31.35</v>
      </c>
      <c r="DF55" s="228">
        <v>-8</v>
      </c>
      <c r="DG55" s="228">
        <v>-0.06</v>
      </c>
      <c r="DH55" s="228">
        <v>23.17</v>
      </c>
      <c r="DI55" s="228">
        <v>22.17</v>
      </c>
      <c r="DJ55" s="228">
        <v>1</v>
      </c>
      <c r="DK55" s="228">
        <v>1</v>
      </c>
      <c r="DL55" s="228">
        <v>23.52</v>
      </c>
      <c r="DM55" s="228">
        <v>23.16</v>
      </c>
      <c r="DN55" s="228">
        <v>0.36</v>
      </c>
      <c r="DO55" s="228">
        <v>0.36</v>
      </c>
      <c r="DP55" s="228">
        <v>0.6</v>
      </c>
      <c r="DQ55" s="228">
        <v>0.65</v>
      </c>
      <c r="DR55" s="228">
        <v>-0.05</v>
      </c>
      <c r="DS55" s="229">
        <v>-7.6899999999999996E-2</v>
      </c>
      <c r="DT55" s="231">
        <v>6000</v>
      </c>
      <c r="DU55" s="231">
        <v>5800</v>
      </c>
      <c r="DV55" s="228">
        <v>0.5</v>
      </c>
      <c r="DW55" s="228">
        <v>0.31</v>
      </c>
      <c r="DX55" s="228">
        <v>0.19</v>
      </c>
      <c r="DY55" s="229">
        <v>0.6129</v>
      </c>
      <c r="DZ55" s="229">
        <v>1.9E-2</v>
      </c>
      <c r="EA55" s="230">
        <v>42900</v>
      </c>
      <c r="EB55" s="229">
        <v>5.7999999999999996E-3</v>
      </c>
      <c r="EC55" s="229">
        <v>1.9E-2</v>
      </c>
      <c r="ED55" s="228">
        <v>28.51</v>
      </c>
      <c r="EE55" s="229">
        <v>4.8999999999999998E-3</v>
      </c>
      <c r="EF55" s="230">
        <v>100774</v>
      </c>
      <c r="EG55" s="230">
        <v>410682</v>
      </c>
      <c r="EH55" s="229">
        <v>-0.75460000000000005</v>
      </c>
      <c r="EI55" s="229">
        <v>0.50039999999999996</v>
      </c>
      <c r="EJ55" s="231">
        <v>43130.7</v>
      </c>
      <c r="EK55" s="231">
        <v>20056.669999999998</v>
      </c>
      <c r="EL55" s="231">
        <v>13317.42</v>
      </c>
      <c r="EM55" s="231">
        <v>8543</v>
      </c>
      <c r="EN55" s="231">
        <v>76504.789999999994</v>
      </c>
      <c r="EO55" s="231">
        <v>161763.41</v>
      </c>
      <c r="EP55" s="231">
        <v>-85258.62</v>
      </c>
      <c r="EQ55" s="229">
        <v>-0.52710000000000001</v>
      </c>
      <c r="ER55" s="231">
        <v>46715</v>
      </c>
      <c r="ES55" s="231">
        <v>26052</v>
      </c>
      <c r="ET55" s="231">
        <v>159103</v>
      </c>
      <c r="EU55" s="231">
        <v>16353614</v>
      </c>
      <c r="EV55" s="231">
        <v>231869</v>
      </c>
      <c r="EW55" s="231">
        <v>229568</v>
      </c>
      <c r="EX55" s="231">
        <v>2301</v>
      </c>
      <c r="EY55" s="229">
        <v>0.01</v>
      </c>
      <c r="EZ55" s="229">
        <v>0.24030000000000001</v>
      </c>
      <c r="FA55" s="227" t="s">
        <v>567</v>
      </c>
      <c r="FB55" s="161">
        <f t="shared" si="0"/>
        <v>51600</v>
      </c>
    </row>
    <row r="56" spans="1:158" ht="17.25" hidden="1" thickBot="1" x14ac:dyDescent="0.3">
      <c r="A56" s="226">
        <v>45936</v>
      </c>
      <c r="B56" s="227" t="s">
        <v>184</v>
      </c>
      <c r="C56" s="227" t="s">
        <v>512</v>
      </c>
      <c r="D56" s="228">
        <v>50</v>
      </c>
      <c r="E56" s="231">
        <v>17118</v>
      </c>
      <c r="F56" s="231">
        <v>16670</v>
      </c>
      <c r="G56" s="228">
        <v>448</v>
      </c>
      <c r="H56" s="229">
        <v>2.69E-2</v>
      </c>
      <c r="I56" s="231">
        <v>17041</v>
      </c>
      <c r="J56" s="231">
        <v>16591</v>
      </c>
      <c r="K56" s="228">
        <v>450</v>
      </c>
      <c r="L56" s="229">
        <v>2.7099999999999999E-2</v>
      </c>
      <c r="M56" s="231">
        <v>17118</v>
      </c>
      <c r="N56" s="231">
        <v>16670</v>
      </c>
      <c r="O56" s="228">
        <v>448</v>
      </c>
      <c r="P56" s="229">
        <v>2.69E-2</v>
      </c>
      <c r="Q56" s="231">
        <v>17213</v>
      </c>
      <c r="R56" s="231">
        <v>16772</v>
      </c>
      <c r="S56" s="228">
        <v>441</v>
      </c>
      <c r="T56" s="229">
        <v>2.63E-2</v>
      </c>
      <c r="U56" s="231">
        <v>17313</v>
      </c>
      <c r="V56" s="231">
        <v>16856</v>
      </c>
      <c r="W56" s="228">
        <v>457</v>
      </c>
      <c r="X56" s="229">
        <v>2.7099999999999999E-2</v>
      </c>
      <c r="Y56" s="228">
        <v>77</v>
      </c>
      <c r="Z56" s="228">
        <v>79</v>
      </c>
      <c r="AA56" s="228">
        <v>-2</v>
      </c>
      <c r="AB56" s="229">
        <v>4.4999999999999997E-3</v>
      </c>
      <c r="AC56" s="228">
        <v>77</v>
      </c>
      <c r="AD56" s="228">
        <v>79</v>
      </c>
      <c r="AE56" s="228">
        <v>-2</v>
      </c>
      <c r="AF56" s="229">
        <v>4.4999999999999997E-3</v>
      </c>
      <c r="AG56" s="228">
        <v>172</v>
      </c>
      <c r="AH56" s="228">
        <v>181</v>
      </c>
      <c r="AI56" s="228">
        <v>-9</v>
      </c>
      <c r="AJ56" s="229">
        <v>1.01E-2</v>
      </c>
      <c r="AK56" s="228">
        <v>272</v>
      </c>
      <c r="AL56" s="228">
        <v>265</v>
      </c>
      <c r="AM56" s="228">
        <v>7</v>
      </c>
      <c r="AN56" s="229">
        <v>1.6E-2</v>
      </c>
      <c r="AO56" s="231">
        <v>16942.560000000001</v>
      </c>
      <c r="AP56" s="231">
        <v>17108.16</v>
      </c>
      <c r="AQ56" s="228">
        <v>0</v>
      </c>
      <c r="AR56" s="230">
        <v>474900</v>
      </c>
      <c r="AS56" s="230">
        <v>219350</v>
      </c>
      <c r="AT56" s="230">
        <v>255550</v>
      </c>
      <c r="AU56" s="229">
        <v>1.165</v>
      </c>
      <c r="AV56" s="230">
        <v>435250</v>
      </c>
      <c r="AW56" s="230">
        <v>205200</v>
      </c>
      <c r="AX56" s="230">
        <v>230050</v>
      </c>
      <c r="AY56" s="229">
        <v>1.1211</v>
      </c>
      <c r="AZ56" s="230">
        <v>36150</v>
      </c>
      <c r="BA56" s="230">
        <v>12850</v>
      </c>
      <c r="BB56" s="230">
        <v>23300</v>
      </c>
      <c r="BC56" s="229">
        <v>1.8131999999999999</v>
      </c>
      <c r="BD56" s="230">
        <v>3500</v>
      </c>
      <c r="BE56" s="230">
        <v>1300</v>
      </c>
      <c r="BF56" s="230">
        <v>2200</v>
      </c>
      <c r="BG56" s="229">
        <v>1.6922999999999999</v>
      </c>
      <c r="BH56" s="230">
        <v>2906300</v>
      </c>
      <c r="BI56" s="230">
        <v>1246350</v>
      </c>
      <c r="BJ56" s="230">
        <v>1659950</v>
      </c>
      <c r="BK56" s="229">
        <v>1.3318000000000001</v>
      </c>
      <c r="BL56" s="230">
        <v>1213250</v>
      </c>
      <c r="BM56" s="230">
        <v>624800</v>
      </c>
      <c r="BN56" s="230">
        <v>588450</v>
      </c>
      <c r="BO56" s="229">
        <v>0.94179999999999997</v>
      </c>
      <c r="BP56" s="230">
        <v>4594450</v>
      </c>
      <c r="BQ56" s="230">
        <v>2090500</v>
      </c>
      <c r="BR56" s="230">
        <v>2503950</v>
      </c>
      <c r="BS56" s="229">
        <v>1.1978</v>
      </c>
      <c r="BT56" s="230">
        <v>227855</v>
      </c>
      <c r="BU56" s="230">
        <v>167426</v>
      </c>
      <c r="BV56" s="230">
        <v>60429</v>
      </c>
      <c r="BW56" s="229">
        <v>0.3609</v>
      </c>
      <c r="BX56" s="230">
        <v>1633650</v>
      </c>
      <c r="BY56" s="230">
        <v>1629400</v>
      </c>
      <c r="BZ56" s="230">
        <v>4250</v>
      </c>
      <c r="CA56" s="229">
        <v>2.5999999999999999E-3</v>
      </c>
      <c r="CB56" s="230">
        <v>1574500</v>
      </c>
      <c r="CC56" s="230">
        <v>1583600</v>
      </c>
      <c r="CD56" s="230">
        <v>-9100</v>
      </c>
      <c r="CE56" s="229">
        <v>-5.7000000000000002E-3</v>
      </c>
      <c r="CF56" s="230">
        <v>56050</v>
      </c>
      <c r="CG56" s="230">
        <v>43350</v>
      </c>
      <c r="CH56" s="230">
        <v>12700</v>
      </c>
      <c r="CI56" s="229">
        <v>0.29299999999999998</v>
      </c>
      <c r="CJ56" s="230">
        <v>3100</v>
      </c>
      <c r="CK56" s="230">
        <v>2450</v>
      </c>
      <c r="CL56" s="228">
        <v>650</v>
      </c>
      <c r="CM56" s="229">
        <v>0.26529999999999998</v>
      </c>
      <c r="CN56" s="230">
        <v>880600</v>
      </c>
      <c r="CO56" s="230">
        <v>1018650</v>
      </c>
      <c r="CP56" s="230">
        <v>-138050</v>
      </c>
      <c r="CQ56" s="229">
        <v>-0.13550000000000001</v>
      </c>
      <c r="CR56" s="230">
        <v>668950</v>
      </c>
      <c r="CS56" s="230">
        <v>629050</v>
      </c>
      <c r="CT56" s="230">
        <v>39900</v>
      </c>
      <c r="CU56" s="229">
        <v>6.3399999999999998E-2</v>
      </c>
      <c r="CV56" s="230">
        <v>3183200</v>
      </c>
      <c r="CW56" s="230">
        <v>3277100</v>
      </c>
      <c r="CX56" s="230">
        <v>-93900</v>
      </c>
      <c r="CY56" s="229">
        <v>-2.87E-2</v>
      </c>
      <c r="CZ56" s="228">
        <v>33.049999999999997</v>
      </c>
      <c r="DA56" s="228">
        <v>33.75</v>
      </c>
      <c r="DB56" s="228">
        <v>-0.7</v>
      </c>
      <c r="DC56" s="228">
        <v>-0.7</v>
      </c>
      <c r="DD56" s="228">
        <v>45.49</v>
      </c>
      <c r="DE56" s="228">
        <v>45.46</v>
      </c>
      <c r="DF56" s="228">
        <v>-12.44</v>
      </c>
      <c r="DG56" s="228">
        <v>0.03</v>
      </c>
      <c r="DH56" s="228">
        <v>32.49</v>
      </c>
      <c r="DI56" s="228">
        <v>33.68</v>
      </c>
      <c r="DJ56" s="228">
        <v>-1.19</v>
      </c>
      <c r="DK56" s="228">
        <v>-1.19</v>
      </c>
      <c r="DL56" s="228">
        <v>34.39</v>
      </c>
      <c r="DM56" s="228">
        <v>33.9</v>
      </c>
      <c r="DN56" s="228">
        <v>0.49</v>
      </c>
      <c r="DO56" s="228">
        <v>0.49</v>
      </c>
      <c r="DP56" s="228">
        <v>0.76</v>
      </c>
      <c r="DQ56" s="228">
        <v>0.62</v>
      </c>
      <c r="DR56" s="228">
        <v>0.14000000000000001</v>
      </c>
      <c r="DS56" s="229">
        <v>0.2258</v>
      </c>
      <c r="DT56" s="231">
        <v>17000</v>
      </c>
      <c r="DU56" s="231">
        <v>17000</v>
      </c>
      <c r="DV56" s="228">
        <v>0.42</v>
      </c>
      <c r="DW56" s="228">
        <v>0.5</v>
      </c>
      <c r="DX56" s="228">
        <v>-0.08</v>
      </c>
      <c r="DY56" s="229">
        <v>-0.16</v>
      </c>
      <c r="DZ56" s="229">
        <v>3.6200000000000003E-2</v>
      </c>
      <c r="EA56" s="230">
        <v>45800</v>
      </c>
      <c r="EB56" s="229">
        <v>5.4999999999999997E-3</v>
      </c>
      <c r="EC56" s="229">
        <v>3.6200000000000003E-2</v>
      </c>
      <c r="ED56" s="228">
        <v>165.6</v>
      </c>
      <c r="EE56" s="229">
        <v>9.7999999999999997E-3</v>
      </c>
      <c r="EF56" s="230">
        <v>84375</v>
      </c>
      <c r="EG56" s="230">
        <v>78137</v>
      </c>
      <c r="EH56" s="229">
        <v>7.9799999999999996E-2</v>
      </c>
      <c r="EI56" s="229">
        <v>0.37030000000000002</v>
      </c>
      <c r="EJ56" s="231">
        <v>526118.18000000005</v>
      </c>
      <c r="EK56" s="231">
        <v>193784.48</v>
      </c>
      <c r="EL56" s="231">
        <v>80526.710000000006</v>
      </c>
      <c r="EM56" s="231">
        <v>17190</v>
      </c>
      <c r="EN56" s="231">
        <v>800429.37</v>
      </c>
      <c r="EO56" s="231">
        <v>358605.68</v>
      </c>
      <c r="EP56" s="231">
        <v>441823.69</v>
      </c>
      <c r="EQ56" s="229">
        <v>1.2321</v>
      </c>
      <c r="ER56" s="231">
        <v>159450</v>
      </c>
      <c r="ES56" s="231">
        <v>107070</v>
      </c>
      <c r="ET56" s="231">
        <v>279707</v>
      </c>
      <c r="EU56" s="231">
        <v>6445442</v>
      </c>
      <c r="EV56" s="231">
        <v>546227</v>
      </c>
      <c r="EW56" s="231">
        <v>555148</v>
      </c>
      <c r="EX56" s="231">
        <v>-8921</v>
      </c>
      <c r="EY56" s="229">
        <v>-1.61E-2</v>
      </c>
      <c r="EZ56" s="229">
        <v>0.49390000000000001</v>
      </c>
      <c r="FA56" s="227" t="s">
        <v>555</v>
      </c>
      <c r="FB56" s="161">
        <f t="shared" si="0"/>
        <v>59150</v>
      </c>
    </row>
    <row r="57" spans="1:158" ht="17.25" hidden="1" thickBot="1" x14ac:dyDescent="0.3">
      <c r="A57" s="226">
        <v>45936</v>
      </c>
      <c r="B57" s="227" t="s">
        <v>206</v>
      </c>
      <c r="C57" s="227" t="s">
        <v>207</v>
      </c>
      <c r="D57" s="228">
        <v>825</v>
      </c>
      <c r="E57" s="228">
        <v>737.65</v>
      </c>
      <c r="F57" s="228">
        <v>731.85</v>
      </c>
      <c r="G57" s="228">
        <v>5.8</v>
      </c>
      <c r="H57" s="229">
        <v>7.9000000000000008E-3</v>
      </c>
      <c r="I57" s="228">
        <v>735.25</v>
      </c>
      <c r="J57" s="228">
        <v>729.2</v>
      </c>
      <c r="K57" s="228">
        <v>6.05</v>
      </c>
      <c r="L57" s="229">
        <v>8.3000000000000001E-3</v>
      </c>
      <c r="M57" s="228">
        <v>737.65</v>
      </c>
      <c r="N57" s="228">
        <v>731.85</v>
      </c>
      <c r="O57" s="228">
        <v>5.8</v>
      </c>
      <c r="P57" s="229">
        <v>7.9000000000000008E-3</v>
      </c>
      <c r="Q57" s="228">
        <v>741.9</v>
      </c>
      <c r="R57" s="228">
        <v>735.8</v>
      </c>
      <c r="S57" s="228">
        <v>6.1</v>
      </c>
      <c r="T57" s="229">
        <v>8.3000000000000001E-3</v>
      </c>
      <c r="U57" s="228">
        <v>746.35</v>
      </c>
      <c r="V57" s="228">
        <v>739.4</v>
      </c>
      <c r="W57" s="228">
        <v>6.95</v>
      </c>
      <c r="X57" s="229">
        <v>9.4000000000000004E-3</v>
      </c>
      <c r="Y57" s="228">
        <v>2.4</v>
      </c>
      <c r="Z57" s="228">
        <v>2.65</v>
      </c>
      <c r="AA57" s="228">
        <v>-0.25</v>
      </c>
      <c r="AB57" s="229">
        <v>3.3E-3</v>
      </c>
      <c r="AC57" s="228">
        <v>2.4</v>
      </c>
      <c r="AD57" s="228">
        <v>2.65</v>
      </c>
      <c r="AE57" s="228">
        <v>-0.25</v>
      </c>
      <c r="AF57" s="229">
        <v>3.3E-3</v>
      </c>
      <c r="AG57" s="228">
        <v>6.65</v>
      </c>
      <c r="AH57" s="228">
        <v>6.6</v>
      </c>
      <c r="AI57" s="228">
        <v>0.05</v>
      </c>
      <c r="AJ57" s="229">
        <v>8.9999999999999993E-3</v>
      </c>
      <c r="AK57" s="228">
        <v>11.1</v>
      </c>
      <c r="AL57" s="228">
        <v>10.199999999999999</v>
      </c>
      <c r="AM57" s="228">
        <v>0.9</v>
      </c>
      <c r="AN57" s="229">
        <v>1.5100000000000001E-2</v>
      </c>
      <c r="AO57" s="228">
        <v>733.13</v>
      </c>
      <c r="AP57" s="228">
        <v>736.45</v>
      </c>
      <c r="AQ57" s="228">
        <v>0</v>
      </c>
      <c r="AR57" s="230">
        <v>4131600</v>
      </c>
      <c r="AS57" s="230">
        <v>5869050</v>
      </c>
      <c r="AT57" s="230">
        <v>-1737450</v>
      </c>
      <c r="AU57" s="229">
        <v>-0.29599999999999999</v>
      </c>
      <c r="AV57" s="230">
        <v>3898950</v>
      </c>
      <c r="AW57" s="230">
        <v>5592675</v>
      </c>
      <c r="AX57" s="230">
        <v>-1693725</v>
      </c>
      <c r="AY57" s="229">
        <v>-0.30280000000000001</v>
      </c>
      <c r="AZ57" s="230">
        <v>194700</v>
      </c>
      <c r="BA57" s="230">
        <v>253275</v>
      </c>
      <c r="BB57" s="230">
        <v>-58575</v>
      </c>
      <c r="BC57" s="229">
        <v>-0.23130000000000001</v>
      </c>
      <c r="BD57" s="230">
        <v>37950</v>
      </c>
      <c r="BE57" s="230">
        <v>23100</v>
      </c>
      <c r="BF57" s="230">
        <v>14850</v>
      </c>
      <c r="BG57" s="229">
        <v>0.64290000000000003</v>
      </c>
      <c r="BH57" s="230">
        <v>14203200</v>
      </c>
      <c r="BI57" s="230">
        <v>14217225</v>
      </c>
      <c r="BJ57" s="230">
        <v>-14025</v>
      </c>
      <c r="BK57" s="229">
        <v>-1E-3</v>
      </c>
      <c r="BL57" s="230">
        <v>4228125</v>
      </c>
      <c r="BM57" s="230">
        <v>4385700</v>
      </c>
      <c r="BN57" s="230">
        <v>-157575</v>
      </c>
      <c r="BO57" s="229">
        <v>-3.5900000000000001E-2</v>
      </c>
      <c r="BP57" s="230">
        <v>22562925</v>
      </c>
      <c r="BQ57" s="230">
        <v>24471975</v>
      </c>
      <c r="BR57" s="230">
        <v>-1909050</v>
      </c>
      <c r="BS57" s="229">
        <v>-7.8E-2</v>
      </c>
      <c r="BT57" s="230">
        <v>1937889</v>
      </c>
      <c r="BU57" s="230">
        <v>3401092</v>
      </c>
      <c r="BV57" s="230">
        <v>-1463203</v>
      </c>
      <c r="BW57" s="229">
        <v>-0.43020000000000003</v>
      </c>
      <c r="BX57" s="230">
        <v>43782750</v>
      </c>
      <c r="BY57" s="230">
        <v>43976625</v>
      </c>
      <c r="BZ57" s="230">
        <v>-193875</v>
      </c>
      <c r="CA57" s="229">
        <v>-4.4000000000000003E-3</v>
      </c>
      <c r="CB57" s="230">
        <v>42471000</v>
      </c>
      <c r="CC57" s="230">
        <v>42706950</v>
      </c>
      <c r="CD57" s="230">
        <v>-235950</v>
      </c>
      <c r="CE57" s="229">
        <v>-5.4999999999999997E-3</v>
      </c>
      <c r="CF57" s="230">
        <v>1264725</v>
      </c>
      <c r="CG57" s="230">
        <v>1238325</v>
      </c>
      <c r="CH57" s="230">
        <v>26400</v>
      </c>
      <c r="CI57" s="229">
        <v>2.1299999999999999E-2</v>
      </c>
      <c r="CJ57" s="230">
        <v>47025</v>
      </c>
      <c r="CK57" s="230">
        <v>31350</v>
      </c>
      <c r="CL57" s="230">
        <v>15675</v>
      </c>
      <c r="CM57" s="229">
        <v>0.5</v>
      </c>
      <c r="CN57" s="230">
        <v>15065325</v>
      </c>
      <c r="CO57" s="230">
        <v>14366550</v>
      </c>
      <c r="CP57" s="230">
        <v>698775</v>
      </c>
      <c r="CQ57" s="229">
        <v>4.8599999999999997E-2</v>
      </c>
      <c r="CR57" s="230">
        <v>9993225</v>
      </c>
      <c r="CS57" s="230">
        <v>9777900</v>
      </c>
      <c r="CT57" s="230">
        <v>215325</v>
      </c>
      <c r="CU57" s="229">
        <v>2.1999999999999999E-2</v>
      </c>
      <c r="CV57" s="230">
        <v>68841300</v>
      </c>
      <c r="CW57" s="230">
        <v>68121075</v>
      </c>
      <c r="CX57" s="230">
        <v>720225</v>
      </c>
      <c r="CY57" s="229">
        <v>1.06E-2</v>
      </c>
      <c r="CZ57" s="228">
        <v>27.19</v>
      </c>
      <c r="DA57" s="228">
        <v>26.73</v>
      </c>
      <c r="DB57" s="228">
        <v>0.46</v>
      </c>
      <c r="DC57" s="228">
        <v>0.46</v>
      </c>
      <c r="DD57" s="228">
        <v>37.42</v>
      </c>
      <c r="DE57" s="228">
        <v>37.49</v>
      </c>
      <c r="DF57" s="228">
        <v>-10.23</v>
      </c>
      <c r="DG57" s="228">
        <v>-7.0000000000000007E-2</v>
      </c>
      <c r="DH57" s="228">
        <v>27.02</v>
      </c>
      <c r="DI57" s="228">
        <v>26.69</v>
      </c>
      <c r="DJ57" s="228">
        <v>0.33</v>
      </c>
      <c r="DK57" s="228">
        <v>0.33</v>
      </c>
      <c r="DL57" s="228">
        <v>27.77</v>
      </c>
      <c r="DM57" s="228">
        <v>26.87</v>
      </c>
      <c r="DN57" s="228">
        <v>0.9</v>
      </c>
      <c r="DO57" s="228">
        <v>0.9</v>
      </c>
      <c r="DP57" s="228">
        <v>0.66</v>
      </c>
      <c r="DQ57" s="228">
        <v>0.68</v>
      </c>
      <c r="DR57" s="228">
        <v>-0.02</v>
      </c>
      <c r="DS57" s="229">
        <v>-2.9399999999999999E-2</v>
      </c>
      <c r="DT57" s="228">
        <v>800</v>
      </c>
      <c r="DU57" s="228">
        <v>720</v>
      </c>
      <c r="DV57" s="228">
        <v>0.3</v>
      </c>
      <c r="DW57" s="228">
        <v>0.31</v>
      </c>
      <c r="DX57" s="228">
        <v>-0.01</v>
      </c>
      <c r="DY57" s="229">
        <v>-3.2300000000000002E-2</v>
      </c>
      <c r="DZ57" s="229">
        <v>0.03</v>
      </c>
      <c r="EA57" s="230">
        <v>1269675</v>
      </c>
      <c r="EB57" s="229">
        <v>5.7999999999999996E-3</v>
      </c>
      <c r="EC57" s="229">
        <v>0.03</v>
      </c>
      <c r="ED57" s="228">
        <v>3.32</v>
      </c>
      <c r="EE57" s="229">
        <v>4.4999999999999997E-3</v>
      </c>
      <c r="EF57" s="230">
        <v>1025172</v>
      </c>
      <c r="EG57" s="230">
        <v>1883090</v>
      </c>
      <c r="EH57" s="229">
        <v>-0.4556</v>
      </c>
      <c r="EI57" s="229">
        <v>0.52900000000000003</v>
      </c>
      <c r="EJ57" s="231">
        <v>109001.96</v>
      </c>
      <c r="EK57" s="231">
        <v>30531.97</v>
      </c>
      <c r="EL57" s="231">
        <v>30299.64</v>
      </c>
      <c r="EM57" s="231">
        <v>16755</v>
      </c>
      <c r="EN57" s="231">
        <v>169833.57</v>
      </c>
      <c r="EO57" s="231">
        <v>183364.57</v>
      </c>
      <c r="EP57" s="231">
        <v>-13531</v>
      </c>
      <c r="EQ57" s="229">
        <v>-7.3800000000000004E-2</v>
      </c>
      <c r="ER57" s="231">
        <v>115340</v>
      </c>
      <c r="ES57" s="231">
        <v>72405</v>
      </c>
      <c r="ET57" s="231">
        <v>323021</v>
      </c>
      <c r="EU57" s="231">
        <v>83667734</v>
      </c>
      <c r="EV57" s="231">
        <v>510767</v>
      </c>
      <c r="EW57" s="231">
        <v>502637</v>
      </c>
      <c r="EX57" s="231">
        <v>8130</v>
      </c>
      <c r="EY57" s="229">
        <v>1.6199999999999999E-2</v>
      </c>
      <c r="EZ57" s="229">
        <v>0.82279999999999998</v>
      </c>
      <c r="FA57" s="227" t="s">
        <v>556</v>
      </c>
      <c r="FB57" s="161">
        <f t="shared" si="0"/>
        <v>1311750</v>
      </c>
    </row>
    <row r="58" spans="1:158" ht="17.25" hidden="1" thickBot="1" x14ac:dyDescent="0.3">
      <c r="A58" s="226">
        <v>45936</v>
      </c>
      <c r="B58" s="227" t="s">
        <v>616</v>
      </c>
      <c r="C58" s="227" t="s">
        <v>584</v>
      </c>
      <c r="D58" s="228">
        <v>150</v>
      </c>
      <c r="E58" s="231">
        <v>4312.7</v>
      </c>
      <c r="F58" s="231">
        <v>4410.8999999999996</v>
      </c>
      <c r="G58" s="228">
        <v>-98.2</v>
      </c>
      <c r="H58" s="229">
        <v>-2.23E-2</v>
      </c>
      <c r="I58" s="231">
        <v>4301.6000000000004</v>
      </c>
      <c r="J58" s="231">
        <v>4418.3999999999996</v>
      </c>
      <c r="K58" s="228">
        <v>-116.8</v>
      </c>
      <c r="L58" s="229">
        <v>-2.64E-2</v>
      </c>
      <c r="M58" s="231">
        <v>4312.7</v>
      </c>
      <c r="N58" s="231">
        <v>4410.8999999999996</v>
      </c>
      <c r="O58" s="228">
        <v>-98.2</v>
      </c>
      <c r="P58" s="229">
        <v>-2.23E-2</v>
      </c>
      <c r="Q58" s="231">
        <v>4280.2</v>
      </c>
      <c r="R58" s="231">
        <v>4372.2</v>
      </c>
      <c r="S58" s="228">
        <v>-92</v>
      </c>
      <c r="T58" s="229">
        <v>-2.1000000000000001E-2</v>
      </c>
      <c r="U58" s="231">
        <v>4261.6000000000004</v>
      </c>
      <c r="V58" s="231">
        <v>4338</v>
      </c>
      <c r="W58" s="228">
        <v>-76.400000000000006</v>
      </c>
      <c r="X58" s="229">
        <v>-1.7600000000000001E-2</v>
      </c>
      <c r="Y58" s="228">
        <v>11.1</v>
      </c>
      <c r="Z58" s="228">
        <v>-7.5</v>
      </c>
      <c r="AA58" s="228">
        <v>18.600000000000001</v>
      </c>
      <c r="AB58" s="229">
        <v>2.5999999999999999E-3</v>
      </c>
      <c r="AC58" s="228">
        <v>11.1</v>
      </c>
      <c r="AD58" s="228">
        <v>-7.5</v>
      </c>
      <c r="AE58" s="228">
        <v>18.600000000000001</v>
      </c>
      <c r="AF58" s="229">
        <v>2.5999999999999999E-3</v>
      </c>
      <c r="AG58" s="228">
        <v>-21.4</v>
      </c>
      <c r="AH58" s="228">
        <v>-46.2</v>
      </c>
      <c r="AI58" s="228">
        <v>24.8</v>
      </c>
      <c r="AJ58" s="229">
        <v>-5.0000000000000001E-3</v>
      </c>
      <c r="AK58" s="228">
        <v>-40</v>
      </c>
      <c r="AL58" s="228">
        <v>-80.400000000000006</v>
      </c>
      <c r="AM58" s="228">
        <v>40.4</v>
      </c>
      <c r="AN58" s="229">
        <v>-9.2999999999999992E-3</v>
      </c>
      <c r="AO58" s="231">
        <v>4320.57</v>
      </c>
      <c r="AP58" s="231">
        <v>4282.3</v>
      </c>
      <c r="AQ58" s="228">
        <v>0</v>
      </c>
      <c r="AR58" s="230">
        <v>1449450</v>
      </c>
      <c r="AS58" s="230">
        <v>795300</v>
      </c>
      <c r="AT58" s="230">
        <v>654150</v>
      </c>
      <c r="AU58" s="229">
        <v>0.82250000000000001</v>
      </c>
      <c r="AV58" s="230">
        <v>1377300</v>
      </c>
      <c r="AW58" s="230">
        <v>762750</v>
      </c>
      <c r="AX58" s="230">
        <v>614550</v>
      </c>
      <c r="AY58" s="229">
        <v>0.80569999999999997</v>
      </c>
      <c r="AZ58" s="230">
        <v>63450</v>
      </c>
      <c r="BA58" s="230">
        <v>29400</v>
      </c>
      <c r="BB58" s="230">
        <v>34050</v>
      </c>
      <c r="BC58" s="229">
        <v>1.1581999999999999</v>
      </c>
      <c r="BD58" s="230">
        <v>8700</v>
      </c>
      <c r="BE58" s="230">
        <v>3150</v>
      </c>
      <c r="BF58" s="230">
        <v>5550</v>
      </c>
      <c r="BG58" s="229">
        <v>1.7619</v>
      </c>
      <c r="BH58" s="230">
        <v>5253300</v>
      </c>
      <c r="BI58" s="230">
        <v>1573050</v>
      </c>
      <c r="BJ58" s="230">
        <v>3680250</v>
      </c>
      <c r="BK58" s="229">
        <v>2.3395999999999999</v>
      </c>
      <c r="BL58" s="230">
        <v>3279600</v>
      </c>
      <c r="BM58" s="230">
        <v>962550</v>
      </c>
      <c r="BN58" s="230">
        <v>2317050</v>
      </c>
      <c r="BO58" s="229">
        <v>2.4072</v>
      </c>
      <c r="BP58" s="230">
        <v>9982350</v>
      </c>
      <c r="BQ58" s="230">
        <v>3330900</v>
      </c>
      <c r="BR58" s="230">
        <v>6651450</v>
      </c>
      <c r="BS58" s="229">
        <v>1.9968999999999999</v>
      </c>
      <c r="BT58" s="230">
        <v>1214417</v>
      </c>
      <c r="BU58" s="230">
        <v>485036</v>
      </c>
      <c r="BV58" s="230">
        <v>729381</v>
      </c>
      <c r="BW58" s="229">
        <v>1.5038</v>
      </c>
      <c r="BX58" s="230">
        <v>5939850</v>
      </c>
      <c r="BY58" s="230">
        <v>5933550</v>
      </c>
      <c r="BZ58" s="230">
        <v>6300</v>
      </c>
      <c r="CA58" s="229">
        <v>1.1000000000000001E-3</v>
      </c>
      <c r="CB58" s="230">
        <v>5856300</v>
      </c>
      <c r="CC58" s="230">
        <v>5879400</v>
      </c>
      <c r="CD58" s="230">
        <v>-23100</v>
      </c>
      <c r="CE58" s="229">
        <v>-3.8999999999999998E-3</v>
      </c>
      <c r="CF58" s="230">
        <v>75150</v>
      </c>
      <c r="CG58" s="230">
        <v>51000</v>
      </c>
      <c r="CH58" s="230">
        <v>24150</v>
      </c>
      <c r="CI58" s="229">
        <v>0.47349999999999998</v>
      </c>
      <c r="CJ58" s="230">
        <v>8400</v>
      </c>
      <c r="CK58" s="230">
        <v>3150</v>
      </c>
      <c r="CL58" s="230">
        <v>5250</v>
      </c>
      <c r="CM58" s="229">
        <v>1.6667000000000001</v>
      </c>
      <c r="CN58" s="230">
        <v>1690650</v>
      </c>
      <c r="CO58" s="230">
        <v>1103400</v>
      </c>
      <c r="CP58" s="230">
        <v>587250</v>
      </c>
      <c r="CQ58" s="229">
        <v>0.53220000000000001</v>
      </c>
      <c r="CR58" s="230">
        <v>1044150</v>
      </c>
      <c r="CS58" s="230">
        <v>739200</v>
      </c>
      <c r="CT58" s="230">
        <v>304950</v>
      </c>
      <c r="CU58" s="229">
        <v>0.41249999999999998</v>
      </c>
      <c r="CV58" s="230">
        <v>8674650</v>
      </c>
      <c r="CW58" s="230">
        <v>7776150</v>
      </c>
      <c r="CX58" s="230">
        <v>898500</v>
      </c>
      <c r="CY58" s="229">
        <v>0.11550000000000001</v>
      </c>
      <c r="CZ58" s="228">
        <v>32.43</v>
      </c>
      <c r="DA58" s="228">
        <v>31.87</v>
      </c>
      <c r="DB58" s="228">
        <v>0.56000000000000005</v>
      </c>
      <c r="DC58" s="228">
        <v>0.56000000000000005</v>
      </c>
      <c r="DD58" s="228">
        <v>33.19</v>
      </c>
      <c r="DE58" s="228">
        <v>33.07</v>
      </c>
      <c r="DF58" s="228">
        <v>-0.76</v>
      </c>
      <c r="DG58" s="228">
        <v>0.12</v>
      </c>
      <c r="DH58" s="228">
        <v>32.74</v>
      </c>
      <c r="DI58" s="228">
        <v>31.98</v>
      </c>
      <c r="DJ58" s="228">
        <v>0.76</v>
      </c>
      <c r="DK58" s="228">
        <v>0.76</v>
      </c>
      <c r="DL58" s="228">
        <v>31.92</v>
      </c>
      <c r="DM58" s="228">
        <v>31.68</v>
      </c>
      <c r="DN58" s="228">
        <v>0.24</v>
      </c>
      <c r="DO58" s="228">
        <v>0.24</v>
      </c>
      <c r="DP58" s="228">
        <v>0.62</v>
      </c>
      <c r="DQ58" s="228">
        <v>0.67</v>
      </c>
      <c r="DR58" s="228">
        <v>-0.05</v>
      </c>
      <c r="DS58" s="229">
        <v>-7.46E-2</v>
      </c>
      <c r="DT58" s="231">
        <v>4700</v>
      </c>
      <c r="DU58" s="231">
        <v>4000</v>
      </c>
      <c r="DV58" s="228">
        <v>0.62</v>
      </c>
      <c r="DW58" s="228">
        <v>0.61</v>
      </c>
      <c r="DX58" s="228">
        <v>0.01</v>
      </c>
      <c r="DY58" s="229">
        <v>1.6400000000000001E-2</v>
      </c>
      <c r="DZ58" s="229">
        <v>1.41E-2</v>
      </c>
      <c r="EA58" s="230">
        <v>54150</v>
      </c>
      <c r="EB58" s="229">
        <v>-7.4999999999999997E-3</v>
      </c>
      <c r="EC58" s="229">
        <v>1.41E-2</v>
      </c>
      <c r="ED58" s="228">
        <v>-38.270000000000003</v>
      </c>
      <c r="EE58" s="229">
        <v>-8.8999999999999999E-3</v>
      </c>
      <c r="EF58" s="230">
        <v>678249</v>
      </c>
      <c r="EG58" s="230">
        <v>285424</v>
      </c>
      <c r="EH58" s="229">
        <v>1.3763000000000001</v>
      </c>
      <c r="EI58" s="229">
        <v>0.5585</v>
      </c>
      <c r="EJ58" s="231">
        <v>241921.28</v>
      </c>
      <c r="EK58" s="231">
        <v>140590.16</v>
      </c>
      <c r="EL58" s="231">
        <v>62595.32</v>
      </c>
      <c r="EM58" s="231">
        <v>11840</v>
      </c>
      <c r="EN58" s="231">
        <v>445106.76</v>
      </c>
      <c r="EO58" s="231">
        <v>150800.99</v>
      </c>
      <c r="EP58" s="231">
        <v>294305.77</v>
      </c>
      <c r="EQ58" s="229">
        <v>1.9516</v>
      </c>
      <c r="ER58" s="231">
        <v>78600</v>
      </c>
      <c r="ES58" s="231">
        <v>43728</v>
      </c>
      <c r="ET58" s="231">
        <v>256139</v>
      </c>
      <c r="EU58" s="231">
        <v>22136392</v>
      </c>
      <c r="EV58" s="231">
        <v>378467</v>
      </c>
      <c r="EW58" s="231">
        <v>345199</v>
      </c>
      <c r="EX58" s="231">
        <v>33268</v>
      </c>
      <c r="EY58" s="229">
        <v>9.64E-2</v>
      </c>
      <c r="EZ58" s="229">
        <v>0.39190000000000003</v>
      </c>
      <c r="FA58" s="227" t="s">
        <v>567</v>
      </c>
      <c r="FB58" s="161">
        <f t="shared" si="0"/>
        <v>83550</v>
      </c>
    </row>
    <row r="59" spans="1:158" ht="17.25" hidden="1" thickBot="1" x14ac:dyDescent="0.3">
      <c r="A59" s="226">
        <v>45936</v>
      </c>
      <c r="B59" s="227" t="s">
        <v>170</v>
      </c>
      <c r="C59" s="227" t="s">
        <v>208</v>
      </c>
      <c r="D59" s="228">
        <v>625</v>
      </c>
      <c r="E59" s="231">
        <v>1255</v>
      </c>
      <c r="F59" s="231">
        <v>1254.7</v>
      </c>
      <c r="G59" s="228">
        <v>0.3</v>
      </c>
      <c r="H59" s="229">
        <v>2.0000000000000001E-4</v>
      </c>
      <c r="I59" s="231">
        <v>1248.5999999999999</v>
      </c>
      <c r="J59" s="231">
        <v>1248.0999999999999</v>
      </c>
      <c r="K59" s="228">
        <v>0.5</v>
      </c>
      <c r="L59" s="229">
        <v>4.0000000000000002E-4</v>
      </c>
      <c r="M59" s="231">
        <v>1255</v>
      </c>
      <c r="N59" s="231">
        <v>1254.7</v>
      </c>
      <c r="O59" s="228">
        <v>0.3</v>
      </c>
      <c r="P59" s="229">
        <v>2.0000000000000001E-4</v>
      </c>
      <c r="Q59" s="231">
        <v>1257.5</v>
      </c>
      <c r="R59" s="231">
        <v>1253.8</v>
      </c>
      <c r="S59" s="228">
        <v>3.7</v>
      </c>
      <c r="T59" s="229">
        <v>3.0000000000000001E-3</v>
      </c>
      <c r="U59" s="231">
        <v>1254.4000000000001</v>
      </c>
      <c r="V59" s="231">
        <v>1255</v>
      </c>
      <c r="W59" s="228">
        <v>-0.6</v>
      </c>
      <c r="X59" s="229">
        <v>-5.0000000000000001E-4</v>
      </c>
      <c r="Y59" s="228">
        <v>6.4</v>
      </c>
      <c r="Z59" s="228">
        <v>6.6</v>
      </c>
      <c r="AA59" s="228">
        <v>-0.2</v>
      </c>
      <c r="AB59" s="229">
        <v>5.1000000000000004E-3</v>
      </c>
      <c r="AC59" s="228">
        <v>6.4</v>
      </c>
      <c r="AD59" s="228">
        <v>6.6</v>
      </c>
      <c r="AE59" s="228">
        <v>-0.2</v>
      </c>
      <c r="AF59" s="229">
        <v>5.1000000000000004E-3</v>
      </c>
      <c r="AG59" s="228">
        <v>8.9</v>
      </c>
      <c r="AH59" s="228">
        <v>5.7</v>
      </c>
      <c r="AI59" s="228">
        <v>3.2</v>
      </c>
      <c r="AJ59" s="229">
        <v>7.1000000000000004E-3</v>
      </c>
      <c r="AK59" s="228">
        <v>5.8</v>
      </c>
      <c r="AL59" s="228">
        <v>6.9</v>
      </c>
      <c r="AM59" s="228">
        <v>-1.1000000000000001</v>
      </c>
      <c r="AN59" s="229">
        <v>4.5999999999999999E-3</v>
      </c>
      <c r="AO59" s="231">
        <v>1248.8900000000001</v>
      </c>
      <c r="AP59" s="231">
        <v>1251.67</v>
      </c>
      <c r="AQ59" s="228">
        <v>0</v>
      </c>
      <c r="AR59" s="230">
        <v>1792500</v>
      </c>
      <c r="AS59" s="230">
        <v>1897500</v>
      </c>
      <c r="AT59" s="230">
        <v>-105000</v>
      </c>
      <c r="AU59" s="229">
        <v>-5.5300000000000002E-2</v>
      </c>
      <c r="AV59" s="230">
        <v>1688125</v>
      </c>
      <c r="AW59" s="230">
        <v>1859375</v>
      </c>
      <c r="AX59" s="230">
        <v>-171250</v>
      </c>
      <c r="AY59" s="229">
        <v>-9.2100000000000001E-2</v>
      </c>
      <c r="AZ59" s="230">
        <v>102500</v>
      </c>
      <c r="BA59" s="230">
        <v>35625</v>
      </c>
      <c r="BB59" s="230">
        <v>66875</v>
      </c>
      <c r="BC59" s="229">
        <v>1.8772</v>
      </c>
      <c r="BD59" s="230">
        <v>1875</v>
      </c>
      <c r="BE59" s="230">
        <v>2500</v>
      </c>
      <c r="BF59" s="228">
        <v>-625</v>
      </c>
      <c r="BG59" s="229">
        <v>-0.25</v>
      </c>
      <c r="BH59" s="230">
        <v>3418750</v>
      </c>
      <c r="BI59" s="230">
        <v>3388750</v>
      </c>
      <c r="BJ59" s="230">
        <v>30000</v>
      </c>
      <c r="BK59" s="229">
        <v>8.8999999999999999E-3</v>
      </c>
      <c r="BL59" s="230">
        <v>1492500</v>
      </c>
      <c r="BM59" s="230">
        <v>1708125</v>
      </c>
      <c r="BN59" s="230">
        <v>-215625</v>
      </c>
      <c r="BO59" s="229">
        <v>-0.12620000000000001</v>
      </c>
      <c r="BP59" s="230">
        <v>6703750</v>
      </c>
      <c r="BQ59" s="230">
        <v>6994375</v>
      </c>
      <c r="BR59" s="230">
        <v>-290625</v>
      </c>
      <c r="BS59" s="229">
        <v>-4.1599999999999998E-2</v>
      </c>
      <c r="BT59" s="230">
        <v>1930259</v>
      </c>
      <c r="BU59" s="230">
        <v>2893183</v>
      </c>
      <c r="BV59" s="230">
        <v>-962924</v>
      </c>
      <c r="BW59" s="229">
        <v>-0.33279999999999998</v>
      </c>
      <c r="BX59" s="230">
        <v>12178125</v>
      </c>
      <c r="BY59" s="230">
        <v>12068125</v>
      </c>
      <c r="BZ59" s="230">
        <v>110000</v>
      </c>
      <c r="CA59" s="229">
        <v>9.1000000000000004E-3</v>
      </c>
      <c r="CB59" s="230">
        <v>12016875</v>
      </c>
      <c r="CC59" s="230">
        <v>11933125</v>
      </c>
      <c r="CD59" s="230">
        <v>83750</v>
      </c>
      <c r="CE59" s="229">
        <v>7.0000000000000001E-3</v>
      </c>
      <c r="CF59" s="230">
        <v>156250</v>
      </c>
      <c r="CG59" s="230">
        <v>131875</v>
      </c>
      <c r="CH59" s="230">
        <v>24375</v>
      </c>
      <c r="CI59" s="229">
        <v>0.18479999999999999</v>
      </c>
      <c r="CJ59" s="230">
        <v>5000</v>
      </c>
      <c r="CK59" s="230">
        <v>3125</v>
      </c>
      <c r="CL59" s="230">
        <v>1875</v>
      </c>
      <c r="CM59" s="229">
        <v>0.6</v>
      </c>
      <c r="CN59" s="230">
        <v>3910000</v>
      </c>
      <c r="CO59" s="230">
        <v>3184375</v>
      </c>
      <c r="CP59" s="230">
        <v>725625</v>
      </c>
      <c r="CQ59" s="229">
        <v>0.22789999999999999</v>
      </c>
      <c r="CR59" s="230">
        <v>2533125</v>
      </c>
      <c r="CS59" s="230">
        <v>2448125</v>
      </c>
      <c r="CT59" s="230">
        <v>85000</v>
      </c>
      <c r="CU59" s="229">
        <v>3.4700000000000002E-2</v>
      </c>
      <c r="CV59" s="230">
        <v>18621250</v>
      </c>
      <c r="CW59" s="230">
        <v>17700625</v>
      </c>
      <c r="CX59" s="230">
        <v>920625</v>
      </c>
      <c r="CY59" s="229">
        <v>5.1999999999999998E-2</v>
      </c>
      <c r="CZ59" s="228">
        <v>22.33</v>
      </c>
      <c r="DA59" s="228">
        <v>23.01</v>
      </c>
      <c r="DB59" s="228">
        <v>-0.68</v>
      </c>
      <c r="DC59" s="228">
        <v>-0.68</v>
      </c>
      <c r="DD59" s="228">
        <v>24.94</v>
      </c>
      <c r="DE59" s="228">
        <v>25</v>
      </c>
      <c r="DF59" s="228">
        <v>-2.61</v>
      </c>
      <c r="DG59" s="228">
        <v>-0.06</v>
      </c>
      <c r="DH59" s="228">
        <v>21.72</v>
      </c>
      <c r="DI59" s="228">
        <v>22.4</v>
      </c>
      <c r="DJ59" s="228">
        <v>-0.68</v>
      </c>
      <c r="DK59" s="228">
        <v>-0.68</v>
      </c>
      <c r="DL59" s="228">
        <v>23.73</v>
      </c>
      <c r="DM59" s="228">
        <v>24.23</v>
      </c>
      <c r="DN59" s="228">
        <v>-0.5</v>
      </c>
      <c r="DO59" s="228">
        <v>-0.5</v>
      </c>
      <c r="DP59" s="228">
        <v>0.65</v>
      </c>
      <c r="DQ59" s="228">
        <v>0.77</v>
      </c>
      <c r="DR59" s="228">
        <v>-0.12</v>
      </c>
      <c r="DS59" s="229">
        <v>-0.15579999999999999</v>
      </c>
      <c r="DT59" s="231">
        <v>1320</v>
      </c>
      <c r="DU59" s="231">
        <v>1200</v>
      </c>
      <c r="DV59" s="228">
        <v>0.44</v>
      </c>
      <c r="DW59" s="228">
        <v>0.5</v>
      </c>
      <c r="DX59" s="228">
        <v>-0.06</v>
      </c>
      <c r="DY59" s="229">
        <v>-0.12</v>
      </c>
      <c r="DZ59" s="229">
        <v>1.32E-2</v>
      </c>
      <c r="EA59" s="230">
        <v>135000</v>
      </c>
      <c r="EB59" s="229">
        <v>2E-3</v>
      </c>
      <c r="EC59" s="229">
        <v>1.32E-2</v>
      </c>
      <c r="ED59" s="228">
        <v>2.78</v>
      </c>
      <c r="EE59" s="229">
        <v>2.2000000000000001E-3</v>
      </c>
      <c r="EF59" s="230">
        <v>1235403</v>
      </c>
      <c r="EG59" s="230">
        <v>1933174</v>
      </c>
      <c r="EH59" s="229">
        <v>-0.3609</v>
      </c>
      <c r="EI59" s="229">
        <v>0.64</v>
      </c>
      <c r="EJ59" s="231">
        <v>44606.01</v>
      </c>
      <c r="EK59" s="231">
        <v>18635.57</v>
      </c>
      <c r="EL59" s="231">
        <v>22389.1</v>
      </c>
      <c r="EM59" s="231">
        <v>9659</v>
      </c>
      <c r="EN59" s="231">
        <v>85630.68</v>
      </c>
      <c r="EO59" s="231">
        <v>89760.3</v>
      </c>
      <c r="EP59" s="231">
        <v>-4129.62</v>
      </c>
      <c r="EQ59" s="229">
        <v>-4.5999999999999999E-2</v>
      </c>
      <c r="ER59" s="231">
        <v>51553</v>
      </c>
      <c r="ES59" s="231">
        <v>30512</v>
      </c>
      <c r="ET59" s="231">
        <v>152839</v>
      </c>
      <c r="EU59" s="231">
        <v>61006521</v>
      </c>
      <c r="EV59" s="231">
        <v>234905</v>
      </c>
      <c r="EW59" s="231">
        <v>223051</v>
      </c>
      <c r="EX59" s="231">
        <v>11854</v>
      </c>
      <c r="EY59" s="229">
        <v>5.3100000000000001E-2</v>
      </c>
      <c r="EZ59" s="229">
        <v>0.30520000000000003</v>
      </c>
      <c r="FA59" s="227" t="s">
        <v>555</v>
      </c>
      <c r="FB59" s="161">
        <f t="shared" si="0"/>
        <v>161250</v>
      </c>
    </row>
    <row r="60" spans="1:158" ht="17.25" hidden="1" thickBot="1" x14ac:dyDescent="0.3">
      <c r="A60" s="226">
        <v>45936</v>
      </c>
      <c r="B60" s="227" t="s">
        <v>162</v>
      </c>
      <c r="C60" s="227" t="s">
        <v>209</v>
      </c>
      <c r="D60" s="228">
        <v>175</v>
      </c>
      <c r="E60" s="231">
        <v>6919.5</v>
      </c>
      <c r="F60" s="231">
        <v>6965</v>
      </c>
      <c r="G60" s="228">
        <v>-45.5</v>
      </c>
      <c r="H60" s="229">
        <v>-6.4999999999999997E-3</v>
      </c>
      <c r="I60" s="231">
        <v>6880</v>
      </c>
      <c r="J60" s="231">
        <v>6941</v>
      </c>
      <c r="K60" s="228">
        <v>-61</v>
      </c>
      <c r="L60" s="229">
        <v>-8.8000000000000005E-3</v>
      </c>
      <c r="M60" s="231">
        <v>6919.5</v>
      </c>
      <c r="N60" s="231">
        <v>6965</v>
      </c>
      <c r="O60" s="228">
        <v>-45.5</v>
      </c>
      <c r="P60" s="229">
        <v>-6.4999999999999997E-3</v>
      </c>
      <c r="Q60" s="231">
        <v>6958.5</v>
      </c>
      <c r="R60" s="231">
        <v>6997</v>
      </c>
      <c r="S60" s="228">
        <v>-38.5</v>
      </c>
      <c r="T60" s="229">
        <v>-5.4999999999999997E-3</v>
      </c>
      <c r="U60" s="231">
        <v>6983</v>
      </c>
      <c r="V60" s="231">
        <v>7024.5</v>
      </c>
      <c r="W60" s="228">
        <v>-41.5</v>
      </c>
      <c r="X60" s="229">
        <v>-5.8999999999999999E-3</v>
      </c>
      <c r="Y60" s="228">
        <v>39.5</v>
      </c>
      <c r="Z60" s="228">
        <v>24</v>
      </c>
      <c r="AA60" s="228">
        <v>15.5</v>
      </c>
      <c r="AB60" s="229">
        <v>5.7000000000000002E-3</v>
      </c>
      <c r="AC60" s="228">
        <v>39.5</v>
      </c>
      <c r="AD60" s="228">
        <v>24</v>
      </c>
      <c r="AE60" s="228">
        <v>15.5</v>
      </c>
      <c r="AF60" s="229">
        <v>5.7000000000000002E-3</v>
      </c>
      <c r="AG60" s="228">
        <v>78.5</v>
      </c>
      <c r="AH60" s="228">
        <v>56</v>
      </c>
      <c r="AI60" s="228">
        <v>22.5</v>
      </c>
      <c r="AJ60" s="229">
        <v>1.14E-2</v>
      </c>
      <c r="AK60" s="228">
        <v>103</v>
      </c>
      <c r="AL60" s="228">
        <v>83.5</v>
      </c>
      <c r="AM60" s="228">
        <v>19.5</v>
      </c>
      <c r="AN60" s="229">
        <v>1.4999999999999999E-2</v>
      </c>
      <c r="AO60" s="231">
        <v>6927.89</v>
      </c>
      <c r="AP60" s="231">
        <v>6960.03</v>
      </c>
      <c r="AQ60" s="228">
        <v>0</v>
      </c>
      <c r="AR60" s="230">
        <v>550725</v>
      </c>
      <c r="AS60" s="230">
        <v>1176350</v>
      </c>
      <c r="AT60" s="230">
        <v>-625625</v>
      </c>
      <c r="AU60" s="229">
        <v>-0.53180000000000005</v>
      </c>
      <c r="AV60" s="230">
        <v>514850</v>
      </c>
      <c r="AW60" s="230">
        <v>1133300</v>
      </c>
      <c r="AX60" s="230">
        <v>-618450</v>
      </c>
      <c r="AY60" s="229">
        <v>-0.54569999999999996</v>
      </c>
      <c r="AZ60" s="230">
        <v>32725</v>
      </c>
      <c r="BA60" s="230">
        <v>36400</v>
      </c>
      <c r="BB60" s="230">
        <v>-3675</v>
      </c>
      <c r="BC60" s="229">
        <v>-0.10100000000000001</v>
      </c>
      <c r="BD60" s="230">
        <v>3150</v>
      </c>
      <c r="BE60" s="230">
        <v>6650</v>
      </c>
      <c r="BF60" s="230">
        <v>-3500</v>
      </c>
      <c r="BG60" s="229">
        <v>-0.52629999999999999</v>
      </c>
      <c r="BH60" s="230">
        <v>2381400</v>
      </c>
      <c r="BI60" s="230">
        <v>4665325</v>
      </c>
      <c r="BJ60" s="230">
        <v>-2283925</v>
      </c>
      <c r="BK60" s="229">
        <v>-0.48959999999999998</v>
      </c>
      <c r="BL60" s="230">
        <v>1031275</v>
      </c>
      <c r="BM60" s="230">
        <v>3754100</v>
      </c>
      <c r="BN60" s="230">
        <v>-2722825</v>
      </c>
      <c r="BO60" s="229">
        <v>-0.72529999999999994</v>
      </c>
      <c r="BP60" s="230">
        <v>3963400</v>
      </c>
      <c r="BQ60" s="230">
        <v>9595775</v>
      </c>
      <c r="BR60" s="230">
        <v>-5632375</v>
      </c>
      <c r="BS60" s="229">
        <v>-0.58699999999999997</v>
      </c>
      <c r="BT60" s="230">
        <v>226037</v>
      </c>
      <c r="BU60" s="230">
        <v>678051</v>
      </c>
      <c r="BV60" s="230">
        <v>-452014</v>
      </c>
      <c r="BW60" s="229">
        <v>-0.66659999999999997</v>
      </c>
      <c r="BX60" s="230">
        <v>3650325</v>
      </c>
      <c r="BY60" s="230">
        <v>3812025</v>
      </c>
      <c r="BZ60" s="230">
        <v>-161700</v>
      </c>
      <c r="CA60" s="229">
        <v>-4.24E-2</v>
      </c>
      <c r="CB60" s="230">
        <v>3589075</v>
      </c>
      <c r="CC60" s="230">
        <v>3742375</v>
      </c>
      <c r="CD60" s="230">
        <v>-153300</v>
      </c>
      <c r="CE60" s="229">
        <v>-4.1000000000000002E-2</v>
      </c>
      <c r="CF60" s="230">
        <v>54775</v>
      </c>
      <c r="CG60" s="230">
        <v>64575</v>
      </c>
      <c r="CH60" s="230">
        <v>-9800</v>
      </c>
      <c r="CI60" s="229">
        <v>-0.15179999999999999</v>
      </c>
      <c r="CJ60" s="230">
        <v>6475</v>
      </c>
      <c r="CK60" s="230">
        <v>5075</v>
      </c>
      <c r="CL60" s="230">
        <v>1400</v>
      </c>
      <c r="CM60" s="229">
        <v>0.27589999999999998</v>
      </c>
      <c r="CN60" s="230">
        <v>1783250</v>
      </c>
      <c r="CO60" s="230">
        <v>1637300</v>
      </c>
      <c r="CP60" s="230">
        <v>145950</v>
      </c>
      <c r="CQ60" s="229">
        <v>8.9099999999999999E-2</v>
      </c>
      <c r="CR60" s="230">
        <v>1354325</v>
      </c>
      <c r="CS60" s="230">
        <v>1381450</v>
      </c>
      <c r="CT60" s="230">
        <v>-27125</v>
      </c>
      <c r="CU60" s="229">
        <v>-1.9599999999999999E-2</v>
      </c>
      <c r="CV60" s="230">
        <v>6787900</v>
      </c>
      <c r="CW60" s="230">
        <v>6830775</v>
      </c>
      <c r="CX60" s="230">
        <v>-42875</v>
      </c>
      <c r="CY60" s="229">
        <v>-6.3E-3</v>
      </c>
      <c r="CZ60" s="228">
        <v>21.41</v>
      </c>
      <c r="DA60" s="228">
        <v>20.7</v>
      </c>
      <c r="DB60" s="228">
        <v>0.71</v>
      </c>
      <c r="DC60" s="228">
        <v>0.71</v>
      </c>
      <c r="DD60" s="228">
        <v>28.41</v>
      </c>
      <c r="DE60" s="228">
        <v>28.45</v>
      </c>
      <c r="DF60" s="228">
        <v>-7</v>
      </c>
      <c r="DG60" s="228">
        <v>-0.04</v>
      </c>
      <c r="DH60" s="228">
        <v>21.51</v>
      </c>
      <c r="DI60" s="228">
        <v>20.309999999999999</v>
      </c>
      <c r="DJ60" s="228">
        <v>1.2</v>
      </c>
      <c r="DK60" s="228">
        <v>1.2</v>
      </c>
      <c r="DL60" s="228">
        <v>21.19</v>
      </c>
      <c r="DM60" s="228">
        <v>21.18</v>
      </c>
      <c r="DN60" s="228">
        <v>0.01</v>
      </c>
      <c r="DO60" s="228">
        <v>0.01</v>
      </c>
      <c r="DP60" s="228">
        <v>0.76</v>
      </c>
      <c r="DQ60" s="228">
        <v>0.84</v>
      </c>
      <c r="DR60" s="228">
        <v>-0.08</v>
      </c>
      <c r="DS60" s="229">
        <v>-9.5200000000000007E-2</v>
      </c>
      <c r="DT60" s="231">
        <v>7000</v>
      </c>
      <c r="DU60" s="231">
        <v>6200</v>
      </c>
      <c r="DV60" s="228">
        <v>0.43</v>
      </c>
      <c r="DW60" s="228">
        <v>0.8</v>
      </c>
      <c r="DX60" s="228">
        <v>-0.37</v>
      </c>
      <c r="DY60" s="229">
        <v>-0.46250000000000002</v>
      </c>
      <c r="DZ60" s="229">
        <v>1.6799999999999999E-2</v>
      </c>
      <c r="EA60" s="230">
        <v>69650</v>
      </c>
      <c r="EB60" s="229">
        <v>5.5999999999999999E-3</v>
      </c>
      <c r="EC60" s="229">
        <v>1.6799999999999999E-2</v>
      </c>
      <c r="ED60" s="228">
        <v>32.14</v>
      </c>
      <c r="EE60" s="229">
        <v>4.5999999999999999E-3</v>
      </c>
      <c r="EF60" s="230">
        <v>110744</v>
      </c>
      <c r="EG60" s="230">
        <v>309907</v>
      </c>
      <c r="EH60" s="229">
        <v>-0.64270000000000005</v>
      </c>
      <c r="EI60" s="229">
        <v>0.4899</v>
      </c>
      <c r="EJ60" s="231">
        <v>173846.52</v>
      </c>
      <c r="EK60" s="231">
        <v>70554.2</v>
      </c>
      <c r="EL60" s="231">
        <v>38165.96</v>
      </c>
      <c r="EM60" s="231">
        <v>9433</v>
      </c>
      <c r="EN60" s="231">
        <v>282566.68</v>
      </c>
      <c r="EO60" s="231">
        <v>676779.98</v>
      </c>
      <c r="EP60" s="231">
        <v>-394213.3</v>
      </c>
      <c r="EQ60" s="229">
        <v>-0.58250000000000002</v>
      </c>
      <c r="ER60" s="231">
        <v>128884</v>
      </c>
      <c r="ES60" s="231">
        <v>89528</v>
      </c>
      <c r="ET60" s="231">
        <v>252610</v>
      </c>
      <c r="EU60" s="231">
        <v>20353850</v>
      </c>
      <c r="EV60" s="231">
        <v>471022</v>
      </c>
      <c r="EW60" s="231">
        <v>475366</v>
      </c>
      <c r="EX60" s="231">
        <v>-4344</v>
      </c>
      <c r="EY60" s="229">
        <v>-9.1000000000000004E-3</v>
      </c>
      <c r="EZ60" s="229">
        <v>0.33350000000000002</v>
      </c>
      <c r="FA60" s="227" t="s">
        <v>568</v>
      </c>
      <c r="FB60" s="161">
        <f t="shared" si="0"/>
        <v>61250</v>
      </c>
    </row>
    <row r="61" spans="1:158" ht="17.25" hidden="1" thickBot="1" x14ac:dyDescent="0.3">
      <c r="A61" s="226">
        <v>45936</v>
      </c>
      <c r="B61" s="227" t="s">
        <v>616</v>
      </c>
      <c r="C61" s="227" t="s">
        <v>669</v>
      </c>
      <c r="D61" s="228">
        <v>2425</v>
      </c>
      <c r="E61" s="228">
        <v>337.15</v>
      </c>
      <c r="F61" s="228">
        <v>330.55</v>
      </c>
      <c r="G61" s="228">
        <v>6.6</v>
      </c>
      <c r="H61" s="229">
        <v>0.02</v>
      </c>
      <c r="I61" s="228">
        <v>335.1</v>
      </c>
      <c r="J61" s="228">
        <v>328.45</v>
      </c>
      <c r="K61" s="228">
        <v>6.65</v>
      </c>
      <c r="L61" s="229">
        <v>2.0199999999999999E-2</v>
      </c>
      <c r="M61" s="228">
        <v>337.15</v>
      </c>
      <c r="N61" s="228">
        <v>330.55</v>
      </c>
      <c r="O61" s="228">
        <v>6.6</v>
      </c>
      <c r="P61" s="229">
        <v>0.02</v>
      </c>
      <c r="Q61" s="228">
        <v>338.95</v>
      </c>
      <c r="R61" s="228">
        <v>332.4</v>
      </c>
      <c r="S61" s="228">
        <v>6.55</v>
      </c>
      <c r="T61" s="229">
        <v>1.9699999999999999E-2</v>
      </c>
      <c r="U61" s="228">
        <v>341.15</v>
      </c>
      <c r="V61" s="228">
        <v>333.95</v>
      </c>
      <c r="W61" s="228">
        <v>7.2</v>
      </c>
      <c r="X61" s="229">
        <v>2.1600000000000001E-2</v>
      </c>
      <c r="Y61" s="228">
        <v>2.0499999999999998</v>
      </c>
      <c r="Z61" s="228">
        <v>2.1</v>
      </c>
      <c r="AA61" s="228">
        <v>-0.05</v>
      </c>
      <c r="AB61" s="229">
        <v>6.1000000000000004E-3</v>
      </c>
      <c r="AC61" s="228">
        <v>2.0499999999999998</v>
      </c>
      <c r="AD61" s="228">
        <v>2.1</v>
      </c>
      <c r="AE61" s="228">
        <v>-0.05</v>
      </c>
      <c r="AF61" s="229">
        <v>6.1000000000000004E-3</v>
      </c>
      <c r="AG61" s="228">
        <v>3.85</v>
      </c>
      <c r="AH61" s="228">
        <v>3.95</v>
      </c>
      <c r="AI61" s="228">
        <v>-0.1</v>
      </c>
      <c r="AJ61" s="229">
        <v>1.15E-2</v>
      </c>
      <c r="AK61" s="228">
        <v>6.05</v>
      </c>
      <c r="AL61" s="228">
        <v>5.5</v>
      </c>
      <c r="AM61" s="228">
        <v>0.55000000000000004</v>
      </c>
      <c r="AN61" s="229">
        <v>1.8100000000000002E-2</v>
      </c>
      <c r="AO61" s="228">
        <v>335.3</v>
      </c>
      <c r="AP61" s="228">
        <v>337.47</v>
      </c>
      <c r="AQ61" s="228">
        <v>0</v>
      </c>
      <c r="AR61" s="230">
        <v>23095700</v>
      </c>
      <c r="AS61" s="230">
        <v>20297250</v>
      </c>
      <c r="AT61" s="230">
        <v>2798450</v>
      </c>
      <c r="AU61" s="229">
        <v>0.13789999999999999</v>
      </c>
      <c r="AV61" s="230">
        <v>21829850</v>
      </c>
      <c r="AW61" s="230">
        <v>19077475</v>
      </c>
      <c r="AX61" s="230">
        <v>2752375</v>
      </c>
      <c r="AY61" s="229">
        <v>0.14430000000000001</v>
      </c>
      <c r="AZ61" s="230">
        <v>1125200</v>
      </c>
      <c r="BA61" s="230">
        <v>1042750</v>
      </c>
      <c r="BB61" s="230">
        <v>82450</v>
      </c>
      <c r="BC61" s="229">
        <v>7.9100000000000004E-2</v>
      </c>
      <c r="BD61" s="230">
        <v>140650</v>
      </c>
      <c r="BE61" s="230">
        <v>177025</v>
      </c>
      <c r="BF61" s="230">
        <v>-36375</v>
      </c>
      <c r="BG61" s="229">
        <v>-0.20549999999999999</v>
      </c>
      <c r="BH61" s="230">
        <v>59317925</v>
      </c>
      <c r="BI61" s="230">
        <v>47355400</v>
      </c>
      <c r="BJ61" s="230">
        <v>11962525</v>
      </c>
      <c r="BK61" s="229">
        <v>0.25259999999999999</v>
      </c>
      <c r="BL61" s="230">
        <v>30816900</v>
      </c>
      <c r="BM61" s="230">
        <v>25215150</v>
      </c>
      <c r="BN61" s="230">
        <v>5601750</v>
      </c>
      <c r="BO61" s="229">
        <v>0.22220000000000001</v>
      </c>
      <c r="BP61" s="230">
        <v>113230525</v>
      </c>
      <c r="BQ61" s="230">
        <v>92867800</v>
      </c>
      <c r="BR61" s="230">
        <v>20362725</v>
      </c>
      <c r="BS61" s="229">
        <v>0.21929999999999999</v>
      </c>
      <c r="BT61" s="230">
        <v>14090689</v>
      </c>
      <c r="BU61" s="230">
        <v>26163539</v>
      </c>
      <c r="BV61" s="230">
        <v>-12072850</v>
      </c>
      <c r="BW61" s="229">
        <v>-0.46139999999999998</v>
      </c>
      <c r="BX61" s="230">
        <v>253186975</v>
      </c>
      <c r="BY61" s="230">
        <v>252769875</v>
      </c>
      <c r="BZ61" s="230">
        <v>417100</v>
      </c>
      <c r="CA61" s="229">
        <v>1.6999999999999999E-3</v>
      </c>
      <c r="CB61" s="230">
        <v>250638300</v>
      </c>
      <c r="CC61" s="230">
        <v>250478250</v>
      </c>
      <c r="CD61" s="230">
        <v>160050</v>
      </c>
      <c r="CE61" s="229">
        <v>5.9999999999999995E-4</v>
      </c>
      <c r="CF61" s="230">
        <v>2308600</v>
      </c>
      <c r="CG61" s="230">
        <v>2119450</v>
      </c>
      <c r="CH61" s="230">
        <v>189150</v>
      </c>
      <c r="CI61" s="229">
        <v>8.9200000000000002E-2</v>
      </c>
      <c r="CJ61" s="230">
        <v>240075</v>
      </c>
      <c r="CK61" s="230">
        <v>172175</v>
      </c>
      <c r="CL61" s="230">
        <v>67900</v>
      </c>
      <c r="CM61" s="229">
        <v>0.39439999999999997</v>
      </c>
      <c r="CN61" s="230">
        <v>48892850</v>
      </c>
      <c r="CO61" s="230">
        <v>48866175</v>
      </c>
      <c r="CP61" s="230">
        <v>26675</v>
      </c>
      <c r="CQ61" s="229">
        <v>5.0000000000000001E-4</v>
      </c>
      <c r="CR61" s="230">
        <v>35679025</v>
      </c>
      <c r="CS61" s="230">
        <v>33891800</v>
      </c>
      <c r="CT61" s="230">
        <v>1787225</v>
      </c>
      <c r="CU61" s="229">
        <v>5.2699999999999997E-2</v>
      </c>
      <c r="CV61" s="230">
        <v>337758850</v>
      </c>
      <c r="CW61" s="230">
        <v>335527850</v>
      </c>
      <c r="CX61" s="230">
        <v>2231000</v>
      </c>
      <c r="CY61" s="229">
        <v>6.6E-3</v>
      </c>
      <c r="CZ61" s="228">
        <v>32.130000000000003</v>
      </c>
      <c r="DA61" s="228">
        <v>33.1</v>
      </c>
      <c r="DB61" s="228">
        <v>-0.97</v>
      </c>
      <c r="DC61" s="228">
        <v>-0.97</v>
      </c>
      <c r="DD61" s="228">
        <v>46.41</v>
      </c>
      <c r="DE61" s="228">
        <v>46.45</v>
      </c>
      <c r="DF61" s="228">
        <v>-14.28</v>
      </c>
      <c r="DG61" s="228">
        <v>-0.04</v>
      </c>
      <c r="DH61" s="228">
        <v>31.13</v>
      </c>
      <c r="DI61" s="228">
        <v>32.450000000000003</v>
      </c>
      <c r="DJ61" s="228">
        <v>-1.32</v>
      </c>
      <c r="DK61" s="228">
        <v>-1.32</v>
      </c>
      <c r="DL61" s="228">
        <v>34.06</v>
      </c>
      <c r="DM61" s="228">
        <v>34.31</v>
      </c>
      <c r="DN61" s="228">
        <v>-0.25</v>
      </c>
      <c r="DO61" s="228">
        <v>-0.25</v>
      </c>
      <c r="DP61" s="228">
        <v>0.73</v>
      </c>
      <c r="DQ61" s="228">
        <v>0.69</v>
      </c>
      <c r="DR61" s="228">
        <v>0.04</v>
      </c>
      <c r="DS61" s="229">
        <v>5.8000000000000003E-2</v>
      </c>
      <c r="DT61" s="228">
        <v>320</v>
      </c>
      <c r="DU61" s="228">
        <v>320</v>
      </c>
      <c r="DV61" s="228">
        <v>0.52</v>
      </c>
      <c r="DW61" s="228">
        <v>0.53</v>
      </c>
      <c r="DX61" s="228">
        <v>-0.01</v>
      </c>
      <c r="DY61" s="229">
        <v>-1.89E-2</v>
      </c>
      <c r="DZ61" s="229">
        <v>1.01E-2</v>
      </c>
      <c r="EA61" s="230">
        <v>2291625</v>
      </c>
      <c r="EB61" s="229">
        <v>5.3E-3</v>
      </c>
      <c r="EC61" s="229">
        <v>1.01E-2</v>
      </c>
      <c r="ED61" s="228">
        <v>2.17</v>
      </c>
      <c r="EE61" s="229">
        <v>6.4999999999999997E-3</v>
      </c>
      <c r="EF61" s="230">
        <v>6036796</v>
      </c>
      <c r="EG61" s="230">
        <v>15777295</v>
      </c>
      <c r="EH61" s="229">
        <v>-0.61739999999999995</v>
      </c>
      <c r="EI61" s="229">
        <v>0.4284</v>
      </c>
      <c r="EJ61" s="231">
        <v>209365.47</v>
      </c>
      <c r="EK61" s="231">
        <v>100403.2</v>
      </c>
      <c r="EL61" s="231">
        <v>77469.81</v>
      </c>
      <c r="EM61" s="231">
        <v>20006</v>
      </c>
      <c r="EN61" s="231">
        <v>387238.48</v>
      </c>
      <c r="EO61" s="231">
        <v>315263.35999999999</v>
      </c>
      <c r="EP61" s="231">
        <v>71975.12</v>
      </c>
      <c r="EQ61" s="229">
        <v>0.2283</v>
      </c>
      <c r="ER61" s="231">
        <v>165009</v>
      </c>
      <c r="ES61" s="231">
        <v>112208</v>
      </c>
      <c r="ET61" s="231">
        <v>853671</v>
      </c>
      <c r="EU61" s="231">
        <v>1361988292</v>
      </c>
      <c r="EV61" s="231">
        <v>1130888</v>
      </c>
      <c r="EW61" s="231">
        <v>1106044</v>
      </c>
      <c r="EX61" s="231">
        <v>24844</v>
      </c>
      <c r="EY61" s="229">
        <v>2.2499999999999999E-2</v>
      </c>
      <c r="EZ61" s="229">
        <v>0.248</v>
      </c>
      <c r="FA61" s="227" t="s">
        <v>555</v>
      </c>
      <c r="FB61" s="161">
        <f t="shared" si="0"/>
        <v>2548675</v>
      </c>
    </row>
    <row r="62" spans="1:158" ht="17.25" hidden="1" thickBot="1" x14ac:dyDescent="0.3">
      <c r="A62" s="226">
        <v>45936</v>
      </c>
      <c r="B62" s="227" t="s">
        <v>162</v>
      </c>
      <c r="C62" s="227" t="s">
        <v>211</v>
      </c>
      <c r="D62" s="228">
        <v>1800</v>
      </c>
      <c r="E62" s="228">
        <v>401.45</v>
      </c>
      <c r="F62" s="228">
        <v>399.35</v>
      </c>
      <c r="G62" s="228">
        <v>2.1</v>
      </c>
      <c r="H62" s="229">
        <v>5.3E-3</v>
      </c>
      <c r="I62" s="228">
        <v>399.95</v>
      </c>
      <c r="J62" s="228">
        <v>398.05</v>
      </c>
      <c r="K62" s="228">
        <v>1.9</v>
      </c>
      <c r="L62" s="229">
        <v>4.7999999999999996E-3</v>
      </c>
      <c r="M62" s="228">
        <v>401.45</v>
      </c>
      <c r="N62" s="228">
        <v>399.35</v>
      </c>
      <c r="O62" s="228">
        <v>2.1</v>
      </c>
      <c r="P62" s="229">
        <v>5.3E-3</v>
      </c>
      <c r="Q62" s="228">
        <v>403.8</v>
      </c>
      <c r="R62" s="228">
        <v>401.65</v>
      </c>
      <c r="S62" s="228">
        <v>2.15</v>
      </c>
      <c r="T62" s="229">
        <v>5.4000000000000003E-3</v>
      </c>
      <c r="U62" s="228">
        <v>405.9</v>
      </c>
      <c r="V62" s="228">
        <v>403.45</v>
      </c>
      <c r="W62" s="228">
        <v>2.4500000000000002</v>
      </c>
      <c r="X62" s="229">
        <v>6.1000000000000004E-3</v>
      </c>
      <c r="Y62" s="228">
        <v>1.5</v>
      </c>
      <c r="Z62" s="228">
        <v>1.3</v>
      </c>
      <c r="AA62" s="228">
        <v>0.2</v>
      </c>
      <c r="AB62" s="229">
        <v>3.8E-3</v>
      </c>
      <c r="AC62" s="228">
        <v>1.5</v>
      </c>
      <c r="AD62" s="228">
        <v>1.3</v>
      </c>
      <c r="AE62" s="228">
        <v>0.2</v>
      </c>
      <c r="AF62" s="229">
        <v>3.8E-3</v>
      </c>
      <c r="AG62" s="228">
        <v>3.85</v>
      </c>
      <c r="AH62" s="228">
        <v>3.6</v>
      </c>
      <c r="AI62" s="228">
        <v>0.25</v>
      </c>
      <c r="AJ62" s="229">
        <v>9.5999999999999992E-3</v>
      </c>
      <c r="AK62" s="228">
        <v>5.95</v>
      </c>
      <c r="AL62" s="228">
        <v>5.4</v>
      </c>
      <c r="AM62" s="228">
        <v>0.55000000000000004</v>
      </c>
      <c r="AN62" s="229">
        <v>1.49E-2</v>
      </c>
      <c r="AO62" s="228">
        <v>400.32</v>
      </c>
      <c r="AP62" s="228">
        <v>402.6</v>
      </c>
      <c r="AQ62" s="228">
        <v>0</v>
      </c>
      <c r="AR62" s="230">
        <v>2998800</v>
      </c>
      <c r="AS62" s="230">
        <v>3270600</v>
      </c>
      <c r="AT62" s="230">
        <v>-271800</v>
      </c>
      <c r="AU62" s="229">
        <v>-8.3099999999999993E-2</v>
      </c>
      <c r="AV62" s="230">
        <v>2764800</v>
      </c>
      <c r="AW62" s="230">
        <v>3040200</v>
      </c>
      <c r="AX62" s="230">
        <v>-275400</v>
      </c>
      <c r="AY62" s="229">
        <v>-9.06E-2</v>
      </c>
      <c r="AZ62" s="230">
        <v>212400</v>
      </c>
      <c r="BA62" s="230">
        <v>203400</v>
      </c>
      <c r="BB62" s="230">
        <v>9000</v>
      </c>
      <c r="BC62" s="229">
        <v>4.4200000000000003E-2</v>
      </c>
      <c r="BD62" s="230">
        <v>21600</v>
      </c>
      <c r="BE62" s="230">
        <v>27000</v>
      </c>
      <c r="BF62" s="230">
        <v>-5400</v>
      </c>
      <c r="BG62" s="229">
        <v>-0.2</v>
      </c>
      <c r="BH62" s="230">
        <v>6071400</v>
      </c>
      <c r="BI62" s="230">
        <v>7234200</v>
      </c>
      <c r="BJ62" s="230">
        <v>-1162800</v>
      </c>
      <c r="BK62" s="229">
        <v>-0.16070000000000001</v>
      </c>
      <c r="BL62" s="230">
        <v>2248200</v>
      </c>
      <c r="BM62" s="230">
        <v>2727000</v>
      </c>
      <c r="BN62" s="230">
        <v>-478800</v>
      </c>
      <c r="BO62" s="229">
        <v>-0.17560000000000001</v>
      </c>
      <c r="BP62" s="230">
        <v>11318400</v>
      </c>
      <c r="BQ62" s="230">
        <v>13231800</v>
      </c>
      <c r="BR62" s="230">
        <v>-1913400</v>
      </c>
      <c r="BS62" s="229">
        <v>-0.14460000000000001</v>
      </c>
      <c r="BT62" s="230">
        <v>1426684</v>
      </c>
      <c r="BU62" s="230">
        <v>1809841</v>
      </c>
      <c r="BV62" s="230">
        <v>-383157</v>
      </c>
      <c r="BW62" s="229">
        <v>-0.2117</v>
      </c>
      <c r="BX62" s="230">
        <v>30560400</v>
      </c>
      <c r="BY62" s="230">
        <v>30364200</v>
      </c>
      <c r="BZ62" s="230">
        <v>196200</v>
      </c>
      <c r="CA62" s="229">
        <v>6.4999999999999997E-3</v>
      </c>
      <c r="CB62" s="230">
        <v>29467800</v>
      </c>
      <c r="CC62" s="230">
        <v>29273400</v>
      </c>
      <c r="CD62" s="230">
        <v>194400</v>
      </c>
      <c r="CE62" s="229">
        <v>6.6E-3</v>
      </c>
      <c r="CF62" s="230">
        <v>1065600</v>
      </c>
      <c r="CG62" s="230">
        <v>1065600</v>
      </c>
      <c r="CH62" s="228">
        <v>0</v>
      </c>
      <c r="CI62" s="229">
        <v>0</v>
      </c>
      <c r="CJ62" s="230">
        <v>27000</v>
      </c>
      <c r="CK62" s="230">
        <v>25200</v>
      </c>
      <c r="CL62" s="230">
        <v>1800</v>
      </c>
      <c r="CM62" s="229">
        <v>7.1400000000000005E-2</v>
      </c>
      <c r="CN62" s="230">
        <v>8785800</v>
      </c>
      <c r="CO62" s="230">
        <v>8656200</v>
      </c>
      <c r="CP62" s="230">
        <v>129600</v>
      </c>
      <c r="CQ62" s="229">
        <v>1.4999999999999999E-2</v>
      </c>
      <c r="CR62" s="230">
        <v>6579000</v>
      </c>
      <c r="CS62" s="230">
        <v>6413400</v>
      </c>
      <c r="CT62" s="230">
        <v>165600</v>
      </c>
      <c r="CU62" s="229">
        <v>2.58E-2</v>
      </c>
      <c r="CV62" s="230">
        <v>45925200</v>
      </c>
      <c r="CW62" s="230">
        <v>45433800</v>
      </c>
      <c r="CX62" s="230">
        <v>491400</v>
      </c>
      <c r="CY62" s="229">
        <v>1.0800000000000001E-2</v>
      </c>
      <c r="CZ62" s="228">
        <v>25.02</v>
      </c>
      <c r="DA62" s="228">
        <v>24.97</v>
      </c>
      <c r="DB62" s="228">
        <v>0.05</v>
      </c>
      <c r="DC62" s="228">
        <v>0.05</v>
      </c>
      <c r="DD62" s="228">
        <v>36.19</v>
      </c>
      <c r="DE62" s="228">
        <v>36.270000000000003</v>
      </c>
      <c r="DF62" s="228">
        <v>-11.17</v>
      </c>
      <c r="DG62" s="228">
        <v>-0.08</v>
      </c>
      <c r="DH62" s="228">
        <v>24.91</v>
      </c>
      <c r="DI62" s="228">
        <v>24.68</v>
      </c>
      <c r="DJ62" s="228">
        <v>0.23</v>
      </c>
      <c r="DK62" s="228">
        <v>0.23</v>
      </c>
      <c r="DL62" s="228">
        <v>25.29</v>
      </c>
      <c r="DM62" s="228">
        <v>25.75</v>
      </c>
      <c r="DN62" s="228">
        <v>-0.46</v>
      </c>
      <c r="DO62" s="228">
        <v>-0.46</v>
      </c>
      <c r="DP62" s="228">
        <v>0.75</v>
      </c>
      <c r="DQ62" s="228">
        <v>0.74</v>
      </c>
      <c r="DR62" s="228">
        <v>0.01</v>
      </c>
      <c r="DS62" s="229">
        <v>1.35E-2</v>
      </c>
      <c r="DT62" s="228">
        <v>400</v>
      </c>
      <c r="DU62" s="228">
        <v>400</v>
      </c>
      <c r="DV62" s="228">
        <v>0.37</v>
      </c>
      <c r="DW62" s="228">
        <v>0.38</v>
      </c>
      <c r="DX62" s="228">
        <v>-0.01</v>
      </c>
      <c r="DY62" s="229">
        <v>-2.63E-2</v>
      </c>
      <c r="DZ62" s="229">
        <v>3.5799999999999998E-2</v>
      </c>
      <c r="EA62" s="230">
        <v>1090800</v>
      </c>
      <c r="EB62" s="229">
        <v>5.8999999999999999E-3</v>
      </c>
      <c r="EC62" s="229">
        <v>3.5799999999999998E-2</v>
      </c>
      <c r="ED62" s="228">
        <v>2.2799999999999998</v>
      </c>
      <c r="EE62" s="229">
        <v>5.7000000000000002E-3</v>
      </c>
      <c r="EF62" s="230">
        <v>581011</v>
      </c>
      <c r="EG62" s="230">
        <v>985319</v>
      </c>
      <c r="EH62" s="229">
        <v>-0.4103</v>
      </c>
      <c r="EI62" s="229">
        <v>0.40720000000000001</v>
      </c>
      <c r="EJ62" s="231">
        <v>25299.49</v>
      </c>
      <c r="EK62" s="231">
        <v>8948.15</v>
      </c>
      <c r="EL62" s="231">
        <v>12010.45</v>
      </c>
      <c r="EM62" s="231">
        <v>5210</v>
      </c>
      <c r="EN62" s="231">
        <v>46258.09</v>
      </c>
      <c r="EO62" s="231">
        <v>53625.79</v>
      </c>
      <c r="EP62" s="231">
        <v>-7367.7</v>
      </c>
      <c r="EQ62" s="229">
        <v>-0.13739999999999999</v>
      </c>
      <c r="ER62" s="231">
        <v>36520</v>
      </c>
      <c r="ES62" s="231">
        <v>25897</v>
      </c>
      <c r="ET62" s="231">
        <v>122711</v>
      </c>
      <c r="EU62" s="231">
        <v>68856800</v>
      </c>
      <c r="EV62" s="231">
        <v>185129</v>
      </c>
      <c r="EW62" s="231">
        <v>182434</v>
      </c>
      <c r="EX62" s="231">
        <v>2695</v>
      </c>
      <c r="EY62" s="229">
        <v>1.4800000000000001E-2</v>
      </c>
      <c r="EZ62" s="229">
        <v>0.66700000000000004</v>
      </c>
      <c r="FA62" s="227" t="s">
        <v>555</v>
      </c>
      <c r="FB62" s="161">
        <f t="shared" si="0"/>
        <v>1092600</v>
      </c>
    </row>
    <row r="63" spans="1:158" ht="17.25" hidden="1" thickBot="1" x14ac:dyDescent="0.3">
      <c r="A63" s="226">
        <v>45936</v>
      </c>
      <c r="B63" s="227" t="s">
        <v>172</v>
      </c>
      <c r="C63" s="227" t="s">
        <v>212</v>
      </c>
      <c r="D63" s="228">
        <v>5000</v>
      </c>
      <c r="E63" s="228">
        <v>194.7</v>
      </c>
      <c r="F63" s="228">
        <v>193.59</v>
      </c>
      <c r="G63" s="228">
        <v>1.1100000000000001</v>
      </c>
      <c r="H63" s="229">
        <v>5.7000000000000002E-3</v>
      </c>
      <c r="I63" s="228">
        <v>193.66</v>
      </c>
      <c r="J63" s="228">
        <v>192.37</v>
      </c>
      <c r="K63" s="228">
        <v>1.29</v>
      </c>
      <c r="L63" s="229">
        <v>6.7000000000000002E-3</v>
      </c>
      <c r="M63" s="228">
        <v>194.7</v>
      </c>
      <c r="N63" s="228">
        <v>193.59</v>
      </c>
      <c r="O63" s="228">
        <v>1.1100000000000001</v>
      </c>
      <c r="P63" s="229">
        <v>5.7000000000000002E-3</v>
      </c>
      <c r="Q63" s="228">
        <v>195.7</v>
      </c>
      <c r="R63" s="228">
        <v>194.67</v>
      </c>
      <c r="S63" s="228">
        <v>1.03</v>
      </c>
      <c r="T63" s="229">
        <v>5.3E-3</v>
      </c>
      <c r="U63" s="228">
        <v>196.99</v>
      </c>
      <c r="V63" s="228">
        <v>195.9</v>
      </c>
      <c r="W63" s="228">
        <v>1.0900000000000001</v>
      </c>
      <c r="X63" s="229">
        <v>5.5999999999999999E-3</v>
      </c>
      <c r="Y63" s="228">
        <v>1.04</v>
      </c>
      <c r="Z63" s="228">
        <v>1.22</v>
      </c>
      <c r="AA63" s="228">
        <v>-0.18</v>
      </c>
      <c r="AB63" s="229">
        <v>5.4000000000000003E-3</v>
      </c>
      <c r="AC63" s="228">
        <v>1.04</v>
      </c>
      <c r="AD63" s="228">
        <v>1.22</v>
      </c>
      <c r="AE63" s="228">
        <v>-0.18</v>
      </c>
      <c r="AF63" s="229">
        <v>5.4000000000000003E-3</v>
      </c>
      <c r="AG63" s="228">
        <v>2.04</v>
      </c>
      <c r="AH63" s="228">
        <v>2.2999999999999998</v>
      </c>
      <c r="AI63" s="228">
        <v>-0.26</v>
      </c>
      <c r="AJ63" s="229">
        <v>1.0500000000000001E-2</v>
      </c>
      <c r="AK63" s="228">
        <v>3.33</v>
      </c>
      <c r="AL63" s="228">
        <v>3.53</v>
      </c>
      <c r="AM63" s="228">
        <v>-0.2</v>
      </c>
      <c r="AN63" s="229">
        <v>1.72E-2</v>
      </c>
      <c r="AO63" s="228">
        <v>194.1</v>
      </c>
      <c r="AP63" s="228">
        <v>195.14</v>
      </c>
      <c r="AQ63" s="228">
        <v>0</v>
      </c>
      <c r="AR63" s="230">
        <v>17550000</v>
      </c>
      <c r="AS63" s="230">
        <v>13235000</v>
      </c>
      <c r="AT63" s="230">
        <v>4315000</v>
      </c>
      <c r="AU63" s="229">
        <v>0.32600000000000001</v>
      </c>
      <c r="AV63" s="230">
        <v>16815000</v>
      </c>
      <c r="AW63" s="230">
        <v>12475000</v>
      </c>
      <c r="AX63" s="230">
        <v>4340000</v>
      </c>
      <c r="AY63" s="229">
        <v>0.34789999999999999</v>
      </c>
      <c r="AZ63" s="230">
        <v>675000</v>
      </c>
      <c r="BA63" s="230">
        <v>660000</v>
      </c>
      <c r="BB63" s="230">
        <v>15000</v>
      </c>
      <c r="BC63" s="229">
        <v>2.2700000000000001E-2</v>
      </c>
      <c r="BD63" s="230">
        <v>60000</v>
      </c>
      <c r="BE63" s="230">
        <v>100000</v>
      </c>
      <c r="BF63" s="230">
        <v>-40000</v>
      </c>
      <c r="BG63" s="229">
        <v>-0.4</v>
      </c>
      <c r="BH63" s="230">
        <v>82230000</v>
      </c>
      <c r="BI63" s="230">
        <v>32235000</v>
      </c>
      <c r="BJ63" s="230">
        <v>49995000</v>
      </c>
      <c r="BK63" s="229">
        <v>1.5509999999999999</v>
      </c>
      <c r="BL63" s="230">
        <v>26665000</v>
      </c>
      <c r="BM63" s="230">
        <v>16465000</v>
      </c>
      <c r="BN63" s="230">
        <v>10200000</v>
      </c>
      <c r="BO63" s="229">
        <v>0.61950000000000005</v>
      </c>
      <c r="BP63" s="230">
        <v>126445000</v>
      </c>
      <c r="BQ63" s="230">
        <v>61935000</v>
      </c>
      <c r="BR63" s="230">
        <v>64510000</v>
      </c>
      <c r="BS63" s="229">
        <v>1.0416000000000001</v>
      </c>
      <c r="BT63" s="230">
        <v>5221534</v>
      </c>
      <c r="BU63" s="230">
        <v>6271763</v>
      </c>
      <c r="BV63" s="230">
        <v>-1050229</v>
      </c>
      <c r="BW63" s="229">
        <v>-0.16750000000000001</v>
      </c>
      <c r="BX63" s="230">
        <v>92005000</v>
      </c>
      <c r="BY63" s="230">
        <v>90855000</v>
      </c>
      <c r="BZ63" s="230">
        <v>1150000</v>
      </c>
      <c r="CA63" s="229">
        <v>1.2699999999999999E-2</v>
      </c>
      <c r="CB63" s="230">
        <v>89630000</v>
      </c>
      <c r="CC63" s="230">
        <v>88600000</v>
      </c>
      <c r="CD63" s="230">
        <v>1030000</v>
      </c>
      <c r="CE63" s="229">
        <v>1.1599999999999999E-2</v>
      </c>
      <c r="CF63" s="230">
        <v>2225000</v>
      </c>
      <c r="CG63" s="230">
        <v>2150000</v>
      </c>
      <c r="CH63" s="230">
        <v>75000</v>
      </c>
      <c r="CI63" s="229">
        <v>3.49E-2</v>
      </c>
      <c r="CJ63" s="230">
        <v>150000</v>
      </c>
      <c r="CK63" s="230">
        <v>105000</v>
      </c>
      <c r="CL63" s="230">
        <v>45000</v>
      </c>
      <c r="CM63" s="229">
        <v>0.42859999999999998</v>
      </c>
      <c r="CN63" s="230">
        <v>42590000</v>
      </c>
      <c r="CO63" s="230">
        <v>29965000</v>
      </c>
      <c r="CP63" s="230">
        <v>12625000</v>
      </c>
      <c r="CQ63" s="229">
        <v>0.42130000000000001</v>
      </c>
      <c r="CR63" s="230">
        <v>29485000</v>
      </c>
      <c r="CS63" s="230">
        <v>25210000</v>
      </c>
      <c r="CT63" s="230">
        <v>4275000</v>
      </c>
      <c r="CU63" s="229">
        <v>0.1696</v>
      </c>
      <c r="CV63" s="230">
        <v>164080000</v>
      </c>
      <c r="CW63" s="230">
        <v>146030000</v>
      </c>
      <c r="CX63" s="230">
        <v>18050000</v>
      </c>
      <c r="CY63" s="229">
        <v>0.1236</v>
      </c>
      <c r="CZ63" s="228">
        <v>24.42</v>
      </c>
      <c r="DA63" s="228">
        <v>21.98</v>
      </c>
      <c r="DB63" s="228">
        <v>2.44</v>
      </c>
      <c r="DC63" s="228">
        <v>2.44</v>
      </c>
      <c r="DD63" s="228">
        <v>28.47</v>
      </c>
      <c r="DE63" s="228">
        <v>28.53</v>
      </c>
      <c r="DF63" s="228">
        <v>-4.05</v>
      </c>
      <c r="DG63" s="228">
        <v>-0.06</v>
      </c>
      <c r="DH63" s="228">
        <v>24.52</v>
      </c>
      <c r="DI63" s="228">
        <v>22.15</v>
      </c>
      <c r="DJ63" s="228">
        <v>2.37</v>
      </c>
      <c r="DK63" s="228">
        <v>2.37</v>
      </c>
      <c r="DL63" s="228">
        <v>24.09</v>
      </c>
      <c r="DM63" s="228">
        <v>21.63</v>
      </c>
      <c r="DN63" s="228">
        <v>2.46</v>
      </c>
      <c r="DO63" s="228">
        <v>2.46</v>
      </c>
      <c r="DP63" s="228">
        <v>0.69</v>
      </c>
      <c r="DQ63" s="228">
        <v>0.84</v>
      </c>
      <c r="DR63" s="228">
        <v>-0.15</v>
      </c>
      <c r="DS63" s="229">
        <v>-0.17860000000000001</v>
      </c>
      <c r="DT63" s="228">
        <v>200</v>
      </c>
      <c r="DU63" s="228">
        <v>190</v>
      </c>
      <c r="DV63" s="228">
        <v>0.32</v>
      </c>
      <c r="DW63" s="228">
        <v>0.51</v>
      </c>
      <c r="DX63" s="228">
        <v>-0.19</v>
      </c>
      <c r="DY63" s="229">
        <v>-0.3725</v>
      </c>
      <c r="DZ63" s="229">
        <v>2.58E-2</v>
      </c>
      <c r="EA63" s="230">
        <v>2255000</v>
      </c>
      <c r="EB63" s="229">
        <v>5.1000000000000004E-3</v>
      </c>
      <c r="EC63" s="229">
        <v>2.58E-2</v>
      </c>
      <c r="ED63" s="228">
        <v>1.04</v>
      </c>
      <c r="EE63" s="229">
        <v>5.4000000000000003E-3</v>
      </c>
      <c r="EF63" s="230">
        <v>2945281</v>
      </c>
      <c r="EG63" s="230">
        <v>3375471</v>
      </c>
      <c r="EH63" s="229">
        <v>-0.12740000000000001</v>
      </c>
      <c r="EI63" s="229">
        <v>0.56410000000000005</v>
      </c>
      <c r="EJ63" s="231">
        <v>166402.43</v>
      </c>
      <c r="EK63" s="231">
        <v>51837.440000000002</v>
      </c>
      <c r="EL63" s="231">
        <v>34072.28</v>
      </c>
      <c r="EM63" s="231">
        <v>6741</v>
      </c>
      <c r="EN63" s="231">
        <v>252312.15</v>
      </c>
      <c r="EO63" s="231">
        <v>122678.48</v>
      </c>
      <c r="EP63" s="231">
        <v>129633.67</v>
      </c>
      <c r="EQ63" s="229">
        <v>1.0567</v>
      </c>
      <c r="ER63" s="231">
        <v>85532</v>
      </c>
      <c r="ES63" s="231">
        <v>56879</v>
      </c>
      <c r="ET63" s="231">
        <v>179159</v>
      </c>
      <c r="EU63" s="231">
        <v>338654719</v>
      </c>
      <c r="EV63" s="231">
        <v>321571</v>
      </c>
      <c r="EW63" s="231">
        <v>284983</v>
      </c>
      <c r="EX63" s="231">
        <v>36588</v>
      </c>
      <c r="EY63" s="229">
        <v>0.12839999999999999</v>
      </c>
      <c r="EZ63" s="229">
        <v>0.48449999999999999</v>
      </c>
      <c r="FA63" s="227" t="s">
        <v>555</v>
      </c>
      <c r="FB63" s="161">
        <f t="shared" si="0"/>
        <v>2375000</v>
      </c>
    </row>
    <row r="64" spans="1:158" ht="17.25" hidden="1" thickBot="1" x14ac:dyDescent="0.3">
      <c r="A64" s="226">
        <v>45936</v>
      </c>
      <c r="B64" s="227" t="s">
        <v>181</v>
      </c>
      <c r="C64" s="227" t="s">
        <v>480</v>
      </c>
      <c r="D64" s="228">
        <v>65</v>
      </c>
      <c r="E64" s="231">
        <v>26798.6</v>
      </c>
      <c r="F64" s="231">
        <v>26549.7</v>
      </c>
      <c r="G64" s="228">
        <v>248.9</v>
      </c>
      <c r="H64" s="229">
        <v>9.4000000000000004E-3</v>
      </c>
      <c r="I64" s="231">
        <v>26712.05</v>
      </c>
      <c r="J64" s="231">
        <v>26426.75</v>
      </c>
      <c r="K64" s="228">
        <v>285.3</v>
      </c>
      <c r="L64" s="229">
        <v>1.0800000000000001E-2</v>
      </c>
      <c r="M64" s="231">
        <v>26798.6</v>
      </c>
      <c r="N64" s="231">
        <v>26549.7</v>
      </c>
      <c r="O64" s="228">
        <v>248.9</v>
      </c>
      <c r="P64" s="229">
        <v>9.4000000000000004E-3</v>
      </c>
      <c r="Q64" s="231">
        <v>26930</v>
      </c>
      <c r="R64" s="231">
        <v>26700.400000000001</v>
      </c>
      <c r="S64" s="228">
        <v>229.6</v>
      </c>
      <c r="T64" s="229">
        <v>8.6E-3</v>
      </c>
      <c r="U64" s="228">
        <v>0</v>
      </c>
      <c r="V64" s="228">
        <v>0</v>
      </c>
      <c r="W64" s="228">
        <v>0</v>
      </c>
      <c r="X64" s="229">
        <v>0</v>
      </c>
      <c r="Y64" s="228">
        <v>86.55</v>
      </c>
      <c r="Z64" s="228">
        <v>122.95</v>
      </c>
      <c r="AA64" s="228">
        <v>-36.4</v>
      </c>
      <c r="AB64" s="229">
        <v>3.2000000000000002E-3</v>
      </c>
      <c r="AC64" s="228">
        <v>86.55</v>
      </c>
      <c r="AD64" s="228">
        <v>122.95</v>
      </c>
      <c r="AE64" s="228">
        <v>-36.4</v>
      </c>
      <c r="AF64" s="229">
        <v>3.2000000000000002E-3</v>
      </c>
      <c r="AG64" s="228">
        <v>217.95</v>
      </c>
      <c r="AH64" s="228">
        <v>273.64999999999998</v>
      </c>
      <c r="AI64" s="228">
        <v>-55.7</v>
      </c>
      <c r="AJ64" s="229">
        <v>8.2000000000000007E-3</v>
      </c>
      <c r="AK64" s="228">
        <v>0</v>
      </c>
      <c r="AL64" s="228">
        <v>0</v>
      </c>
      <c r="AM64" s="228">
        <v>0</v>
      </c>
      <c r="AN64" s="229">
        <v>0</v>
      </c>
      <c r="AO64" s="231">
        <v>26703.74</v>
      </c>
      <c r="AP64" s="231">
        <v>26888.46</v>
      </c>
      <c r="AQ64" s="228">
        <v>0</v>
      </c>
      <c r="AR64" s="230">
        <v>27105</v>
      </c>
      <c r="AS64" s="230">
        <v>11310</v>
      </c>
      <c r="AT64" s="230">
        <v>15795</v>
      </c>
      <c r="AU64" s="229">
        <v>1.3966000000000001</v>
      </c>
      <c r="AV64" s="230">
        <v>26585</v>
      </c>
      <c r="AW64" s="230">
        <v>10790</v>
      </c>
      <c r="AX64" s="230">
        <v>15795</v>
      </c>
      <c r="AY64" s="229">
        <v>1.4639</v>
      </c>
      <c r="AZ64" s="228">
        <v>520</v>
      </c>
      <c r="BA64" s="228">
        <v>520</v>
      </c>
      <c r="BB64" s="228">
        <v>0</v>
      </c>
      <c r="BC64" s="229">
        <v>0</v>
      </c>
      <c r="BD64" s="228">
        <v>0</v>
      </c>
      <c r="BE64" s="228">
        <v>0</v>
      </c>
      <c r="BF64" s="228">
        <v>0</v>
      </c>
      <c r="BG64" s="229">
        <v>0</v>
      </c>
      <c r="BH64" s="230">
        <v>2348970</v>
      </c>
      <c r="BI64" s="230">
        <v>1366820</v>
      </c>
      <c r="BJ64" s="230">
        <v>982150</v>
      </c>
      <c r="BK64" s="229">
        <v>0.71860000000000002</v>
      </c>
      <c r="BL64" s="230">
        <v>1462695</v>
      </c>
      <c r="BM64" s="230">
        <v>902265</v>
      </c>
      <c r="BN64" s="230">
        <v>560430</v>
      </c>
      <c r="BO64" s="229">
        <v>0.62109999999999999</v>
      </c>
      <c r="BP64" s="230">
        <v>3838770</v>
      </c>
      <c r="BQ64" s="230">
        <v>2280395</v>
      </c>
      <c r="BR64" s="230">
        <v>1558375</v>
      </c>
      <c r="BS64" s="229">
        <v>0.68340000000000001</v>
      </c>
      <c r="BT64" s="228">
        <v>0</v>
      </c>
      <c r="BU64" s="228">
        <v>0</v>
      </c>
      <c r="BV64" s="228">
        <v>0</v>
      </c>
      <c r="BW64" s="229">
        <v>0</v>
      </c>
      <c r="BX64" s="230">
        <v>30550</v>
      </c>
      <c r="BY64" s="230">
        <v>34775</v>
      </c>
      <c r="BZ64" s="230">
        <v>-4225</v>
      </c>
      <c r="CA64" s="229">
        <v>-0.1215</v>
      </c>
      <c r="CB64" s="230">
        <v>29575</v>
      </c>
      <c r="CC64" s="230">
        <v>33605</v>
      </c>
      <c r="CD64" s="230">
        <v>-4030</v>
      </c>
      <c r="CE64" s="229">
        <v>-0.11990000000000001</v>
      </c>
      <c r="CF64" s="228">
        <v>975</v>
      </c>
      <c r="CG64" s="230">
        <v>1170</v>
      </c>
      <c r="CH64" s="228">
        <v>-195</v>
      </c>
      <c r="CI64" s="229">
        <v>-0.16669999999999999</v>
      </c>
      <c r="CJ64" s="228">
        <v>0</v>
      </c>
      <c r="CK64" s="228">
        <v>0</v>
      </c>
      <c r="CL64" s="228">
        <v>0</v>
      </c>
      <c r="CM64" s="229">
        <v>0</v>
      </c>
      <c r="CN64" s="230">
        <v>745485</v>
      </c>
      <c r="CO64" s="230">
        <v>391820</v>
      </c>
      <c r="CP64" s="230">
        <v>353665</v>
      </c>
      <c r="CQ64" s="229">
        <v>0.90259999999999996</v>
      </c>
      <c r="CR64" s="230">
        <v>530855</v>
      </c>
      <c r="CS64" s="230">
        <v>228670</v>
      </c>
      <c r="CT64" s="230">
        <v>302185</v>
      </c>
      <c r="CU64" s="229">
        <v>1.3214999999999999</v>
      </c>
      <c r="CV64" s="230">
        <v>1306890</v>
      </c>
      <c r="CW64" s="230">
        <v>655265</v>
      </c>
      <c r="CX64" s="230">
        <v>651625</v>
      </c>
      <c r="CY64" s="229">
        <v>0.99439999999999995</v>
      </c>
      <c r="CZ64" s="228">
        <v>11.29</v>
      </c>
      <c r="DA64" s="228">
        <v>11.14</v>
      </c>
      <c r="DB64" s="228">
        <v>0.15</v>
      </c>
      <c r="DC64" s="228">
        <v>0.15</v>
      </c>
      <c r="DD64" s="228">
        <v>17.920000000000002</v>
      </c>
      <c r="DE64" s="228">
        <v>17.91</v>
      </c>
      <c r="DF64" s="228">
        <v>-6.63</v>
      </c>
      <c r="DG64" s="228">
        <v>0.01</v>
      </c>
      <c r="DH64" s="228">
        <v>10.78</v>
      </c>
      <c r="DI64" s="228">
        <v>10.83</v>
      </c>
      <c r="DJ64" s="228">
        <v>-0.05</v>
      </c>
      <c r="DK64" s="228">
        <v>-0.05</v>
      </c>
      <c r="DL64" s="228">
        <v>12.12</v>
      </c>
      <c r="DM64" s="228">
        <v>11.6</v>
      </c>
      <c r="DN64" s="228">
        <v>0.52</v>
      </c>
      <c r="DO64" s="228">
        <v>0.52</v>
      </c>
      <c r="DP64" s="228">
        <v>0.71</v>
      </c>
      <c r="DQ64" s="228">
        <v>0.57999999999999996</v>
      </c>
      <c r="DR64" s="228">
        <v>0.13</v>
      </c>
      <c r="DS64" s="229">
        <v>0.22409999999999999</v>
      </c>
      <c r="DT64" s="231">
        <v>27000</v>
      </c>
      <c r="DU64" s="231">
        <v>25000</v>
      </c>
      <c r="DV64" s="228">
        <v>0.62</v>
      </c>
      <c r="DW64" s="228">
        <v>0.66</v>
      </c>
      <c r="DX64" s="228">
        <v>-0.04</v>
      </c>
      <c r="DY64" s="229">
        <v>-6.0600000000000001E-2</v>
      </c>
      <c r="DZ64" s="229">
        <v>3.1899999999999998E-2</v>
      </c>
      <c r="EA64" s="230">
        <v>1170</v>
      </c>
      <c r="EB64" s="229">
        <v>4.8999999999999998E-3</v>
      </c>
      <c r="EC64" s="229">
        <v>3.1899999999999998E-2</v>
      </c>
      <c r="ED64" s="228">
        <v>184.72</v>
      </c>
      <c r="EE64" s="229">
        <v>6.8999999999999999E-3</v>
      </c>
      <c r="EF64" s="228">
        <v>0</v>
      </c>
      <c r="EG64" s="228">
        <v>0</v>
      </c>
      <c r="EH64" s="229">
        <v>0</v>
      </c>
      <c r="EI64" s="229">
        <v>0</v>
      </c>
      <c r="EJ64" s="231">
        <v>640789.68000000005</v>
      </c>
      <c r="EK64" s="231">
        <v>385360.32</v>
      </c>
      <c r="EL64" s="231">
        <v>7239.01</v>
      </c>
      <c r="EM64" s="228">
        <v>0</v>
      </c>
      <c r="EN64" s="231">
        <v>1033389.01</v>
      </c>
      <c r="EO64" s="231">
        <v>610777.01</v>
      </c>
      <c r="EP64" s="231">
        <v>422612</v>
      </c>
      <c r="EQ64" s="229">
        <v>0.69189999999999996</v>
      </c>
      <c r="ER64" s="231">
        <v>203279</v>
      </c>
      <c r="ES64" s="231">
        <v>137937</v>
      </c>
      <c r="ET64" s="231">
        <v>8188</v>
      </c>
      <c r="EU64" s="228">
        <v>0</v>
      </c>
      <c r="EV64" s="231">
        <v>349404</v>
      </c>
      <c r="EW64" s="231">
        <v>174652</v>
      </c>
      <c r="EX64" s="231">
        <v>174752</v>
      </c>
      <c r="EY64" s="229">
        <v>1.0005999999999999</v>
      </c>
      <c r="EZ64" s="229">
        <v>0</v>
      </c>
      <c r="FA64" s="227" t="s">
        <v>556</v>
      </c>
      <c r="FB64" s="161">
        <f t="shared" si="0"/>
        <v>975</v>
      </c>
    </row>
    <row r="65" spans="1:158" ht="17.25" hidden="1" thickBot="1" x14ac:dyDescent="0.3">
      <c r="A65" s="226">
        <v>45936</v>
      </c>
      <c r="B65" s="227" t="s">
        <v>170</v>
      </c>
      <c r="C65" s="227" t="s">
        <v>679</v>
      </c>
      <c r="D65" s="228">
        <v>775</v>
      </c>
      <c r="E65" s="231">
        <v>1057.45</v>
      </c>
      <c r="F65" s="228">
        <v>986.8</v>
      </c>
      <c r="G65" s="228">
        <v>70.650000000000006</v>
      </c>
      <c r="H65" s="229">
        <v>7.1599999999999997E-2</v>
      </c>
      <c r="I65" s="231">
        <v>1053.9000000000001</v>
      </c>
      <c r="J65" s="228">
        <v>980.4</v>
      </c>
      <c r="K65" s="228">
        <v>73.5</v>
      </c>
      <c r="L65" s="229">
        <v>7.4999999999999997E-2</v>
      </c>
      <c r="M65" s="231">
        <v>1057.45</v>
      </c>
      <c r="N65" s="228">
        <v>986.8</v>
      </c>
      <c r="O65" s="228">
        <v>70.650000000000006</v>
      </c>
      <c r="P65" s="229">
        <v>7.1599999999999997E-2</v>
      </c>
      <c r="Q65" s="231">
        <v>1058.0999999999999</v>
      </c>
      <c r="R65" s="228">
        <v>986.9</v>
      </c>
      <c r="S65" s="228">
        <v>71.2</v>
      </c>
      <c r="T65" s="229">
        <v>7.2099999999999997E-2</v>
      </c>
      <c r="U65" s="231">
        <v>1056.7</v>
      </c>
      <c r="V65" s="228">
        <v>985.1</v>
      </c>
      <c r="W65" s="228">
        <v>71.599999999999994</v>
      </c>
      <c r="X65" s="229">
        <v>7.2700000000000001E-2</v>
      </c>
      <c r="Y65" s="228">
        <v>3.55</v>
      </c>
      <c r="Z65" s="228">
        <v>6.4</v>
      </c>
      <c r="AA65" s="228">
        <v>-2.85</v>
      </c>
      <c r="AB65" s="229">
        <v>3.3999999999999998E-3</v>
      </c>
      <c r="AC65" s="228">
        <v>3.55</v>
      </c>
      <c r="AD65" s="228">
        <v>6.4</v>
      </c>
      <c r="AE65" s="228">
        <v>-2.85</v>
      </c>
      <c r="AF65" s="229">
        <v>3.3999999999999998E-3</v>
      </c>
      <c r="AG65" s="228">
        <v>4.2</v>
      </c>
      <c r="AH65" s="228">
        <v>6.5</v>
      </c>
      <c r="AI65" s="228">
        <v>-2.2999999999999998</v>
      </c>
      <c r="AJ65" s="229">
        <v>4.0000000000000001E-3</v>
      </c>
      <c r="AK65" s="228">
        <v>2.8</v>
      </c>
      <c r="AL65" s="228">
        <v>4.7</v>
      </c>
      <c r="AM65" s="228">
        <v>-1.9</v>
      </c>
      <c r="AN65" s="229">
        <v>2.7000000000000001E-3</v>
      </c>
      <c r="AO65" s="231">
        <v>1042.27</v>
      </c>
      <c r="AP65" s="231">
        <v>1043.7</v>
      </c>
      <c r="AQ65" s="228">
        <v>0</v>
      </c>
      <c r="AR65" s="230">
        <v>8578475</v>
      </c>
      <c r="AS65" s="230">
        <v>2242075</v>
      </c>
      <c r="AT65" s="230">
        <v>6336400</v>
      </c>
      <c r="AU65" s="229">
        <v>2.8260999999999998</v>
      </c>
      <c r="AV65" s="230">
        <v>8039075</v>
      </c>
      <c r="AW65" s="230">
        <v>2131250</v>
      </c>
      <c r="AX65" s="230">
        <v>5907825</v>
      </c>
      <c r="AY65" s="229">
        <v>2.7719999999999998</v>
      </c>
      <c r="AZ65" s="230">
        <v>508400</v>
      </c>
      <c r="BA65" s="230">
        <v>105400</v>
      </c>
      <c r="BB65" s="230">
        <v>403000</v>
      </c>
      <c r="BC65" s="229">
        <v>3.8235000000000001</v>
      </c>
      <c r="BD65" s="230">
        <v>31000</v>
      </c>
      <c r="BE65" s="230">
        <v>5425</v>
      </c>
      <c r="BF65" s="230">
        <v>25575</v>
      </c>
      <c r="BG65" s="229">
        <v>4.7142999999999997</v>
      </c>
      <c r="BH65" s="230">
        <v>52274525</v>
      </c>
      <c r="BI65" s="230">
        <v>3863375</v>
      </c>
      <c r="BJ65" s="230">
        <v>48411150</v>
      </c>
      <c r="BK65" s="229">
        <v>12.530799999999999</v>
      </c>
      <c r="BL65" s="230">
        <v>18176850</v>
      </c>
      <c r="BM65" s="230">
        <v>2441250</v>
      </c>
      <c r="BN65" s="230">
        <v>15735600</v>
      </c>
      <c r="BO65" s="229">
        <v>6.4457000000000004</v>
      </c>
      <c r="BP65" s="230">
        <v>79029850</v>
      </c>
      <c r="BQ65" s="230">
        <v>8546700</v>
      </c>
      <c r="BR65" s="230">
        <v>70483150</v>
      </c>
      <c r="BS65" s="229">
        <v>8.2468000000000004</v>
      </c>
      <c r="BT65" s="230">
        <v>11146361</v>
      </c>
      <c r="BU65" s="230">
        <v>3540491</v>
      </c>
      <c r="BV65" s="230">
        <v>7605870</v>
      </c>
      <c r="BW65" s="229">
        <v>2.1482999999999999</v>
      </c>
      <c r="BX65" s="230">
        <v>8730375</v>
      </c>
      <c r="BY65" s="230">
        <v>7694200</v>
      </c>
      <c r="BZ65" s="230">
        <v>1036175</v>
      </c>
      <c r="CA65" s="229">
        <v>0.13469999999999999</v>
      </c>
      <c r="CB65" s="230">
        <v>8417275</v>
      </c>
      <c r="CC65" s="230">
        <v>7406675</v>
      </c>
      <c r="CD65" s="230">
        <v>1010600</v>
      </c>
      <c r="CE65" s="229">
        <v>0.13639999999999999</v>
      </c>
      <c r="CF65" s="230">
        <v>296825</v>
      </c>
      <c r="CG65" s="230">
        <v>282875</v>
      </c>
      <c r="CH65" s="230">
        <v>13950</v>
      </c>
      <c r="CI65" s="229">
        <v>4.9299999999999997E-2</v>
      </c>
      <c r="CJ65" s="230">
        <v>16275</v>
      </c>
      <c r="CK65" s="230">
        <v>4650</v>
      </c>
      <c r="CL65" s="230">
        <v>11625</v>
      </c>
      <c r="CM65" s="229">
        <v>2.5</v>
      </c>
      <c r="CN65" s="230">
        <v>4226075</v>
      </c>
      <c r="CO65" s="230">
        <v>1818150</v>
      </c>
      <c r="CP65" s="230">
        <v>2407925</v>
      </c>
      <c r="CQ65" s="229">
        <v>1.3244</v>
      </c>
      <c r="CR65" s="230">
        <v>2950425</v>
      </c>
      <c r="CS65" s="230">
        <v>1056325</v>
      </c>
      <c r="CT65" s="230">
        <v>1894100</v>
      </c>
      <c r="CU65" s="229">
        <v>1.7930999999999999</v>
      </c>
      <c r="CV65" s="230">
        <v>15906875</v>
      </c>
      <c r="CW65" s="230">
        <v>10568675</v>
      </c>
      <c r="CX65" s="230">
        <v>5338200</v>
      </c>
      <c r="CY65" s="229">
        <v>0.50509999999999999</v>
      </c>
      <c r="CZ65" s="228">
        <v>28.02</v>
      </c>
      <c r="DA65" s="228">
        <v>24.42</v>
      </c>
      <c r="DB65" s="228">
        <v>3.6</v>
      </c>
      <c r="DC65" s="228">
        <v>3.6</v>
      </c>
      <c r="DD65" s="228">
        <v>37.15</v>
      </c>
      <c r="DE65" s="228">
        <v>35.94</v>
      </c>
      <c r="DF65" s="228">
        <v>-9.1300000000000008</v>
      </c>
      <c r="DG65" s="228">
        <v>1.21</v>
      </c>
      <c r="DH65" s="228">
        <v>27.71</v>
      </c>
      <c r="DI65" s="228">
        <v>24.38</v>
      </c>
      <c r="DJ65" s="228">
        <v>3.33</v>
      </c>
      <c r="DK65" s="228">
        <v>3.33</v>
      </c>
      <c r="DL65" s="228">
        <v>28.89</v>
      </c>
      <c r="DM65" s="228">
        <v>24.49</v>
      </c>
      <c r="DN65" s="228">
        <v>4.4000000000000004</v>
      </c>
      <c r="DO65" s="228">
        <v>4.4000000000000004</v>
      </c>
      <c r="DP65" s="228">
        <v>0.7</v>
      </c>
      <c r="DQ65" s="228">
        <v>0.57999999999999996</v>
      </c>
      <c r="DR65" s="228">
        <v>0.12</v>
      </c>
      <c r="DS65" s="229">
        <v>0.2069</v>
      </c>
      <c r="DT65" s="231">
        <v>1100</v>
      </c>
      <c r="DU65" s="231">
        <v>1000</v>
      </c>
      <c r="DV65" s="228">
        <v>0.35</v>
      </c>
      <c r="DW65" s="228">
        <v>0.63</v>
      </c>
      <c r="DX65" s="228">
        <v>-0.28000000000000003</v>
      </c>
      <c r="DY65" s="229">
        <v>-0.44440000000000002</v>
      </c>
      <c r="DZ65" s="229">
        <v>3.5900000000000001E-2</v>
      </c>
      <c r="EA65" s="230">
        <v>287525</v>
      </c>
      <c r="EB65" s="229">
        <v>5.9999999999999995E-4</v>
      </c>
      <c r="EC65" s="229">
        <v>3.5900000000000001E-2</v>
      </c>
      <c r="ED65" s="228">
        <v>1.43</v>
      </c>
      <c r="EE65" s="229">
        <v>1.4E-3</v>
      </c>
      <c r="EF65" s="230">
        <v>3641262</v>
      </c>
      <c r="EG65" s="230">
        <v>2273593</v>
      </c>
      <c r="EH65" s="229">
        <v>0.60150000000000003</v>
      </c>
      <c r="EI65" s="229">
        <v>0.32669999999999999</v>
      </c>
      <c r="EJ65" s="231">
        <v>568988.04</v>
      </c>
      <c r="EK65" s="231">
        <v>186521.87</v>
      </c>
      <c r="EL65" s="231">
        <v>89420.06</v>
      </c>
      <c r="EM65" s="231">
        <v>5391</v>
      </c>
      <c r="EN65" s="231">
        <v>844929.97</v>
      </c>
      <c r="EO65" s="231">
        <v>86018.47</v>
      </c>
      <c r="EP65" s="231">
        <v>758911.5</v>
      </c>
      <c r="EQ65" s="229">
        <v>8.8226999999999993</v>
      </c>
      <c r="ER65" s="231">
        <v>45192</v>
      </c>
      <c r="ES65" s="231">
        <v>29204</v>
      </c>
      <c r="ET65" s="231">
        <v>92321</v>
      </c>
      <c r="EU65" s="231">
        <v>62490435</v>
      </c>
      <c r="EV65" s="231">
        <v>166718</v>
      </c>
      <c r="EW65" s="231">
        <v>104304</v>
      </c>
      <c r="EX65" s="231">
        <v>62414</v>
      </c>
      <c r="EY65" s="229">
        <v>0.59840000000000004</v>
      </c>
      <c r="EZ65" s="229">
        <v>0.2545</v>
      </c>
      <c r="FA65" s="227" t="s">
        <v>555</v>
      </c>
      <c r="FB65" s="161">
        <f t="shared" si="0"/>
        <v>313100</v>
      </c>
    </row>
    <row r="66" spans="1:158" ht="17.25" hidden="1" thickBot="1" x14ac:dyDescent="0.3">
      <c r="A66" s="226">
        <v>45936</v>
      </c>
      <c r="B66" s="227" t="s">
        <v>193</v>
      </c>
      <c r="C66" s="227" t="s">
        <v>213</v>
      </c>
      <c r="D66" s="228">
        <v>3150</v>
      </c>
      <c r="E66" s="228">
        <v>177.62</v>
      </c>
      <c r="F66" s="228">
        <v>178.5</v>
      </c>
      <c r="G66" s="228">
        <v>-0.88</v>
      </c>
      <c r="H66" s="229">
        <v>-4.8999999999999998E-3</v>
      </c>
      <c r="I66" s="228">
        <v>176.62</v>
      </c>
      <c r="J66" s="228">
        <v>177.36</v>
      </c>
      <c r="K66" s="228">
        <v>-0.74</v>
      </c>
      <c r="L66" s="229">
        <v>-4.1999999999999997E-3</v>
      </c>
      <c r="M66" s="228">
        <v>177.62</v>
      </c>
      <c r="N66" s="228">
        <v>178.5</v>
      </c>
      <c r="O66" s="228">
        <v>-0.88</v>
      </c>
      <c r="P66" s="229">
        <v>-4.8999999999999998E-3</v>
      </c>
      <c r="Q66" s="228">
        <v>178.64</v>
      </c>
      <c r="R66" s="228">
        <v>179.4</v>
      </c>
      <c r="S66" s="228">
        <v>-0.76</v>
      </c>
      <c r="T66" s="229">
        <v>-4.1999999999999997E-3</v>
      </c>
      <c r="U66" s="228">
        <v>178.6</v>
      </c>
      <c r="V66" s="228">
        <v>180.48</v>
      </c>
      <c r="W66" s="228">
        <v>-1.88</v>
      </c>
      <c r="X66" s="229">
        <v>-1.04E-2</v>
      </c>
      <c r="Y66" s="228">
        <v>1</v>
      </c>
      <c r="Z66" s="228">
        <v>1.1399999999999999</v>
      </c>
      <c r="AA66" s="228">
        <v>-0.14000000000000001</v>
      </c>
      <c r="AB66" s="229">
        <v>5.7000000000000002E-3</v>
      </c>
      <c r="AC66" s="228">
        <v>1</v>
      </c>
      <c r="AD66" s="228">
        <v>1.1399999999999999</v>
      </c>
      <c r="AE66" s="228">
        <v>-0.14000000000000001</v>
      </c>
      <c r="AF66" s="229">
        <v>5.7000000000000002E-3</v>
      </c>
      <c r="AG66" s="228">
        <v>2.02</v>
      </c>
      <c r="AH66" s="228">
        <v>2.04</v>
      </c>
      <c r="AI66" s="228">
        <v>-0.02</v>
      </c>
      <c r="AJ66" s="229">
        <v>1.14E-2</v>
      </c>
      <c r="AK66" s="228">
        <v>1.98</v>
      </c>
      <c r="AL66" s="228">
        <v>3.12</v>
      </c>
      <c r="AM66" s="228">
        <v>-1.1399999999999999</v>
      </c>
      <c r="AN66" s="229">
        <v>1.12E-2</v>
      </c>
      <c r="AO66" s="228">
        <v>177.59</v>
      </c>
      <c r="AP66" s="228">
        <v>178.57</v>
      </c>
      <c r="AQ66" s="228">
        <v>0</v>
      </c>
      <c r="AR66" s="230">
        <v>9941400</v>
      </c>
      <c r="AS66" s="230">
        <v>8801100</v>
      </c>
      <c r="AT66" s="230">
        <v>1140300</v>
      </c>
      <c r="AU66" s="229">
        <v>0.12959999999999999</v>
      </c>
      <c r="AV66" s="230">
        <v>9301950</v>
      </c>
      <c r="AW66" s="230">
        <v>8240400</v>
      </c>
      <c r="AX66" s="230">
        <v>1061550</v>
      </c>
      <c r="AY66" s="229">
        <v>0.1288</v>
      </c>
      <c r="AZ66" s="230">
        <v>623700</v>
      </c>
      <c r="BA66" s="230">
        <v>406350</v>
      </c>
      <c r="BB66" s="230">
        <v>217350</v>
      </c>
      <c r="BC66" s="229">
        <v>0.53490000000000004</v>
      </c>
      <c r="BD66" s="230">
        <v>15750</v>
      </c>
      <c r="BE66" s="230">
        <v>154350</v>
      </c>
      <c r="BF66" s="230">
        <v>-138600</v>
      </c>
      <c r="BG66" s="229">
        <v>-0.89800000000000002</v>
      </c>
      <c r="BH66" s="230">
        <v>29673000</v>
      </c>
      <c r="BI66" s="230">
        <v>25080300</v>
      </c>
      <c r="BJ66" s="230">
        <v>4592700</v>
      </c>
      <c r="BK66" s="229">
        <v>0.18310000000000001</v>
      </c>
      <c r="BL66" s="230">
        <v>7449750</v>
      </c>
      <c r="BM66" s="230">
        <v>7799400</v>
      </c>
      <c r="BN66" s="230">
        <v>-349650</v>
      </c>
      <c r="BO66" s="229">
        <v>-4.48E-2</v>
      </c>
      <c r="BP66" s="230">
        <v>47064150</v>
      </c>
      <c r="BQ66" s="230">
        <v>41680800</v>
      </c>
      <c r="BR66" s="230">
        <v>5383350</v>
      </c>
      <c r="BS66" s="229">
        <v>0.12920000000000001</v>
      </c>
      <c r="BT66" s="230">
        <v>5333641</v>
      </c>
      <c r="BU66" s="230">
        <v>8038379</v>
      </c>
      <c r="BV66" s="230">
        <v>-2704738</v>
      </c>
      <c r="BW66" s="229">
        <v>-0.33650000000000002</v>
      </c>
      <c r="BX66" s="230">
        <v>102560850</v>
      </c>
      <c r="BY66" s="230">
        <v>102066300</v>
      </c>
      <c r="BZ66" s="230">
        <v>494550</v>
      </c>
      <c r="CA66" s="229">
        <v>4.7999999999999996E-3</v>
      </c>
      <c r="CB66" s="230">
        <v>99543150</v>
      </c>
      <c r="CC66" s="230">
        <v>99256500</v>
      </c>
      <c r="CD66" s="230">
        <v>286650</v>
      </c>
      <c r="CE66" s="229">
        <v>2.8999999999999998E-3</v>
      </c>
      <c r="CF66" s="230">
        <v>2920050</v>
      </c>
      <c r="CG66" s="230">
        <v>2721600</v>
      </c>
      <c r="CH66" s="230">
        <v>198450</v>
      </c>
      <c r="CI66" s="229">
        <v>7.2900000000000006E-2</v>
      </c>
      <c r="CJ66" s="230">
        <v>97650</v>
      </c>
      <c r="CK66" s="230">
        <v>88200</v>
      </c>
      <c r="CL66" s="230">
        <v>9450</v>
      </c>
      <c r="CM66" s="229">
        <v>0.1071</v>
      </c>
      <c r="CN66" s="230">
        <v>35985600</v>
      </c>
      <c r="CO66" s="230">
        <v>31036950</v>
      </c>
      <c r="CP66" s="230">
        <v>4948650</v>
      </c>
      <c r="CQ66" s="229">
        <v>0.15939999999999999</v>
      </c>
      <c r="CR66" s="230">
        <v>23287950</v>
      </c>
      <c r="CS66" s="230">
        <v>22166550</v>
      </c>
      <c r="CT66" s="230">
        <v>1121400</v>
      </c>
      <c r="CU66" s="229">
        <v>5.0599999999999999E-2</v>
      </c>
      <c r="CV66" s="230">
        <v>161834400</v>
      </c>
      <c r="CW66" s="230">
        <v>155269800</v>
      </c>
      <c r="CX66" s="230">
        <v>6564600</v>
      </c>
      <c r="CY66" s="229">
        <v>4.2299999999999997E-2</v>
      </c>
      <c r="CZ66" s="228">
        <v>26.29</v>
      </c>
      <c r="DA66" s="228">
        <v>24.76</v>
      </c>
      <c r="DB66" s="228">
        <v>1.53</v>
      </c>
      <c r="DC66" s="228">
        <v>1.53</v>
      </c>
      <c r="DD66" s="228">
        <v>36.78</v>
      </c>
      <c r="DE66" s="228">
        <v>36.869999999999997</v>
      </c>
      <c r="DF66" s="228">
        <v>-10.49</v>
      </c>
      <c r="DG66" s="228">
        <v>-0.09</v>
      </c>
      <c r="DH66" s="228">
        <v>26.54</v>
      </c>
      <c r="DI66" s="228">
        <v>24.92</v>
      </c>
      <c r="DJ66" s="228">
        <v>1.62</v>
      </c>
      <c r="DK66" s="228">
        <v>1.62</v>
      </c>
      <c r="DL66" s="228">
        <v>25.31</v>
      </c>
      <c r="DM66" s="228">
        <v>24.25</v>
      </c>
      <c r="DN66" s="228">
        <v>1.06</v>
      </c>
      <c r="DO66" s="228">
        <v>1.06</v>
      </c>
      <c r="DP66" s="228">
        <v>0.65</v>
      </c>
      <c r="DQ66" s="228">
        <v>0.71</v>
      </c>
      <c r="DR66" s="228">
        <v>-0.06</v>
      </c>
      <c r="DS66" s="229">
        <v>-8.4500000000000006E-2</v>
      </c>
      <c r="DT66" s="228">
        <v>180</v>
      </c>
      <c r="DU66" s="228">
        <v>175</v>
      </c>
      <c r="DV66" s="228">
        <v>0.25</v>
      </c>
      <c r="DW66" s="228">
        <v>0.31</v>
      </c>
      <c r="DX66" s="228">
        <v>-0.06</v>
      </c>
      <c r="DY66" s="229">
        <v>-0.19350000000000001</v>
      </c>
      <c r="DZ66" s="229">
        <v>2.9399999999999999E-2</v>
      </c>
      <c r="EA66" s="230">
        <v>2809800</v>
      </c>
      <c r="EB66" s="229">
        <v>5.7000000000000002E-3</v>
      </c>
      <c r="EC66" s="229">
        <v>2.9399999999999999E-2</v>
      </c>
      <c r="ED66" s="228">
        <v>0.98</v>
      </c>
      <c r="EE66" s="229">
        <v>5.4999999999999997E-3</v>
      </c>
      <c r="EF66" s="230">
        <v>2471878</v>
      </c>
      <c r="EG66" s="230">
        <v>4341987</v>
      </c>
      <c r="EH66" s="229">
        <v>-0.43070000000000003</v>
      </c>
      <c r="EI66" s="229">
        <v>0.46350000000000002</v>
      </c>
      <c r="EJ66" s="231">
        <v>55109.71</v>
      </c>
      <c r="EK66" s="231">
        <v>13355.64</v>
      </c>
      <c r="EL66" s="231">
        <v>17661.53</v>
      </c>
      <c r="EM66" s="231">
        <v>11034</v>
      </c>
      <c r="EN66" s="231">
        <v>86126.88</v>
      </c>
      <c r="EO66" s="231">
        <v>76108.62</v>
      </c>
      <c r="EP66" s="231">
        <v>10018.26</v>
      </c>
      <c r="EQ66" s="229">
        <v>0.13159999999999999</v>
      </c>
      <c r="ER66" s="231">
        <v>66319</v>
      </c>
      <c r="ES66" s="231">
        <v>41977</v>
      </c>
      <c r="ET66" s="231">
        <v>182199</v>
      </c>
      <c r="EU66" s="231">
        <v>402429848</v>
      </c>
      <c r="EV66" s="231">
        <v>290496</v>
      </c>
      <c r="EW66" s="231">
        <v>279640</v>
      </c>
      <c r="EX66" s="231">
        <v>10856</v>
      </c>
      <c r="EY66" s="229">
        <v>3.8800000000000001E-2</v>
      </c>
      <c r="EZ66" s="229">
        <v>0.40210000000000001</v>
      </c>
      <c r="FA66" s="227" t="s">
        <v>567</v>
      </c>
      <c r="FB66" s="161">
        <f t="shared" si="0"/>
        <v>3017700</v>
      </c>
    </row>
    <row r="67" spans="1:158" ht="17.25" hidden="1" thickBot="1" x14ac:dyDescent="0.3">
      <c r="A67" s="226">
        <v>45936</v>
      </c>
      <c r="B67" s="227" t="s">
        <v>170</v>
      </c>
      <c r="C67" s="227" t="s">
        <v>214</v>
      </c>
      <c r="D67" s="228">
        <v>375</v>
      </c>
      <c r="E67" s="231">
        <v>1978.4</v>
      </c>
      <c r="F67" s="231">
        <v>1988</v>
      </c>
      <c r="G67" s="228">
        <v>-9.6</v>
      </c>
      <c r="H67" s="229">
        <v>-4.7999999999999996E-3</v>
      </c>
      <c r="I67" s="231">
        <v>1971.2</v>
      </c>
      <c r="J67" s="231">
        <v>1980.2</v>
      </c>
      <c r="K67" s="228">
        <v>-9</v>
      </c>
      <c r="L67" s="229">
        <v>-4.4999999999999997E-3</v>
      </c>
      <c r="M67" s="231">
        <v>1978.4</v>
      </c>
      <c r="N67" s="231">
        <v>1988</v>
      </c>
      <c r="O67" s="228">
        <v>-9.6</v>
      </c>
      <c r="P67" s="229">
        <v>-4.7999999999999996E-3</v>
      </c>
      <c r="Q67" s="231">
        <v>1986.1</v>
      </c>
      <c r="R67" s="231">
        <v>2000.9</v>
      </c>
      <c r="S67" s="228">
        <v>-14.8</v>
      </c>
      <c r="T67" s="229">
        <v>-7.4000000000000003E-3</v>
      </c>
      <c r="U67" s="231">
        <v>1997</v>
      </c>
      <c r="V67" s="231">
        <v>2008</v>
      </c>
      <c r="W67" s="228">
        <v>-11</v>
      </c>
      <c r="X67" s="229">
        <v>-5.4999999999999997E-3</v>
      </c>
      <c r="Y67" s="228">
        <v>7.2</v>
      </c>
      <c r="Z67" s="228">
        <v>7.8</v>
      </c>
      <c r="AA67" s="228">
        <v>-0.6</v>
      </c>
      <c r="AB67" s="229">
        <v>3.7000000000000002E-3</v>
      </c>
      <c r="AC67" s="228">
        <v>7.2</v>
      </c>
      <c r="AD67" s="228">
        <v>7.8</v>
      </c>
      <c r="AE67" s="228">
        <v>-0.6</v>
      </c>
      <c r="AF67" s="229">
        <v>3.7000000000000002E-3</v>
      </c>
      <c r="AG67" s="228">
        <v>14.9</v>
      </c>
      <c r="AH67" s="228">
        <v>20.7</v>
      </c>
      <c r="AI67" s="228">
        <v>-5.8</v>
      </c>
      <c r="AJ67" s="229">
        <v>7.6E-3</v>
      </c>
      <c r="AK67" s="228">
        <v>25.8</v>
      </c>
      <c r="AL67" s="228">
        <v>27.8</v>
      </c>
      <c r="AM67" s="228">
        <v>-2</v>
      </c>
      <c r="AN67" s="229">
        <v>1.3100000000000001E-2</v>
      </c>
      <c r="AO67" s="231">
        <v>1967.51</v>
      </c>
      <c r="AP67" s="231">
        <v>1978.34</v>
      </c>
      <c r="AQ67" s="228">
        <v>0</v>
      </c>
      <c r="AR67" s="230">
        <v>565500</v>
      </c>
      <c r="AS67" s="230">
        <v>798000</v>
      </c>
      <c r="AT67" s="230">
        <v>-232500</v>
      </c>
      <c r="AU67" s="229">
        <v>-0.29139999999999999</v>
      </c>
      <c r="AV67" s="230">
        <v>549375</v>
      </c>
      <c r="AW67" s="230">
        <v>775125</v>
      </c>
      <c r="AX67" s="230">
        <v>-225750</v>
      </c>
      <c r="AY67" s="229">
        <v>-0.29120000000000001</v>
      </c>
      <c r="AZ67" s="230">
        <v>15375</v>
      </c>
      <c r="BA67" s="230">
        <v>21375</v>
      </c>
      <c r="BB67" s="230">
        <v>-6000</v>
      </c>
      <c r="BC67" s="229">
        <v>-0.28070000000000001</v>
      </c>
      <c r="BD67" s="228">
        <v>750</v>
      </c>
      <c r="BE67" s="230">
        <v>1500</v>
      </c>
      <c r="BF67" s="228">
        <v>-750</v>
      </c>
      <c r="BG67" s="229">
        <v>-0.5</v>
      </c>
      <c r="BH67" s="230">
        <v>984000</v>
      </c>
      <c r="BI67" s="230">
        <v>1514625</v>
      </c>
      <c r="BJ67" s="230">
        <v>-530625</v>
      </c>
      <c r="BK67" s="229">
        <v>-0.3503</v>
      </c>
      <c r="BL67" s="230">
        <v>376125</v>
      </c>
      <c r="BM67" s="230">
        <v>517875</v>
      </c>
      <c r="BN67" s="230">
        <v>-141750</v>
      </c>
      <c r="BO67" s="229">
        <v>-0.2737</v>
      </c>
      <c r="BP67" s="230">
        <v>1925625</v>
      </c>
      <c r="BQ67" s="230">
        <v>2830500</v>
      </c>
      <c r="BR67" s="230">
        <v>-904875</v>
      </c>
      <c r="BS67" s="229">
        <v>-0.31969999999999998</v>
      </c>
      <c r="BT67" s="230">
        <v>352230</v>
      </c>
      <c r="BU67" s="230">
        <v>427658</v>
      </c>
      <c r="BV67" s="230">
        <v>-75428</v>
      </c>
      <c r="BW67" s="229">
        <v>-0.1764</v>
      </c>
      <c r="BX67" s="230">
        <v>7305375</v>
      </c>
      <c r="BY67" s="230">
        <v>7339125</v>
      </c>
      <c r="BZ67" s="230">
        <v>-33750</v>
      </c>
      <c r="CA67" s="229">
        <v>-4.5999999999999999E-3</v>
      </c>
      <c r="CB67" s="230">
        <v>7230000</v>
      </c>
      <c r="CC67" s="230">
        <v>7264875</v>
      </c>
      <c r="CD67" s="230">
        <v>-34875</v>
      </c>
      <c r="CE67" s="229">
        <v>-4.7999999999999996E-3</v>
      </c>
      <c r="CF67" s="230">
        <v>73125</v>
      </c>
      <c r="CG67" s="230">
        <v>72375</v>
      </c>
      <c r="CH67" s="228">
        <v>750</v>
      </c>
      <c r="CI67" s="229">
        <v>1.04E-2</v>
      </c>
      <c r="CJ67" s="230">
        <v>2250</v>
      </c>
      <c r="CK67" s="230">
        <v>1875</v>
      </c>
      <c r="CL67" s="228">
        <v>375</v>
      </c>
      <c r="CM67" s="229">
        <v>0.2</v>
      </c>
      <c r="CN67" s="230">
        <v>1380375</v>
      </c>
      <c r="CO67" s="230">
        <v>1310250</v>
      </c>
      <c r="CP67" s="230">
        <v>70125</v>
      </c>
      <c r="CQ67" s="229">
        <v>5.3499999999999999E-2</v>
      </c>
      <c r="CR67" s="230">
        <v>958875</v>
      </c>
      <c r="CS67" s="230">
        <v>954375</v>
      </c>
      <c r="CT67" s="230">
        <v>4500</v>
      </c>
      <c r="CU67" s="229">
        <v>4.7000000000000002E-3</v>
      </c>
      <c r="CV67" s="230">
        <v>9644625</v>
      </c>
      <c r="CW67" s="230">
        <v>9603750</v>
      </c>
      <c r="CX67" s="230">
        <v>40875</v>
      </c>
      <c r="CY67" s="229">
        <v>4.3E-3</v>
      </c>
      <c r="CZ67" s="228">
        <v>27.35</v>
      </c>
      <c r="DA67" s="228">
        <v>26.94</v>
      </c>
      <c r="DB67" s="228">
        <v>0.41</v>
      </c>
      <c r="DC67" s="228">
        <v>0.41</v>
      </c>
      <c r="DD67" s="228">
        <v>38.79</v>
      </c>
      <c r="DE67" s="228">
        <v>38.880000000000003</v>
      </c>
      <c r="DF67" s="228">
        <v>-11.44</v>
      </c>
      <c r="DG67" s="228">
        <v>-0.09</v>
      </c>
      <c r="DH67" s="228">
        <v>27.45</v>
      </c>
      <c r="DI67" s="228">
        <v>27.05</v>
      </c>
      <c r="DJ67" s="228">
        <v>0.4</v>
      </c>
      <c r="DK67" s="228">
        <v>0.4</v>
      </c>
      <c r="DL67" s="228">
        <v>27.11</v>
      </c>
      <c r="DM67" s="228">
        <v>26.6</v>
      </c>
      <c r="DN67" s="228">
        <v>0.51</v>
      </c>
      <c r="DO67" s="228">
        <v>0.51</v>
      </c>
      <c r="DP67" s="228">
        <v>0.69</v>
      </c>
      <c r="DQ67" s="228">
        <v>0.73</v>
      </c>
      <c r="DR67" s="228">
        <v>-0.04</v>
      </c>
      <c r="DS67" s="229">
        <v>-5.4800000000000001E-2</v>
      </c>
      <c r="DT67" s="231">
        <v>2200</v>
      </c>
      <c r="DU67" s="231">
        <v>1860</v>
      </c>
      <c r="DV67" s="228">
        <v>0.38</v>
      </c>
      <c r="DW67" s="228">
        <v>0.34</v>
      </c>
      <c r="DX67" s="228">
        <v>0.04</v>
      </c>
      <c r="DY67" s="229">
        <v>0.1176</v>
      </c>
      <c r="DZ67" s="229">
        <v>1.03E-2</v>
      </c>
      <c r="EA67" s="230">
        <v>74250</v>
      </c>
      <c r="EB67" s="229">
        <v>3.8999999999999998E-3</v>
      </c>
      <c r="EC67" s="229">
        <v>1.03E-2</v>
      </c>
      <c r="ED67" s="228">
        <v>10.83</v>
      </c>
      <c r="EE67" s="229">
        <v>5.4999999999999997E-3</v>
      </c>
      <c r="EF67" s="230">
        <v>173395</v>
      </c>
      <c r="EG67" s="230">
        <v>168562</v>
      </c>
      <c r="EH67" s="229">
        <v>2.87E-2</v>
      </c>
      <c r="EI67" s="229">
        <v>0.49230000000000002</v>
      </c>
      <c r="EJ67" s="231">
        <v>20475.91</v>
      </c>
      <c r="EK67" s="231">
        <v>7298.8</v>
      </c>
      <c r="EL67" s="231">
        <v>11128.11</v>
      </c>
      <c r="EM67" s="231">
        <v>6997</v>
      </c>
      <c r="EN67" s="231">
        <v>38902.82</v>
      </c>
      <c r="EO67" s="231">
        <v>57512.88</v>
      </c>
      <c r="EP67" s="231">
        <v>-18610.060000000001</v>
      </c>
      <c r="EQ67" s="229">
        <v>-0.3236</v>
      </c>
      <c r="ER67" s="231">
        <v>29094</v>
      </c>
      <c r="ES67" s="231">
        <v>18325</v>
      </c>
      <c r="ET67" s="231">
        <v>144536</v>
      </c>
      <c r="EU67" s="231">
        <v>22585180</v>
      </c>
      <c r="EV67" s="231">
        <v>191955</v>
      </c>
      <c r="EW67" s="231">
        <v>191719</v>
      </c>
      <c r="EX67" s="228">
        <v>236</v>
      </c>
      <c r="EY67" s="229">
        <v>1.1999999999999999E-3</v>
      </c>
      <c r="EZ67" s="229">
        <v>0.42699999999999999</v>
      </c>
      <c r="FA67" s="227" t="s">
        <v>568</v>
      </c>
      <c r="FB67" s="161">
        <f t="shared" ref="FB67:FB130" si="1">BX67-CB67</f>
        <v>75375</v>
      </c>
    </row>
    <row r="68" spans="1:158" ht="17.25" hidden="1" thickBot="1" x14ac:dyDescent="0.3">
      <c r="A68" s="226">
        <v>45936</v>
      </c>
      <c r="B68" s="227" t="s">
        <v>215</v>
      </c>
      <c r="C68" s="227" t="s">
        <v>632</v>
      </c>
      <c r="D68" s="228">
        <v>6975</v>
      </c>
      <c r="E68" s="228">
        <v>89</v>
      </c>
      <c r="F68" s="228">
        <v>89.64</v>
      </c>
      <c r="G68" s="228">
        <v>-0.64</v>
      </c>
      <c r="H68" s="229">
        <v>-7.1000000000000004E-3</v>
      </c>
      <c r="I68" s="228">
        <v>88.7</v>
      </c>
      <c r="J68" s="228">
        <v>89.28</v>
      </c>
      <c r="K68" s="228">
        <v>-0.57999999999999996</v>
      </c>
      <c r="L68" s="229">
        <v>-6.4999999999999997E-3</v>
      </c>
      <c r="M68" s="228">
        <v>89</v>
      </c>
      <c r="N68" s="228">
        <v>89.64</v>
      </c>
      <c r="O68" s="228">
        <v>-0.64</v>
      </c>
      <c r="P68" s="229">
        <v>-7.1000000000000004E-3</v>
      </c>
      <c r="Q68" s="228">
        <v>89.49</v>
      </c>
      <c r="R68" s="228">
        <v>90.18</v>
      </c>
      <c r="S68" s="228">
        <v>-0.69</v>
      </c>
      <c r="T68" s="229">
        <v>-7.7000000000000002E-3</v>
      </c>
      <c r="U68" s="228">
        <v>90</v>
      </c>
      <c r="V68" s="228">
        <v>90.54</v>
      </c>
      <c r="W68" s="228">
        <v>-0.54</v>
      </c>
      <c r="X68" s="229">
        <v>-6.0000000000000001E-3</v>
      </c>
      <c r="Y68" s="228">
        <v>0.3</v>
      </c>
      <c r="Z68" s="228">
        <v>0.36</v>
      </c>
      <c r="AA68" s="228">
        <v>-0.06</v>
      </c>
      <c r="AB68" s="229">
        <v>3.3999999999999998E-3</v>
      </c>
      <c r="AC68" s="228">
        <v>0.3</v>
      </c>
      <c r="AD68" s="228">
        <v>0.36</v>
      </c>
      <c r="AE68" s="228">
        <v>-0.06</v>
      </c>
      <c r="AF68" s="229">
        <v>3.3999999999999998E-3</v>
      </c>
      <c r="AG68" s="228">
        <v>0.79</v>
      </c>
      <c r="AH68" s="228">
        <v>0.9</v>
      </c>
      <c r="AI68" s="228">
        <v>-0.11</v>
      </c>
      <c r="AJ68" s="229">
        <v>8.8999999999999999E-3</v>
      </c>
      <c r="AK68" s="228">
        <v>1.3</v>
      </c>
      <c r="AL68" s="228">
        <v>1.26</v>
      </c>
      <c r="AM68" s="228">
        <v>0.04</v>
      </c>
      <c r="AN68" s="229">
        <v>1.47E-2</v>
      </c>
      <c r="AO68" s="228">
        <v>88.57</v>
      </c>
      <c r="AP68" s="228">
        <v>88.86</v>
      </c>
      <c r="AQ68" s="228">
        <v>0</v>
      </c>
      <c r="AR68" s="230">
        <v>22605975</v>
      </c>
      <c r="AS68" s="230">
        <v>17465400</v>
      </c>
      <c r="AT68" s="230">
        <v>5140575</v>
      </c>
      <c r="AU68" s="229">
        <v>0.29430000000000001</v>
      </c>
      <c r="AV68" s="230">
        <v>19055700</v>
      </c>
      <c r="AW68" s="230">
        <v>16091325</v>
      </c>
      <c r="AX68" s="230">
        <v>2964375</v>
      </c>
      <c r="AY68" s="229">
        <v>0.1842</v>
      </c>
      <c r="AZ68" s="230">
        <v>3431700</v>
      </c>
      <c r="BA68" s="230">
        <v>1304325</v>
      </c>
      <c r="BB68" s="230">
        <v>2127375</v>
      </c>
      <c r="BC68" s="229">
        <v>1.631</v>
      </c>
      <c r="BD68" s="230">
        <v>118575</v>
      </c>
      <c r="BE68" s="230">
        <v>69750</v>
      </c>
      <c r="BF68" s="230">
        <v>48825</v>
      </c>
      <c r="BG68" s="229">
        <v>0.7</v>
      </c>
      <c r="BH68" s="230">
        <v>41466375</v>
      </c>
      <c r="BI68" s="230">
        <v>29720475</v>
      </c>
      <c r="BJ68" s="230">
        <v>11745900</v>
      </c>
      <c r="BK68" s="229">
        <v>0.3952</v>
      </c>
      <c r="BL68" s="230">
        <v>15205500</v>
      </c>
      <c r="BM68" s="230">
        <v>11452950</v>
      </c>
      <c r="BN68" s="230">
        <v>3752550</v>
      </c>
      <c r="BO68" s="229">
        <v>0.3276</v>
      </c>
      <c r="BP68" s="230">
        <v>79277850</v>
      </c>
      <c r="BQ68" s="230">
        <v>58638825</v>
      </c>
      <c r="BR68" s="230">
        <v>20639025</v>
      </c>
      <c r="BS68" s="229">
        <v>0.35199999999999998</v>
      </c>
      <c r="BT68" s="230">
        <v>7601497</v>
      </c>
      <c r="BU68" s="230">
        <v>6940845</v>
      </c>
      <c r="BV68" s="230">
        <v>660652</v>
      </c>
      <c r="BW68" s="229">
        <v>9.5200000000000007E-2</v>
      </c>
      <c r="BX68" s="230">
        <v>213281550</v>
      </c>
      <c r="BY68" s="230">
        <v>211991175</v>
      </c>
      <c r="BZ68" s="230">
        <v>1290375</v>
      </c>
      <c r="CA68" s="229">
        <v>6.1000000000000004E-3</v>
      </c>
      <c r="CB68" s="230">
        <v>206348400</v>
      </c>
      <c r="CC68" s="230">
        <v>207290025</v>
      </c>
      <c r="CD68" s="230">
        <v>-941625</v>
      </c>
      <c r="CE68" s="229">
        <v>-4.4999999999999997E-3</v>
      </c>
      <c r="CF68" s="230">
        <v>6765750</v>
      </c>
      <c r="CG68" s="230">
        <v>4610475</v>
      </c>
      <c r="CH68" s="230">
        <v>2155275</v>
      </c>
      <c r="CI68" s="229">
        <v>0.46750000000000003</v>
      </c>
      <c r="CJ68" s="230">
        <v>167400</v>
      </c>
      <c r="CK68" s="230">
        <v>90675</v>
      </c>
      <c r="CL68" s="230">
        <v>76725</v>
      </c>
      <c r="CM68" s="229">
        <v>0.84619999999999995</v>
      </c>
      <c r="CN68" s="230">
        <v>59217750</v>
      </c>
      <c r="CO68" s="230">
        <v>55151325</v>
      </c>
      <c r="CP68" s="230">
        <v>4066425</v>
      </c>
      <c r="CQ68" s="229">
        <v>7.3700000000000002E-2</v>
      </c>
      <c r="CR68" s="230">
        <v>30466800</v>
      </c>
      <c r="CS68" s="230">
        <v>28988100</v>
      </c>
      <c r="CT68" s="230">
        <v>1478700</v>
      </c>
      <c r="CU68" s="229">
        <v>5.0999999999999997E-2</v>
      </c>
      <c r="CV68" s="230">
        <v>302966100</v>
      </c>
      <c r="CW68" s="230">
        <v>296130600</v>
      </c>
      <c r="CX68" s="230">
        <v>6835500</v>
      </c>
      <c r="CY68" s="229">
        <v>2.3099999999999999E-2</v>
      </c>
      <c r="CZ68" s="228">
        <v>27.14</v>
      </c>
      <c r="DA68" s="228">
        <v>25.62</v>
      </c>
      <c r="DB68" s="228">
        <v>1.52</v>
      </c>
      <c r="DC68" s="228">
        <v>1.52</v>
      </c>
      <c r="DD68" s="228">
        <v>37.61</v>
      </c>
      <c r="DE68" s="228">
        <v>37.69</v>
      </c>
      <c r="DF68" s="228">
        <v>-10.47</v>
      </c>
      <c r="DG68" s="228">
        <v>-0.08</v>
      </c>
      <c r="DH68" s="228">
        <v>27.57</v>
      </c>
      <c r="DI68" s="228">
        <v>25.68</v>
      </c>
      <c r="DJ68" s="228">
        <v>1.89</v>
      </c>
      <c r="DK68" s="228">
        <v>1.89</v>
      </c>
      <c r="DL68" s="228">
        <v>25.98</v>
      </c>
      <c r="DM68" s="228">
        <v>25.46</v>
      </c>
      <c r="DN68" s="228">
        <v>0.52</v>
      </c>
      <c r="DO68" s="228">
        <v>0.52</v>
      </c>
      <c r="DP68" s="228">
        <v>0.51</v>
      </c>
      <c r="DQ68" s="228">
        <v>0.53</v>
      </c>
      <c r="DR68" s="228">
        <v>-0.02</v>
      </c>
      <c r="DS68" s="229">
        <v>-3.7699999999999997E-2</v>
      </c>
      <c r="DT68" s="228">
        <v>95</v>
      </c>
      <c r="DU68" s="228">
        <v>90</v>
      </c>
      <c r="DV68" s="228">
        <v>0.37</v>
      </c>
      <c r="DW68" s="228">
        <v>0.39</v>
      </c>
      <c r="DX68" s="228">
        <v>-0.02</v>
      </c>
      <c r="DY68" s="229">
        <v>-5.1299999999999998E-2</v>
      </c>
      <c r="DZ68" s="229">
        <v>3.2500000000000001E-2</v>
      </c>
      <c r="EA68" s="230">
        <v>4701150</v>
      </c>
      <c r="EB68" s="229">
        <v>5.4999999999999997E-3</v>
      </c>
      <c r="EC68" s="229">
        <v>3.2500000000000001E-2</v>
      </c>
      <c r="ED68" s="228">
        <v>0.28999999999999998</v>
      </c>
      <c r="EE68" s="229">
        <v>3.3E-3</v>
      </c>
      <c r="EF68" s="230">
        <v>4258792</v>
      </c>
      <c r="EG68" s="230">
        <v>4086288</v>
      </c>
      <c r="EH68" s="229">
        <v>4.2200000000000001E-2</v>
      </c>
      <c r="EI68" s="229">
        <v>0.56030000000000002</v>
      </c>
      <c r="EJ68" s="231">
        <v>38691.449999999997</v>
      </c>
      <c r="EK68" s="231">
        <v>13819.23</v>
      </c>
      <c r="EL68" s="231">
        <v>20034.47</v>
      </c>
      <c r="EM68" s="231">
        <v>8707</v>
      </c>
      <c r="EN68" s="231">
        <v>72545.149999999994</v>
      </c>
      <c r="EO68" s="231">
        <v>53944.11</v>
      </c>
      <c r="EP68" s="231">
        <v>18601.04</v>
      </c>
      <c r="EQ68" s="229">
        <v>0.3448</v>
      </c>
      <c r="ER68" s="231">
        <v>55667</v>
      </c>
      <c r="ES68" s="231">
        <v>26597</v>
      </c>
      <c r="ET68" s="231">
        <v>189855</v>
      </c>
      <c r="EU68" s="231">
        <v>534704421</v>
      </c>
      <c r="EV68" s="231">
        <v>272119</v>
      </c>
      <c r="EW68" s="231">
        <v>267270</v>
      </c>
      <c r="EX68" s="231">
        <v>4849</v>
      </c>
      <c r="EY68" s="229">
        <v>1.8100000000000002E-2</v>
      </c>
      <c r="EZ68" s="229">
        <v>0.56659999999999999</v>
      </c>
      <c r="FA68" s="227" t="s">
        <v>567</v>
      </c>
      <c r="FB68" s="161">
        <f t="shared" si="1"/>
        <v>6933150</v>
      </c>
    </row>
    <row r="69" spans="1:158" ht="17.25" hidden="1" thickBot="1" x14ac:dyDescent="0.3">
      <c r="A69" s="226">
        <v>45936</v>
      </c>
      <c r="B69" s="227" t="s">
        <v>168</v>
      </c>
      <c r="C69" s="227" t="s">
        <v>217</v>
      </c>
      <c r="D69" s="228">
        <v>500</v>
      </c>
      <c r="E69" s="231">
        <v>1150</v>
      </c>
      <c r="F69" s="231">
        <v>1145.3</v>
      </c>
      <c r="G69" s="228">
        <v>4.7</v>
      </c>
      <c r="H69" s="229">
        <v>4.1000000000000003E-3</v>
      </c>
      <c r="I69" s="231">
        <v>1147.5999999999999</v>
      </c>
      <c r="J69" s="231">
        <v>1149</v>
      </c>
      <c r="K69" s="228">
        <v>-1.4</v>
      </c>
      <c r="L69" s="229">
        <v>-1.1999999999999999E-3</v>
      </c>
      <c r="M69" s="231">
        <v>1150</v>
      </c>
      <c r="N69" s="231">
        <v>1145.3</v>
      </c>
      <c r="O69" s="228">
        <v>4.7</v>
      </c>
      <c r="P69" s="229">
        <v>4.1000000000000003E-3</v>
      </c>
      <c r="Q69" s="231">
        <v>1141.2</v>
      </c>
      <c r="R69" s="231">
        <v>1138.5999999999999</v>
      </c>
      <c r="S69" s="228">
        <v>2.6</v>
      </c>
      <c r="T69" s="229">
        <v>2.3E-3</v>
      </c>
      <c r="U69" s="231">
        <v>1137.5999999999999</v>
      </c>
      <c r="V69" s="231">
        <v>1135.5999999999999</v>
      </c>
      <c r="W69" s="228">
        <v>2</v>
      </c>
      <c r="X69" s="229">
        <v>1.8E-3</v>
      </c>
      <c r="Y69" s="228">
        <v>2.4</v>
      </c>
      <c r="Z69" s="228">
        <v>-3.7</v>
      </c>
      <c r="AA69" s="228">
        <v>6.1</v>
      </c>
      <c r="AB69" s="229">
        <v>2.0999999999999999E-3</v>
      </c>
      <c r="AC69" s="228">
        <v>2.4</v>
      </c>
      <c r="AD69" s="228">
        <v>-3.7</v>
      </c>
      <c r="AE69" s="228">
        <v>6.1</v>
      </c>
      <c r="AF69" s="229">
        <v>2.0999999999999999E-3</v>
      </c>
      <c r="AG69" s="228">
        <v>-6.4</v>
      </c>
      <c r="AH69" s="228">
        <v>-10.4</v>
      </c>
      <c r="AI69" s="228">
        <v>4</v>
      </c>
      <c r="AJ69" s="229">
        <v>-5.5999999999999999E-3</v>
      </c>
      <c r="AK69" s="228">
        <v>-10</v>
      </c>
      <c r="AL69" s="228">
        <v>-13.4</v>
      </c>
      <c r="AM69" s="228">
        <v>3.4</v>
      </c>
      <c r="AN69" s="229">
        <v>-8.6999999999999994E-3</v>
      </c>
      <c r="AO69" s="231">
        <v>1144.3499999999999</v>
      </c>
      <c r="AP69" s="231">
        <v>1137.6400000000001</v>
      </c>
      <c r="AQ69" s="228">
        <v>0</v>
      </c>
      <c r="AR69" s="230">
        <v>1429500</v>
      </c>
      <c r="AS69" s="230">
        <v>1097500</v>
      </c>
      <c r="AT69" s="230">
        <v>332000</v>
      </c>
      <c r="AU69" s="229">
        <v>0.30249999999999999</v>
      </c>
      <c r="AV69" s="230">
        <v>1348000</v>
      </c>
      <c r="AW69" s="230">
        <v>987000</v>
      </c>
      <c r="AX69" s="230">
        <v>361000</v>
      </c>
      <c r="AY69" s="229">
        <v>0.36580000000000001</v>
      </c>
      <c r="AZ69" s="230">
        <v>78500</v>
      </c>
      <c r="BA69" s="230">
        <v>109500</v>
      </c>
      <c r="BB69" s="230">
        <v>-31000</v>
      </c>
      <c r="BC69" s="229">
        <v>-0.28310000000000002</v>
      </c>
      <c r="BD69" s="230">
        <v>3000</v>
      </c>
      <c r="BE69" s="230">
        <v>1000</v>
      </c>
      <c r="BF69" s="230">
        <v>2000</v>
      </c>
      <c r="BG69" s="229">
        <v>2</v>
      </c>
      <c r="BH69" s="230">
        <v>1953000</v>
      </c>
      <c r="BI69" s="230">
        <v>1421500</v>
      </c>
      <c r="BJ69" s="230">
        <v>531500</v>
      </c>
      <c r="BK69" s="229">
        <v>0.37390000000000001</v>
      </c>
      <c r="BL69" s="230">
        <v>997500</v>
      </c>
      <c r="BM69" s="230">
        <v>628500</v>
      </c>
      <c r="BN69" s="230">
        <v>369000</v>
      </c>
      <c r="BO69" s="229">
        <v>0.58709999999999996</v>
      </c>
      <c r="BP69" s="230">
        <v>4380000</v>
      </c>
      <c r="BQ69" s="230">
        <v>3147500</v>
      </c>
      <c r="BR69" s="230">
        <v>1232500</v>
      </c>
      <c r="BS69" s="229">
        <v>0.3916</v>
      </c>
      <c r="BT69" s="230">
        <v>1359851</v>
      </c>
      <c r="BU69" s="230">
        <v>707847</v>
      </c>
      <c r="BV69" s="230">
        <v>652004</v>
      </c>
      <c r="BW69" s="229">
        <v>0.92110000000000003</v>
      </c>
      <c r="BX69" s="230">
        <v>11471000</v>
      </c>
      <c r="BY69" s="230">
        <v>11612000</v>
      </c>
      <c r="BZ69" s="230">
        <v>-141000</v>
      </c>
      <c r="CA69" s="229">
        <v>-1.21E-2</v>
      </c>
      <c r="CB69" s="230">
        <v>11184000</v>
      </c>
      <c r="CC69" s="230">
        <v>11331000</v>
      </c>
      <c r="CD69" s="230">
        <v>-147000</v>
      </c>
      <c r="CE69" s="229">
        <v>-1.2999999999999999E-2</v>
      </c>
      <c r="CF69" s="230">
        <v>285000</v>
      </c>
      <c r="CG69" s="230">
        <v>280000</v>
      </c>
      <c r="CH69" s="230">
        <v>5000</v>
      </c>
      <c r="CI69" s="229">
        <v>1.7899999999999999E-2</v>
      </c>
      <c r="CJ69" s="230">
        <v>2000</v>
      </c>
      <c r="CK69" s="230">
        <v>1000</v>
      </c>
      <c r="CL69" s="230">
        <v>1000</v>
      </c>
      <c r="CM69" s="229">
        <v>1</v>
      </c>
      <c r="CN69" s="230">
        <v>2386000</v>
      </c>
      <c r="CO69" s="230">
        <v>2107000</v>
      </c>
      <c r="CP69" s="230">
        <v>279000</v>
      </c>
      <c r="CQ69" s="229">
        <v>0.13239999999999999</v>
      </c>
      <c r="CR69" s="230">
        <v>1704500</v>
      </c>
      <c r="CS69" s="230">
        <v>1375500</v>
      </c>
      <c r="CT69" s="230">
        <v>329000</v>
      </c>
      <c r="CU69" s="229">
        <v>0.2392</v>
      </c>
      <c r="CV69" s="230">
        <v>15561500</v>
      </c>
      <c r="CW69" s="230">
        <v>15094500</v>
      </c>
      <c r="CX69" s="230">
        <v>467000</v>
      </c>
      <c r="CY69" s="229">
        <v>3.09E-2</v>
      </c>
      <c r="CZ69" s="228">
        <v>26.62</v>
      </c>
      <c r="DA69" s="228">
        <v>25.95</v>
      </c>
      <c r="DB69" s="228">
        <v>0.67</v>
      </c>
      <c r="DC69" s="228">
        <v>0.67</v>
      </c>
      <c r="DD69" s="228">
        <v>30.24</v>
      </c>
      <c r="DE69" s="228">
        <v>30.31</v>
      </c>
      <c r="DF69" s="228">
        <v>-3.62</v>
      </c>
      <c r="DG69" s="228">
        <v>-7.0000000000000007E-2</v>
      </c>
      <c r="DH69" s="228">
        <v>26.24</v>
      </c>
      <c r="DI69" s="228">
        <v>26.13</v>
      </c>
      <c r="DJ69" s="228">
        <v>0.11</v>
      </c>
      <c r="DK69" s="228">
        <v>0.11</v>
      </c>
      <c r="DL69" s="228">
        <v>27.37</v>
      </c>
      <c r="DM69" s="228">
        <v>25.54</v>
      </c>
      <c r="DN69" s="228">
        <v>1.83</v>
      </c>
      <c r="DO69" s="228">
        <v>1.83</v>
      </c>
      <c r="DP69" s="228">
        <v>0.71</v>
      </c>
      <c r="DQ69" s="228">
        <v>0.65</v>
      </c>
      <c r="DR69" s="228">
        <v>0.06</v>
      </c>
      <c r="DS69" s="229">
        <v>9.2299999999999993E-2</v>
      </c>
      <c r="DT69" s="231">
        <v>1300</v>
      </c>
      <c r="DU69" s="231">
        <v>1100</v>
      </c>
      <c r="DV69" s="228">
        <v>0.51</v>
      </c>
      <c r="DW69" s="228">
        <v>0.44</v>
      </c>
      <c r="DX69" s="228">
        <v>7.0000000000000007E-2</v>
      </c>
      <c r="DY69" s="229">
        <v>0.15909999999999999</v>
      </c>
      <c r="DZ69" s="229">
        <v>2.5000000000000001E-2</v>
      </c>
      <c r="EA69" s="230">
        <v>281000</v>
      </c>
      <c r="EB69" s="229">
        <v>-7.7000000000000002E-3</v>
      </c>
      <c r="EC69" s="229">
        <v>2.5000000000000001E-2</v>
      </c>
      <c r="ED69" s="228">
        <v>-6.71</v>
      </c>
      <c r="EE69" s="229">
        <v>-5.8999999999999999E-3</v>
      </c>
      <c r="EF69" s="230">
        <v>883010</v>
      </c>
      <c r="EG69" s="230">
        <v>350243</v>
      </c>
      <c r="EH69" s="229">
        <v>1.5210999999999999</v>
      </c>
      <c r="EI69" s="229">
        <v>0.64929999999999999</v>
      </c>
      <c r="EJ69" s="231">
        <v>23532.75</v>
      </c>
      <c r="EK69" s="231">
        <v>11198.81</v>
      </c>
      <c r="EL69" s="231">
        <v>16352.98</v>
      </c>
      <c r="EM69" s="231">
        <v>8707</v>
      </c>
      <c r="EN69" s="231">
        <v>51084.54</v>
      </c>
      <c r="EO69" s="231">
        <v>37039.279999999999</v>
      </c>
      <c r="EP69" s="231">
        <v>14045.26</v>
      </c>
      <c r="EQ69" s="229">
        <v>0.37919999999999998</v>
      </c>
      <c r="ER69" s="231">
        <v>29316</v>
      </c>
      <c r="ES69" s="231">
        <v>19036</v>
      </c>
      <c r="ET69" s="231">
        <v>131891</v>
      </c>
      <c r="EU69" s="231">
        <v>58001204</v>
      </c>
      <c r="EV69" s="231">
        <v>180243</v>
      </c>
      <c r="EW69" s="231">
        <v>174469</v>
      </c>
      <c r="EX69" s="231">
        <v>5774</v>
      </c>
      <c r="EY69" s="229">
        <v>3.3099999999999997E-2</v>
      </c>
      <c r="EZ69" s="229">
        <v>0.26829999999999998</v>
      </c>
      <c r="FA69" s="227" t="s">
        <v>556</v>
      </c>
      <c r="FB69" s="161">
        <f t="shared" si="1"/>
        <v>287000</v>
      </c>
    </row>
    <row r="70" spans="1:158" ht="17.25" hidden="1" thickBot="1" x14ac:dyDescent="0.3">
      <c r="A70" s="226">
        <v>45936</v>
      </c>
      <c r="B70" s="227" t="s">
        <v>206</v>
      </c>
      <c r="C70" s="227" t="s">
        <v>218</v>
      </c>
      <c r="D70" s="228">
        <v>275</v>
      </c>
      <c r="E70" s="231">
        <v>2065</v>
      </c>
      <c r="F70" s="231">
        <v>2040.7</v>
      </c>
      <c r="G70" s="228">
        <v>24.3</v>
      </c>
      <c r="H70" s="229">
        <v>1.1900000000000001E-2</v>
      </c>
      <c r="I70" s="231">
        <v>2056.5</v>
      </c>
      <c r="J70" s="231">
        <v>2033</v>
      </c>
      <c r="K70" s="228">
        <v>23.5</v>
      </c>
      <c r="L70" s="229">
        <v>1.1599999999999999E-2</v>
      </c>
      <c r="M70" s="231">
        <v>2065</v>
      </c>
      <c r="N70" s="231">
        <v>2040.7</v>
      </c>
      <c r="O70" s="228">
        <v>24.3</v>
      </c>
      <c r="P70" s="229">
        <v>1.1900000000000001E-2</v>
      </c>
      <c r="Q70" s="231">
        <v>2081.1999999999998</v>
      </c>
      <c r="R70" s="231">
        <v>2052.3000000000002</v>
      </c>
      <c r="S70" s="228">
        <v>28.9</v>
      </c>
      <c r="T70" s="229">
        <v>1.41E-2</v>
      </c>
      <c r="U70" s="231">
        <v>2087.6999999999998</v>
      </c>
      <c r="V70" s="231">
        <v>2061.6999999999998</v>
      </c>
      <c r="W70" s="228">
        <v>26</v>
      </c>
      <c r="X70" s="229">
        <v>1.26E-2</v>
      </c>
      <c r="Y70" s="228">
        <v>8.5</v>
      </c>
      <c r="Z70" s="228">
        <v>7.7</v>
      </c>
      <c r="AA70" s="228">
        <v>0.8</v>
      </c>
      <c r="AB70" s="229">
        <v>4.1000000000000003E-3</v>
      </c>
      <c r="AC70" s="228">
        <v>8.5</v>
      </c>
      <c r="AD70" s="228">
        <v>7.7</v>
      </c>
      <c r="AE70" s="228">
        <v>0.8</v>
      </c>
      <c r="AF70" s="229">
        <v>4.1000000000000003E-3</v>
      </c>
      <c r="AG70" s="228">
        <v>24.7</v>
      </c>
      <c r="AH70" s="228">
        <v>19.3</v>
      </c>
      <c r="AI70" s="228">
        <v>5.4</v>
      </c>
      <c r="AJ70" s="229">
        <v>1.2E-2</v>
      </c>
      <c r="AK70" s="228">
        <v>31.2</v>
      </c>
      <c r="AL70" s="228">
        <v>28.7</v>
      </c>
      <c r="AM70" s="228">
        <v>2.5</v>
      </c>
      <c r="AN70" s="229">
        <v>1.52E-2</v>
      </c>
      <c r="AO70" s="231">
        <v>2053.29</v>
      </c>
      <c r="AP70" s="231">
        <v>2069.21</v>
      </c>
      <c r="AQ70" s="228">
        <v>0</v>
      </c>
      <c r="AR70" s="230">
        <v>709225</v>
      </c>
      <c r="AS70" s="230">
        <v>919050</v>
      </c>
      <c r="AT70" s="230">
        <v>-209825</v>
      </c>
      <c r="AU70" s="229">
        <v>-0.2283</v>
      </c>
      <c r="AV70" s="230">
        <v>671000</v>
      </c>
      <c r="AW70" s="230">
        <v>876700</v>
      </c>
      <c r="AX70" s="230">
        <v>-205700</v>
      </c>
      <c r="AY70" s="229">
        <v>-0.2346</v>
      </c>
      <c r="AZ70" s="230">
        <v>32725</v>
      </c>
      <c r="BA70" s="230">
        <v>36575</v>
      </c>
      <c r="BB70" s="230">
        <v>-3850</v>
      </c>
      <c r="BC70" s="229">
        <v>-0.1053</v>
      </c>
      <c r="BD70" s="230">
        <v>5500</v>
      </c>
      <c r="BE70" s="230">
        <v>5775</v>
      </c>
      <c r="BF70" s="228">
        <v>-275</v>
      </c>
      <c r="BG70" s="229">
        <v>-4.7600000000000003E-2</v>
      </c>
      <c r="BH70" s="230">
        <v>1800425</v>
      </c>
      <c r="BI70" s="230">
        <v>1667875</v>
      </c>
      <c r="BJ70" s="230">
        <v>132550</v>
      </c>
      <c r="BK70" s="229">
        <v>7.9500000000000001E-2</v>
      </c>
      <c r="BL70" s="230">
        <v>586575</v>
      </c>
      <c r="BM70" s="230">
        <v>590425</v>
      </c>
      <c r="BN70" s="230">
        <v>-3850</v>
      </c>
      <c r="BO70" s="229">
        <v>-6.4999999999999997E-3</v>
      </c>
      <c r="BP70" s="230">
        <v>3096225</v>
      </c>
      <c r="BQ70" s="230">
        <v>3177350</v>
      </c>
      <c r="BR70" s="230">
        <v>-81125</v>
      </c>
      <c r="BS70" s="229">
        <v>-2.5499999999999998E-2</v>
      </c>
      <c r="BT70" s="230">
        <v>212380</v>
      </c>
      <c r="BU70" s="230">
        <v>305043</v>
      </c>
      <c r="BV70" s="230">
        <v>-92663</v>
      </c>
      <c r="BW70" s="229">
        <v>-0.30380000000000001</v>
      </c>
      <c r="BX70" s="230">
        <v>9823550</v>
      </c>
      <c r="BY70" s="230">
        <v>9788625</v>
      </c>
      <c r="BZ70" s="230">
        <v>34925</v>
      </c>
      <c r="CA70" s="229">
        <v>3.5999999999999999E-3</v>
      </c>
      <c r="CB70" s="230">
        <v>9607125</v>
      </c>
      <c r="CC70" s="230">
        <v>9579900</v>
      </c>
      <c r="CD70" s="230">
        <v>27225</v>
      </c>
      <c r="CE70" s="229">
        <v>2.8E-3</v>
      </c>
      <c r="CF70" s="230">
        <v>208450</v>
      </c>
      <c r="CG70" s="230">
        <v>200750</v>
      </c>
      <c r="CH70" s="230">
        <v>7700</v>
      </c>
      <c r="CI70" s="229">
        <v>3.8399999999999997E-2</v>
      </c>
      <c r="CJ70" s="230">
        <v>7975</v>
      </c>
      <c r="CK70" s="230">
        <v>7975</v>
      </c>
      <c r="CL70" s="228">
        <v>0</v>
      </c>
      <c r="CM70" s="229">
        <v>0</v>
      </c>
      <c r="CN70" s="230">
        <v>2451625</v>
      </c>
      <c r="CO70" s="230">
        <v>2411200</v>
      </c>
      <c r="CP70" s="230">
        <v>40425</v>
      </c>
      <c r="CQ70" s="229">
        <v>1.6799999999999999E-2</v>
      </c>
      <c r="CR70" s="230">
        <v>1615350</v>
      </c>
      <c r="CS70" s="230">
        <v>1621950</v>
      </c>
      <c r="CT70" s="230">
        <v>-6600</v>
      </c>
      <c r="CU70" s="229">
        <v>-4.1000000000000003E-3</v>
      </c>
      <c r="CV70" s="230">
        <v>13890525</v>
      </c>
      <c r="CW70" s="230">
        <v>13821775</v>
      </c>
      <c r="CX70" s="230">
        <v>68750</v>
      </c>
      <c r="CY70" s="229">
        <v>5.0000000000000001E-3</v>
      </c>
      <c r="CZ70" s="228">
        <v>31.18</v>
      </c>
      <c r="DA70" s="228">
        <v>30.69</v>
      </c>
      <c r="DB70" s="228">
        <v>0.49</v>
      </c>
      <c r="DC70" s="228">
        <v>0.49</v>
      </c>
      <c r="DD70" s="228">
        <v>44.54</v>
      </c>
      <c r="DE70" s="228">
        <v>44.62</v>
      </c>
      <c r="DF70" s="228">
        <v>-13.36</v>
      </c>
      <c r="DG70" s="228">
        <v>-0.08</v>
      </c>
      <c r="DH70" s="228">
        <v>31.12</v>
      </c>
      <c r="DI70" s="228">
        <v>30.85</v>
      </c>
      <c r="DJ70" s="228">
        <v>0.27</v>
      </c>
      <c r="DK70" s="228">
        <v>0.27</v>
      </c>
      <c r="DL70" s="228">
        <v>31.33</v>
      </c>
      <c r="DM70" s="228">
        <v>30.26</v>
      </c>
      <c r="DN70" s="228">
        <v>1.07</v>
      </c>
      <c r="DO70" s="228">
        <v>1.07</v>
      </c>
      <c r="DP70" s="228">
        <v>0.66</v>
      </c>
      <c r="DQ70" s="228">
        <v>0.67</v>
      </c>
      <c r="DR70" s="228">
        <v>-0.01</v>
      </c>
      <c r="DS70" s="229">
        <v>-1.49E-2</v>
      </c>
      <c r="DT70" s="231">
        <v>2300</v>
      </c>
      <c r="DU70" s="231">
        <v>2000</v>
      </c>
      <c r="DV70" s="228">
        <v>0.33</v>
      </c>
      <c r="DW70" s="228">
        <v>0.35</v>
      </c>
      <c r="DX70" s="228">
        <v>-0.02</v>
      </c>
      <c r="DY70" s="229">
        <v>-5.7099999999999998E-2</v>
      </c>
      <c r="DZ70" s="229">
        <v>2.1999999999999999E-2</v>
      </c>
      <c r="EA70" s="230">
        <v>208725</v>
      </c>
      <c r="EB70" s="229">
        <v>7.7999999999999996E-3</v>
      </c>
      <c r="EC70" s="229">
        <v>2.1999999999999999E-2</v>
      </c>
      <c r="ED70" s="228">
        <v>15.92</v>
      </c>
      <c r="EE70" s="229">
        <v>7.7999999999999996E-3</v>
      </c>
      <c r="EF70" s="230">
        <v>84127</v>
      </c>
      <c r="EG70" s="230">
        <v>153003</v>
      </c>
      <c r="EH70" s="229">
        <v>-0.45019999999999999</v>
      </c>
      <c r="EI70" s="229">
        <v>0.39610000000000001</v>
      </c>
      <c r="EJ70" s="231">
        <v>38902.71</v>
      </c>
      <c r="EK70" s="231">
        <v>11952.88</v>
      </c>
      <c r="EL70" s="231">
        <v>14568.88</v>
      </c>
      <c r="EM70" s="231">
        <v>10567</v>
      </c>
      <c r="EN70" s="231">
        <v>65424.47</v>
      </c>
      <c r="EO70" s="231">
        <v>66985.84</v>
      </c>
      <c r="EP70" s="231">
        <v>-1561.37</v>
      </c>
      <c r="EQ70" s="229">
        <v>-2.3300000000000001E-2</v>
      </c>
      <c r="ER70" s="231">
        <v>53135</v>
      </c>
      <c r="ES70" s="231">
        <v>32233</v>
      </c>
      <c r="ET70" s="231">
        <v>202892</v>
      </c>
      <c r="EU70" s="231">
        <v>24082879</v>
      </c>
      <c r="EV70" s="231">
        <v>288260</v>
      </c>
      <c r="EW70" s="231">
        <v>284306</v>
      </c>
      <c r="EX70" s="231">
        <v>3954</v>
      </c>
      <c r="EY70" s="229">
        <v>1.3899999999999999E-2</v>
      </c>
      <c r="EZ70" s="229">
        <v>0.57679999999999998</v>
      </c>
      <c r="FA70" s="227" t="s">
        <v>555</v>
      </c>
      <c r="FB70" s="161">
        <f t="shared" si="1"/>
        <v>216425</v>
      </c>
    </row>
    <row r="71" spans="1:158" ht="17.25" hidden="1" thickBot="1" x14ac:dyDescent="0.3">
      <c r="A71" s="226">
        <v>45936</v>
      </c>
      <c r="B71" s="227" t="s">
        <v>157</v>
      </c>
      <c r="C71" s="227" t="s">
        <v>219</v>
      </c>
      <c r="D71" s="228">
        <v>250</v>
      </c>
      <c r="E71" s="231">
        <v>2823.6</v>
      </c>
      <c r="F71" s="231">
        <v>2810.5</v>
      </c>
      <c r="G71" s="228">
        <v>13.1</v>
      </c>
      <c r="H71" s="229">
        <v>4.7000000000000002E-3</v>
      </c>
      <c r="I71" s="231">
        <v>2807.4</v>
      </c>
      <c r="J71" s="231">
        <v>2791.4</v>
      </c>
      <c r="K71" s="228">
        <v>16</v>
      </c>
      <c r="L71" s="229">
        <v>5.7000000000000002E-3</v>
      </c>
      <c r="M71" s="231">
        <v>2823.6</v>
      </c>
      <c r="N71" s="231">
        <v>2810.5</v>
      </c>
      <c r="O71" s="228">
        <v>13.1</v>
      </c>
      <c r="P71" s="229">
        <v>4.7000000000000002E-3</v>
      </c>
      <c r="Q71" s="231">
        <v>2839.3</v>
      </c>
      <c r="R71" s="231">
        <v>2824</v>
      </c>
      <c r="S71" s="228">
        <v>15.3</v>
      </c>
      <c r="T71" s="229">
        <v>5.4000000000000003E-3</v>
      </c>
      <c r="U71" s="231">
        <v>2845</v>
      </c>
      <c r="V71" s="231">
        <v>2840</v>
      </c>
      <c r="W71" s="228">
        <v>5</v>
      </c>
      <c r="X71" s="229">
        <v>1.8E-3</v>
      </c>
      <c r="Y71" s="228">
        <v>16.2</v>
      </c>
      <c r="Z71" s="228">
        <v>19.100000000000001</v>
      </c>
      <c r="AA71" s="228">
        <v>-2.9</v>
      </c>
      <c r="AB71" s="229">
        <v>5.7999999999999996E-3</v>
      </c>
      <c r="AC71" s="228">
        <v>16.2</v>
      </c>
      <c r="AD71" s="228">
        <v>19.100000000000001</v>
      </c>
      <c r="AE71" s="228">
        <v>-2.9</v>
      </c>
      <c r="AF71" s="229">
        <v>5.7999999999999996E-3</v>
      </c>
      <c r="AG71" s="228">
        <v>31.9</v>
      </c>
      <c r="AH71" s="228">
        <v>32.6</v>
      </c>
      <c r="AI71" s="228">
        <v>-0.7</v>
      </c>
      <c r="AJ71" s="229">
        <v>1.14E-2</v>
      </c>
      <c r="AK71" s="228">
        <v>37.6</v>
      </c>
      <c r="AL71" s="228">
        <v>48.6</v>
      </c>
      <c r="AM71" s="228">
        <v>-11</v>
      </c>
      <c r="AN71" s="229">
        <v>1.34E-2</v>
      </c>
      <c r="AO71" s="231">
        <v>2818.36</v>
      </c>
      <c r="AP71" s="231">
        <v>2830.45</v>
      </c>
      <c r="AQ71" s="228">
        <v>0</v>
      </c>
      <c r="AR71" s="230">
        <v>844500</v>
      </c>
      <c r="AS71" s="230">
        <v>1227500</v>
      </c>
      <c r="AT71" s="230">
        <v>-383000</v>
      </c>
      <c r="AU71" s="229">
        <v>-0.312</v>
      </c>
      <c r="AV71" s="230">
        <v>828750</v>
      </c>
      <c r="AW71" s="230">
        <v>1195250</v>
      </c>
      <c r="AX71" s="230">
        <v>-366500</v>
      </c>
      <c r="AY71" s="229">
        <v>-0.30659999999999998</v>
      </c>
      <c r="AZ71" s="230">
        <v>15500</v>
      </c>
      <c r="BA71" s="230">
        <v>31750</v>
      </c>
      <c r="BB71" s="230">
        <v>-16250</v>
      </c>
      <c r="BC71" s="229">
        <v>-0.51180000000000003</v>
      </c>
      <c r="BD71" s="228">
        <v>250</v>
      </c>
      <c r="BE71" s="228">
        <v>500</v>
      </c>
      <c r="BF71" s="228">
        <v>-250</v>
      </c>
      <c r="BG71" s="229">
        <v>-0.5</v>
      </c>
      <c r="BH71" s="230">
        <v>1761500</v>
      </c>
      <c r="BI71" s="230">
        <v>2256000</v>
      </c>
      <c r="BJ71" s="230">
        <v>-494500</v>
      </c>
      <c r="BK71" s="229">
        <v>-0.21920000000000001</v>
      </c>
      <c r="BL71" s="230">
        <v>848250</v>
      </c>
      <c r="BM71" s="230">
        <v>1167000</v>
      </c>
      <c r="BN71" s="230">
        <v>-318750</v>
      </c>
      <c r="BO71" s="229">
        <v>-0.27310000000000001</v>
      </c>
      <c r="BP71" s="230">
        <v>3454250</v>
      </c>
      <c r="BQ71" s="230">
        <v>4650500</v>
      </c>
      <c r="BR71" s="230">
        <v>-1196250</v>
      </c>
      <c r="BS71" s="229">
        <v>-0.25719999999999998</v>
      </c>
      <c r="BT71" s="230">
        <v>346562</v>
      </c>
      <c r="BU71" s="230">
        <v>722813</v>
      </c>
      <c r="BV71" s="230">
        <v>-376251</v>
      </c>
      <c r="BW71" s="229">
        <v>-0.52049999999999996</v>
      </c>
      <c r="BX71" s="230">
        <v>14153000</v>
      </c>
      <c r="BY71" s="230">
        <v>14177000</v>
      </c>
      <c r="BZ71" s="230">
        <v>-24000</v>
      </c>
      <c r="CA71" s="229">
        <v>-1.6999999999999999E-3</v>
      </c>
      <c r="CB71" s="230">
        <v>14107000</v>
      </c>
      <c r="CC71" s="230">
        <v>14133000</v>
      </c>
      <c r="CD71" s="230">
        <v>-26000</v>
      </c>
      <c r="CE71" s="229">
        <v>-1.8E-3</v>
      </c>
      <c r="CF71" s="230">
        <v>45250</v>
      </c>
      <c r="CG71" s="230">
        <v>43500</v>
      </c>
      <c r="CH71" s="230">
        <v>1750</v>
      </c>
      <c r="CI71" s="229">
        <v>4.02E-2</v>
      </c>
      <c r="CJ71" s="228">
        <v>750</v>
      </c>
      <c r="CK71" s="228">
        <v>500</v>
      </c>
      <c r="CL71" s="228">
        <v>250</v>
      </c>
      <c r="CM71" s="229">
        <v>0.5</v>
      </c>
      <c r="CN71" s="230">
        <v>1422000</v>
      </c>
      <c r="CO71" s="230">
        <v>1275250</v>
      </c>
      <c r="CP71" s="230">
        <v>146750</v>
      </c>
      <c r="CQ71" s="229">
        <v>0.11509999999999999</v>
      </c>
      <c r="CR71" s="230">
        <v>878500</v>
      </c>
      <c r="CS71" s="230">
        <v>798500</v>
      </c>
      <c r="CT71" s="230">
        <v>80000</v>
      </c>
      <c r="CU71" s="229">
        <v>0.1002</v>
      </c>
      <c r="CV71" s="230">
        <v>16453500</v>
      </c>
      <c r="CW71" s="230">
        <v>16250750</v>
      </c>
      <c r="CX71" s="230">
        <v>202750</v>
      </c>
      <c r="CY71" s="229">
        <v>1.2500000000000001E-2</v>
      </c>
      <c r="CZ71" s="228">
        <v>19.25</v>
      </c>
      <c r="DA71" s="228">
        <v>19.02</v>
      </c>
      <c r="DB71" s="228">
        <v>0.23</v>
      </c>
      <c r="DC71" s="228">
        <v>0.23</v>
      </c>
      <c r="DD71" s="228">
        <v>25.78</v>
      </c>
      <c r="DE71" s="228">
        <v>25.83</v>
      </c>
      <c r="DF71" s="228">
        <v>-6.53</v>
      </c>
      <c r="DG71" s="228">
        <v>-0.05</v>
      </c>
      <c r="DH71" s="228">
        <v>19.29</v>
      </c>
      <c r="DI71" s="228">
        <v>19.059999999999999</v>
      </c>
      <c r="DJ71" s="228">
        <v>0.23</v>
      </c>
      <c r="DK71" s="228">
        <v>0.23</v>
      </c>
      <c r="DL71" s="228">
        <v>19.170000000000002</v>
      </c>
      <c r="DM71" s="228">
        <v>18.93</v>
      </c>
      <c r="DN71" s="228">
        <v>0.24</v>
      </c>
      <c r="DO71" s="228">
        <v>0.24</v>
      </c>
      <c r="DP71" s="228">
        <v>0.62</v>
      </c>
      <c r="DQ71" s="228">
        <v>0.63</v>
      </c>
      <c r="DR71" s="228">
        <v>-0.01</v>
      </c>
      <c r="DS71" s="229">
        <v>-1.5900000000000001E-2</v>
      </c>
      <c r="DT71" s="231">
        <v>2900</v>
      </c>
      <c r="DU71" s="231">
        <v>2700</v>
      </c>
      <c r="DV71" s="228">
        <v>0.48</v>
      </c>
      <c r="DW71" s="228">
        <v>0.52</v>
      </c>
      <c r="DX71" s="228">
        <v>-0.04</v>
      </c>
      <c r="DY71" s="229">
        <v>-7.6899999999999996E-2</v>
      </c>
      <c r="DZ71" s="229">
        <v>3.3E-3</v>
      </c>
      <c r="EA71" s="230">
        <v>44000</v>
      </c>
      <c r="EB71" s="229">
        <v>5.5999999999999999E-3</v>
      </c>
      <c r="EC71" s="229">
        <v>3.3E-3</v>
      </c>
      <c r="ED71" s="228">
        <v>12.09</v>
      </c>
      <c r="EE71" s="229">
        <v>4.3E-3</v>
      </c>
      <c r="EF71" s="230">
        <v>205544</v>
      </c>
      <c r="EG71" s="230">
        <v>480214</v>
      </c>
      <c r="EH71" s="229">
        <v>-0.57199999999999995</v>
      </c>
      <c r="EI71" s="229">
        <v>0.59309999999999996</v>
      </c>
      <c r="EJ71" s="231">
        <v>51227.3</v>
      </c>
      <c r="EK71" s="231">
        <v>23663.47</v>
      </c>
      <c r="EL71" s="231">
        <v>23802.99</v>
      </c>
      <c r="EM71" s="231">
        <v>12887</v>
      </c>
      <c r="EN71" s="231">
        <v>98693.759999999995</v>
      </c>
      <c r="EO71" s="231">
        <v>132440.69</v>
      </c>
      <c r="EP71" s="231">
        <v>-33746.93</v>
      </c>
      <c r="EQ71" s="229">
        <v>-0.25480000000000003</v>
      </c>
      <c r="ER71" s="231">
        <v>41718</v>
      </c>
      <c r="ES71" s="231">
        <v>23955</v>
      </c>
      <c r="ET71" s="231">
        <v>399631</v>
      </c>
      <c r="EU71" s="231">
        <v>38514157</v>
      </c>
      <c r="EV71" s="231">
        <v>465304</v>
      </c>
      <c r="EW71" s="231">
        <v>457604</v>
      </c>
      <c r="EX71" s="231">
        <v>7700</v>
      </c>
      <c r="EY71" s="229">
        <v>1.6799999999999999E-2</v>
      </c>
      <c r="EZ71" s="229">
        <v>0.42720000000000002</v>
      </c>
      <c r="FA71" s="227" t="s">
        <v>556</v>
      </c>
      <c r="FB71" s="161">
        <f t="shared" si="1"/>
        <v>46000</v>
      </c>
    </row>
    <row r="72" spans="1:158" ht="17.25" hidden="1" thickBot="1" x14ac:dyDescent="0.3">
      <c r="A72" s="226">
        <v>45936</v>
      </c>
      <c r="B72" s="227" t="s">
        <v>184</v>
      </c>
      <c r="C72" s="227" t="s">
        <v>513</v>
      </c>
      <c r="D72" s="228">
        <v>150</v>
      </c>
      <c r="E72" s="231">
        <v>4874.1000000000004</v>
      </c>
      <c r="F72" s="231">
        <v>4894.6000000000004</v>
      </c>
      <c r="G72" s="228">
        <v>-20.5</v>
      </c>
      <c r="H72" s="229">
        <v>-4.1999999999999997E-3</v>
      </c>
      <c r="I72" s="231">
        <v>4845.2</v>
      </c>
      <c r="J72" s="231">
        <v>4870.3999999999996</v>
      </c>
      <c r="K72" s="228">
        <v>-25.2</v>
      </c>
      <c r="L72" s="229">
        <v>-5.1999999999999998E-3</v>
      </c>
      <c r="M72" s="231">
        <v>4874.1000000000004</v>
      </c>
      <c r="N72" s="231">
        <v>4894.6000000000004</v>
      </c>
      <c r="O72" s="228">
        <v>-20.5</v>
      </c>
      <c r="P72" s="229">
        <v>-4.1999999999999997E-3</v>
      </c>
      <c r="Q72" s="231">
        <v>4901.3999999999996</v>
      </c>
      <c r="R72" s="231">
        <v>4920.7</v>
      </c>
      <c r="S72" s="228">
        <v>-19.3</v>
      </c>
      <c r="T72" s="229">
        <v>-3.8999999999999998E-3</v>
      </c>
      <c r="U72" s="231">
        <v>4930</v>
      </c>
      <c r="V72" s="231">
        <v>4949.2</v>
      </c>
      <c r="W72" s="228">
        <v>-19.2</v>
      </c>
      <c r="X72" s="229">
        <v>-3.8999999999999998E-3</v>
      </c>
      <c r="Y72" s="228">
        <v>28.9</v>
      </c>
      <c r="Z72" s="228">
        <v>24.2</v>
      </c>
      <c r="AA72" s="228">
        <v>4.7</v>
      </c>
      <c r="AB72" s="229">
        <v>6.0000000000000001E-3</v>
      </c>
      <c r="AC72" s="228">
        <v>28.9</v>
      </c>
      <c r="AD72" s="228">
        <v>24.2</v>
      </c>
      <c r="AE72" s="228">
        <v>4.7</v>
      </c>
      <c r="AF72" s="229">
        <v>6.0000000000000001E-3</v>
      </c>
      <c r="AG72" s="228">
        <v>56.2</v>
      </c>
      <c r="AH72" s="228">
        <v>50.3</v>
      </c>
      <c r="AI72" s="228">
        <v>5.9</v>
      </c>
      <c r="AJ72" s="229">
        <v>1.1599999999999999E-2</v>
      </c>
      <c r="AK72" s="228">
        <v>84.8</v>
      </c>
      <c r="AL72" s="228">
        <v>78.8</v>
      </c>
      <c r="AM72" s="228">
        <v>6</v>
      </c>
      <c r="AN72" s="229">
        <v>1.7500000000000002E-2</v>
      </c>
      <c r="AO72" s="231">
        <v>4884.38</v>
      </c>
      <c r="AP72" s="231">
        <v>4911.83</v>
      </c>
      <c r="AQ72" s="228">
        <v>0</v>
      </c>
      <c r="AR72" s="230">
        <v>1113600</v>
      </c>
      <c r="AS72" s="230">
        <v>1298100</v>
      </c>
      <c r="AT72" s="230">
        <v>-184500</v>
      </c>
      <c r="AU72" s="229">
        <v>-0.1421</v>
      </c>
      <c r="AV72" s="230">
        <v>978450</v>
      </c>
      <c r="AW72" s="230">
        <v>1141200</v>
      </c>
      <c r="AX72" s="230">
        <v>-162750</v>
      </c>
      <c r="AY72" s="229">
        <v>-0.1426</v>
      </c>
      <c r="AZ72" s="230">
        <v>115050</v>
      </c>
      <c r="BA72" s="230">
        <v>131700</v>
      </c>
      <c r="BB72" s="230">
        <v>-16650</v>
      </c>
      <c r="BC72" s="229">
        <v>-0.12640000000000001</v>
      </c>
      <c r="BD72" s="230">
        <v>20100</v>
      </c>
      <c r="BE72" s="230">
        <v>25200</v>
      </c>
      <c r="BF72" s="230">
        <v>-5100</v>
      </c>
      <c r="BG72" s="229">
        <v>-0.2024</v>
      </c>
      <c r="BH72" s="230">
        <v>5092350</v>
      </c>
      <c r="BI72" s="230">
        <v>7419300</v>
      </c>
      <c r="BJ72" s="230">
        <v>-2326950</v>
      </c>
      <c r="BK72" s="229">
        <v>-0.31359999999999999</v>
      </c>
      <c r="BL72" s="230">
        <v>1447800</v>
      </c>
      <c r="BM72" s="230">
        <v>1619100</v>
      </c>
      <c r="BN72" s="230">
        <v>-171300</v>
      </c>
      <c r="BO72" s="229">
        <v>-0.10580000000000001</v>
      </c>
      <c r="BP72" s="230">
        <v>7653750</v>
      </c>
      <c r="BQ72" s="230">
        <v>10336500</v>
      </c>
      <c r="BR72" s="230">
        <v>-2682750</v>
      </c>
      <c r="BS72" s="229">
        <v>-0.25950000000000001</v>
      </c>
      <c r="BT72" s="230">
        <v>612097</v>
      </c>
      <c r="BU72" s="230">
        <v>1022403</v>
      </c>
      <c r="BV72" s="230">
        <v>-410306</v>
      </c>
      <c r="BW72" s="229">
        <v>-0.40129999999999999</v>
      </c>
      <c r="BX72" s="230">
        <v>8854500</v>
      </c>
      <c r="BY72" s="230">
        <v>8698350</v>
      </c>
      <c r="BZ72" s="230">
        <v>156150</v>
      </c>
      <c r="CA72" s="229">
        <v>1.7999999999999999E-2</v>
      </c>
      <c r="CB72" s="230">
        <v>8464500</v>
      </c>
      <c r="CC72" s="230">
        <v>8349750</v>
      </c>
      <c r="CD72" s="230">
        <v>114750</v>
      </c>
      <c r="CE72" s="229">
        <v>1.37E-2</v>
      </c>
      <c r="CF72" s="230">
        <v>356700</v>
      </c>
      <c r="CG72" s="230">
        <v>331650</v>
      </c>
      <c r="CH72" s="230">
        <v>25050</v>
      </c>
      <c r="CI72" s="229">
        <v>7.5499999999999998E-2</v>
      </c>
      <c r="CJ72" s="230">
        <v>33300</v>
      </c>
      <c r="CK72" s="230">
        <v>16950</v>
      </c>
      <c r="CL72" s="230">
        <v>16350</v>
      </c>
      <c r="CM72" s="229">
        <v>0.96460000000000001</v>
      </c>
      <c r="CN72" s="230">
        <v>3567300</v>
      </c>
      <c r="CO72" s="230">
        <v>3142650</v>
      </c>
      <c r="CP72" s="230">
        <v>424650</v>
      </c>
      <c r="CQ72" s="229">
        <v>0.1351</v>
      </c>
      <c r="CR72" s="230">
        <v>2263800</v>
      </c>
      <c r="CS72" s="230">
        <v>2215350</v>
      </c>
      <c r="CT72" s="230">
        <v>48450</v>
      </c>
      <c r="CU72" s="229">
        <v>2.1899999999999999E-2</v>
      </c>
      <c r="CV72" s="230">
        <v>14685600</v>
      </c>
      <c r="CW72" s="230">
        <v>14056350</v>
      </c>
      <c r="CX72" s="230">
        <v>629250</v>
      </c>
      <c r="CY72" s="229">
        <v>4.48E-2</v>
      </c>
      <c r="CZ72" s="228">
        <v>27.74</v>
      </c>
      <c r="DA72" s="228">
        <v>26.2</v>
      </c>
      <c r="DB72" s="228">
        <v>1.54</v>
      </c>
      <c r="DC72" s="228">
        <v>1.54</v>
      </c>
      <c r="DD72" s="228">
        <v>40.42</v>
      </c>
      <c r="DE72" s="228">
        <v>40.51</v>
      </c>
      <c r="DF72" s="228">
        <v>-12.68</v>
      </c>
      <c r="DG72" s="228">
        <v>-0.09</v>
      </c>
      <c r="DH72" s="228">
        <v>27.81</v>
      </c>
      <c r="DI72" s="228">
        <v>26.13</v>
      </c>
      <c r="DJ72" s="228">
        <v>1.68</v>
      </c>
      <c r="DK72" s="228">
        <v>1.68</v>
      </c>
      <c r="DL72" s="228">
        <v>27.47</v>
      </c>
      <c r="DM72" s="228">
        <v>26.48</v>
      </c>
      <c r="DN72" s="228">
        <v>0.99</v>
      </c>
      <c r="DO72" s="228">
        <v>0.99</v>
      </c>
      <c r="DP72" s="228">
        <v>0.63</v>
      </c>
      <c r="DQ72" s="228">
        <v>0.7</v>
      </c>
      <c r="DR72" s="228">
        <v>-7.0000000000000007E-2</v>
      </c>
      <c r="DS72" s="229">
        <v>-0.1</v>
      </c>
      <c r="DT72" s="231">
        <v>5000</v>
      </c>
      <c r="DU72" s="231">
        <v>4800</v>
      </c>
      <c r="DV72" s="228">
        <v>0.28000000000000003</v>
      </c>
      <c r="DW72" s="228">
        <v>0.22</v>
      </c>
      <c r="DX72" s="228">
        <v>0.06</v>
      </c>
      <c r="DY72" s="229">
        <v>0.2727</v>
      </c>
      <c r="DZ72" s="229">
        <v>4.3999999999999997E-2</v>
      </c>
      <c r="EA72" s="230">
        <v>348600</v>
      </c>
      <c r="EB72" s="229">
        <v>5.5999999999999999E-3</v>
      </c>
      <c r="EC72" s="229">
        <v>4.3999999999999997E-2</v>
      </c>
      <c r="ED72" s="228">
        <v>27.45</v>
      </c>
      <c r="EE72" s="229">
        <v>5.5999999999999999E-3</v>
      </c>
      <c r="EF72" s="230">
        <v>264042</v>
      </c>
      <c r="EG72" s="230">
        <v>461447</v>
      </c>
      <c r="EH72" s="229">
        <v>-0.42780000000000001</v>
      </c>
      <c r="EI72" s="229">
        <v>0.43140000000000001</v>
      </c>
      <c r="EJ72" s="231">
        <v>259326</v>
      </c>
      <c r="EK72" s="231">
        <v>69831.69</v>
      </c>
      <c r="EL72" s="231">
        <v>54436.89</v>
      </c>
      <c r="EM72" s="231">
        <v>20510</v>
      </c>
      <c r="EN72" s="231">
        <v>383594.58</v>
      </c>
      <c r="EO72" s="231">
        <v>517888.55</v>
      </c>
      <c r="EP72" s="231">
        <v>-134293.97</v>
      </c>
      <c r="EQ72" s="229">
        <v>-0.25929999999999997</v>
      </c>
      <c r="ER72" s="231">
        <v>178936</v>
      </c>
      <c r="ES72" s="231">
        <v>106651</v>
      </c>
      <c r="ET72" s="231">
        <v>431693</v>
      </c>
      <c r="EU72" s="231">
        <v>28450886</v>
      </c>
      <c r="EV72" s="231">
        <v>717279</v>
      </c>
      <c r="EW72" s="231">
        <v>687424</v>
      </c>
      <c r="EX72" s="231">
        <v>29855</v>
      </c>
      <c r="EY72" s="229">
        <v>4.3400000000000001E-2</v>
      </c>
      <c r="EZ72" s="229">
        <v>0.51619999999999999</v>
      </c>
      <c r="FA72" s="227" t="s">
        <v>567</v>
      </c>
      <c r="FB72" s="161">
        <f t="shared" si="1"/>
        <v>390000</v>
      </c>
    </row>
    <row r="73" spans="1:158" ht="17.25" hidden="1" thickBot="1" x14ac:dyDescent="0.3">
      <c r="A73" s="226">
        <v>45936</v>
      </c>
      <c r="B73" s="227" t="s">
        <v>184</v>
      </c>
      <c r="C73" s="227" t="s">
        <v>220</v>
      </c>
      <c r="D73" s="228">
        <v>500</v>
      </c>
      <c r="E73" s="231">
        <v>1502.6</v>
      </c>
      <c r="F73" s="231">
        <v>1495.4</v>
      </c>
      <c r="G73" s="228">
        <v>7.2</v>
      </c>
      <c r="H73" s="229">
        <v>4.7999999999999996E-3</v>
      </c>
      <c r="I73" s="231">
        <v>1497.7</v>
      </c>
      <c r="J73" s="231">
        <v>1488.1</v>
      </c>
      <c r="K73" s="228">
        <v>9.6</v>
      </c>
      <c r="L73" s="229">
        <v>6.4999999999999997E-3</v>
      </c>
      <c r="M73" s="231">
        <v>1502.6</v>
      </c>
      <c r="N73" s="231">
        <v>1495.4</v>
      </c>
      <c r="O73" s="228">
        <v>7.2</v>
      </c>
      <c r="P73" s="229">
        <v>4.7999999999999996E-3</v>
      </c>
      <c r="Q73" s="231">
        <v>1510.5</v>
      </c>
      <c r="R73" s="231">
        <v>1502.8</v>
      </c>
      <c r="S73" s="228">
        <v>7.7</v>
      </c>
      <c r="T73" s="229">
        <v>5.1000000000000004E-3</v>
      </c>
      <c r="U73" s="231">
        <v>1518</v>
      </c>
      <c r="V73" s="231">
        <v>1510.2</v>
      </c>
      <c r="W73" s="228">
        <v>7.8</v>
      </c>
      <c r="X73" s="229">
        <v>5.1999999999999998E-3</v>
      </c>
      <c r="Y73" s="228">
        <v>4.9000000000000004</v>
      </c>
      <c r="Z73" s="228">
        <v>7.3</v>
      </c>
      <c r="AA73" s="228">
        <v>-2.4</v>
      </c>
      <c r="AB73" s="229">
        <v>3.3E-3</v>
      </c>
      <c r="AC73" s="228">
        <v>4.9000000000000004</v>
      </c>
      <c r="AD73" s="228">
        <v>7.3</v>
      </c>
      <c r="AE73" s="228">
        <v>-2.4</v>
      </c>
      <c r="AF73" s="229">
        <v>3.3E-3</v>
      </c>
      <c r="AG73" s="228">
        <v>12.8</v>
      </c>
      <c r="AH73" s="228">
        <v>14.7</v>
      </c>
      <c r="AI73" s="228">
        <v>-1.9</v>
      </c>
      <c r="AJ73" s="229">
        <v>8.5000000000000006E-3</v>
      </c>
      <c r="AK73" s="228">
        <v>20.3</v>
      </c>
      <c r="AL73" s="228">
        <v>22.1</v>
      </c>
      <c r="AM73" s="228">
        <v>-1.8</v>
      </c>
      <c r="AN73" s="229">
        <v>1.3599999999999999E-2</v>
      </c>
      <c r="AO73" s="231">
        <v>1500.02</v>
      </c>
      <c r="AP73" s="231">
        <v>1506.73</v>
      </c>
      <c r="AQ73" s="228">
        <v>0</v>
      </c>
      <c r="AR73" s="230">
        <v>1118000</v>
      </c>
      <c r="AS73" s="230">
        <v>1373500</v>
      </c>
      <c r="AT73" s="230">
        <v>-255500</v>
      </c>
      <c r="AU73" s="229">
        <v>-0.186</v>
      </c>
      <c r="AV73" s="230">
        <v>1026500</v>
      </c>
      <c r="AW73" s="230">
        <v>1312000</v>
      </c>
      <c r="AX73" s="230">
        <v>-285500</v>
      </c>
      <c r="AY73" s="229">
        <v>-0.21759999999999999</v>
      </c>
      <c r="AZ73" s="230">
        <v>82000</v>
      </c>
      <c r="BA73" s="230">
        <v>50500</v>
      </c>
      <c r="BB73" s="230">
        <v>31500</v>
      </c>
      <c r="BC73" s="229">
        <v>0.62380000000000002</v>
      </c>
      <c r="BD73" s="230">
        <v>9500</v>
      </c>
      <c r="BE73" s="230">
        <v>11000</v>
      </c>
      <c r="BF73" s="230">
        <v>-1500</v>
      </c>
      <c r="BG73" s="229">
        <v>-0.13639999999999999</v>
      </c>
      <c r="BH73" s="230">
        <v>1843000</v>
      </c>
      <c r="BI73" s="230">
        <v>3149000</v>
      </c>
      <c r="BJ73" s="230">
        <v>-1306000</v>
      </c>
      <c r="BK73" s="229">
        <v>-0.41470000000000001</v>
      </c>
      <c r="BL73" s="230">
        <v>758000</v>
      </c>
      <c r="BM73" s="230">
        <v>1199500</v>
      </c>
      <c r="BN73" s="230">
        <v>-441500</v>
      </c>
      <c r="BO73" s="229">
        <v>-0.36809999999999998</v>
      </c>
      <c r="BP73" s="230">
        <v>3719000</v>
      </c>
      <c r="BQ73" s="230">
        <v>5722000</v>
      </c>
      <c r="BR73" s="230">
        <v>-2003000</v>
      </c>
      <c r="BS73" s="229">
        <v>-0.35010000000000002</v>
      </c>
      <c r="BT73" s="230">
        <v>613001</v>
      </c>
      <c r="BU73" s="230">
        <v>1034584</v>
      </c>
      <c r="BV73" s="230">
        <v>-421583</v>
      </c>
      <c r="BW73" s="229">
        <v>-0.40749999999999997</v>
      </c>
      <c r="BX73" s="230">
        <v>10408000</v>
      </c>
      <c r="BY73" s="230">
        <v>10228500</v>
      </c>
      <c r="BZ73" s="230">
        <v>179500</v>
      </c>
      <c r="CA73" s="229">
        <v>1.7500000000000002E-2</v>
      </c>
      <c r="CB73" s="230">
        <v>10222000</v>
      </c>
      <c r="CC73" s="230">
        <v>10068500</v>
      </c>
      <c r="CD73" s="230">
        <v>153500</v>
      </c>
      <c r="CE73" s="229">
        <v>1.52E-2</v>
      </c>
      <c r="CF73" s="230">
        <v>173000</v>
      </c>
      <c r="CG73" s="230">
        <v>150000</v>
      </c>
      <c r="CH73" s="230">
        <v>23000</v>
      </c>
      <c r="CI73" s="229">
        <v>0.15329999999999999</v>
      </c>
      <c r="CJ73" s="230">
        <v>13000</v>
      </c>
      <c r="CK73" s="230">
        <v>10000</v>
      </c>
      <c r="CL73" s="230">
        <v>3000</v>
      </c>
      <c r="CM73" s="229">
        <v>0.3</v>
      </c>
      <c r="CN73" s="230">
        <v>2492000</v>
      </c>
      <c r="CO73" s="230">
        <v>2334500</v>
      </c>
      <c r="CP73" s="230">
        <v>157500</v>
      </c>
      <c r="CQ73" s="229">
        <v>6.7500000000000004E-2</v>
      </c>
      <c r="CR73" s="230">
        <v>1613000</v>
      </c>
      <c r="CS73" s="230">
        <v>1501000</v>
      </c>
      <c r="CT73" s="230">
        <v>112000</v>
      </c>
      <c r="CU73" s="229">
        <v>7.46E-2</v>
      </c>
      <c r="CV73" s="230">
        <v>14513000</v>
      </c>
      <c r="CW73" s="230">
        <v>14064000</v>
      </c>
      <c r="CX73" s="230">
        <v>449000</v>
      </c>
      <c r="CY73" s="229">
        <v>3.1899999999999998E-2</v>
      </c>
      <c r="CZ73" s="228">
        <v>26.02</v>
      </c>
      <c r="DA73" s="228">
        <v>24.84</v>
      </c>
      <c r="DB73" s="228">
        <v>1.18</v>
      </c>
      <c r="DC73" s="228">
        <v>1.18</v>
      </c>
      <c r="DD73" s="228">
        <v>28.8</v>
      </c>
      <c r="DE73" s="228">
        <v>28.87</v>
      </c>
      <c r="DF73" s="228">
        <v>-2.78</v>
      </c>
      <c r="DG73" s="228">
        <v>-7.0000000000000007E-2</v>
      </c>
      <c r="DH73" s="228">
        <v>26.08</v>
      </c>
      <c r="DI73" s="228">
        <v>24.88</v>
      </c>
      <c r="DJ73" s="228">
        <v>1.2</v>
      </c>
      <c r="DK73" s="228">
        <v>1.2</v>
      </c>
      <c r="DL73" s="228">
        <v>25.88</v>
      </c>
      <c r="DM73" s="228">
        <v>24.74</v>
      </c>
      <c r="DN73" s="228">
        <v>1.1399999999999999</v>
      </c>
      <c r="DO73" s="228">
        <v>1.1399999999999999</v>
      </c>
      <c r="DP73" s="228">
        <v>0.65</v>
      </c>
      <c r="DQ73" s="228">
        <v>0.64</v>
      </c>
      <c r="DR73" s="228">
        <v>0.01</v>
      </c>
      <c r="DS73" s="229">
        <v>1.5599999999999999E-2</v>
      </c>
      <c r="DT73" s="231">
        <v>1600</v>
      </c>
      <c r="DU73" s="231">
        <v>1500</v>
      </c>
      <c r="DV73" s="228">
        <v>0.41</v>
      </c>
      <c r="DW73" s="228">
        <v>0.38</v>
      </c>
      <c r="DX73" s="228">
        <v>0.03</v>
      </c>
      <c r="DY73" s="229">
        <v>7.8899999999999998E-2</v>
      </c>
      <c r="DZ73" s="229">
        <v>1.7899999999999999E-2</v>
      </c>
      <c r="EA73" s="230">
        <v>160000</v>
      </c>
      <c r="EB73" s="229">
        <v>5.3E-3</v>
      </c>
      <c r="EC73" s="229">
        <v>1.7899999999999999E-2</v>
      </c>
      <c r="ED73" s="228">
        <v>6.71</v>
      </c>
      <c r="EE73" s="229">
        <v>4.4999999999999997E-3</v>
      </c>
      <c r="EF73" s="230">
        <v>385069</v>
      </c>
      <c r="EG73" s="230">
        <v>715745</v>
      </c>
      <c r="EH73" s="229">
        <v>-0.46200000000000002</v>
      </c>
      <c r="EI73" s="229">
        <v>0.62819999999999998</v>
      </c>
      <c r="EJ73" s="231">
        <v>28877.93</v>
      </c>
      <c r="EK73" s="231">
        <v>11248.59</v>
      </c>
      <c r="EL73" s="231">
        <v>16776.849999999999</v>
      </c>
      <c r="EM73" s="231">
        <v>6419</v>
      </c>
      <c r="EN73" s="231">
        <v>56903.37</v>
      </c>
      <c r="EO73" s="231">
        <v>87418.41</v>
      </c>
      <c r="EP73" s="231">
        <v>-30515.040000000001</v>
      </c>
      <c r="EQ73" s="229">
        <v>-0.34910000000000002</v>
      </c>
      <c r="ER73" s="231">
        <v>39294</v>
      </c>
      <c r="ES73" s="231">
        <v>23842</v>
      </c>
      <c r="ET73" s="231">
        <v>156406</v>
      </c>
      <c r="EU73" s="231">
        <v>38133766</v>
      </c>
      <c r="EV73" s="231">
        <v>219542</v>
      </c>
      <c r="EW73" s="231">
        <v>211952</v>
      </c>
      <c r="EX73" s="231">
        <v>7590</v>
      </c>
      <c r="EY73" s="229">
        <v>3.5799999999999998E-2</v>
      </c>
      <c r="EZ73" s="229">
        <v>0.38059999999999999</v>
      </c>
      <c r="FA73" s="227" t="s">
        <v>555</v>
      </c>
      <c r="FB73" s="161">
        <f t="shared" si="1"/>
        <v>186000</v>
      </c>
    </row>
    <row r="74" spans="1:158" ht="17.25" hidden="1" thickBot="1" x14ac:dyDescent="0.3">
      <c r="A74" s="226">
        <v>45936</v>
      </c>
      <c r="B74" s="227" t="s">
        <v>221</v>
      </c>
      <c r="C74" s="227" t="s">
        <v>222</v>
      </c>
      <c r="D74" s="228">
        <v>350</v>
      </c>
      <c r="E74" s="231">
        <v>1414</v>
      </c>
      <c r="F74" s="231">
        <v>1386.9</v>
      </c>
      <c r="G74" s="228">
        <v>27.1</v>
      </c>
      <c r="H74" s="229">
        <v>1.95E-2</v>
      </c>
      <c r="I74" s="231">
        <v>1417.7</v>
      </c>
      <c r="J74" s="231">
        <v>1393.5</v>
      </c>
      <c r="K74" s="228">
        <v>24.2</v>
      </c>
      <c r="L74" s="229">
        <v>1.7399999999999999E-2</v>
      </c>
      <c r="M74" s="231">
        <v>1414</v>
      </c>
      <c r="N74" s="231">
        <v>1386.9</v>
      </c>
      <c r="O74" s="228">
        <v>27.1</v>
      </c>
      <c r="P74" s="229">
        <v>1.95E-2</v>
      </c>
      <c r="Q74" s="231">
        <v>1421.4</v>
      </c>
      <c r="R74" s="231">
        <v>1394.9</v>
      </c>
      <c r="S74" s="228">
        <v>26.5</v>
      </c>
      <c r="T74" s="229">
        <v>1.9E-2</v>
      </c>
      <c r="U74" s="231">
        <v>1430.1</v>
      </c>
      <c r="V74" s="231">
        <v>1402.7</v>
      </c>
      <c r="W74" s="228">
        <v>27.4</v>
      </c>
      <c r="X74" s="229">
        <v>1.95E-2</v>
      </c>
      <c r="Y74" s="228">
        <v>-3.7</v>
      </c>
      <c r="Z74" s="228">
        <v>-6.6</v>
      </c>
      <c r="AA74" s="228">
        <v>2.9</v>
      </c>
      <c r="AB74" s="229">
        <v>-2.5999999999999999E-3</v>
      </c>
      <c r="AC74" s="228">
        <v>-3.7</v>
      </c>
      <c r="AD74" s="228">
        <v>-6.6</v>
      </c>
      <c r="AE74" s="228">
        <v>2.9</v>
      </c>
      <c r="AF74" s="229">
        <v>-2.5999999999999999E-3</v>
      </c>
      <c r="AG74" s="228">
        <v>3.7</v>
      </c>
      <c r="AH74" s="228">
        <v>1.4</v>
      </c>
      <c r="AI74" s="228">
        <v>2.2999999999999998</v>
      </c>
      <c r="AJ74" s="229">
        <v>2.5999999999999999E-3</v>
      </c>
      <c r="AK74" s="228">
        <v>12.4</v>
      </c>
      <c r="AL74" s="228">
        <v>9.1999999999999993</v>
      </c>
      <c r="AM74" s="228">
        <v>3.2</v>
      </c>
      <c r="AN74" s="229">
        <v>8.6999999999999994E-3</v>
      </c>
      <c r="AO74" s="231">
        <v>1407.62</v>
      </c>
      <c r="AP74" s="231">
        <v>1414.09</v>
      </c>
      <c r="AQ74" s="228">
        <v>0</v>
      </c>
      <c r="AR74" s="230">
        <v>2982350</v>
      </c>
      <c r="AS74" s="230">
        <v>2330650</v>
      </c>
      <c r="AT74" s="230">
        <v>651700</v>
      </c>
      <c r="AU74" s="229">
        <v>0.27960000000000002</v>
      </c>
      <c r="AV74" s="230">
        <v>2855650</v>
      </c>
      <c r="AW74" s="230">
        <v>2236500</v>
      </c>
      <c r="AX74" s="230">
        <v>619150</v>
      </c>
      <c r="AY74" s="229">
        <v>0.27679999999999999</v>
      </c>
      <c r="AZ74" s="230">
        <v>93100</v>
      </c>
      <c r="BA74" s="230">
        <v>80850</v>
      </c>
      <c r="BB74" s="230">
        <v>12250</v>
      </c>
      <c r="BC74" s="229">
        <v>0.1515</v>
      </c>
      <c r="BD74" s="230">
        <v>33600</v>
      </c>
      <c r="BE74" s="230">
        <v>13300</v>
      </c>
      <c r="BF74" s="230">
        <v>20300</v>
      </c>
      <c r="BG74" s="229">
        <v>1.5263</v>
      </c>
      <c r="BH74" s="230">
        <v>8358000</v>
      </c>
      <c r="BI74" s="230">
        <v>3492650</v>
      </c>
      <c r="BJ74" s="230">
        <v>4865350</v>
      </c>
      <c r="BK74" s="229">
        <v>1.393</v>
      </c>
      <c r="BL74" s="230">
        <v>3161900</v>
      </c>
      <c r="BM74" s="230">
        <v>2495500</v>
      </c>
      <c r="BN74" s="230">
        <v>666400</v>
      </c>
      <c r="BO74" s="229">
        <v>0.26700000000000002</v>
      </c>
      <c r="BP74" s="230">
        <v>14502250</v>
      </c>
      <c r="BQ74" s="230">
        <v>8318800</v>
      </c>
      <c r="BR74" s="230">
        <v>6183450</v>
      </c>
      <c r="BS74" s="229">
        <v>0.74329999999999996</v>
      </c>
      <c r="BT74" s="230">
        <v>2083912</v>
      </c>
      <c r="BU74" s="230">
        <v>2833266</v>
      </c>
      <c r="BV74" s="230">
        <v>-749354</v>
      </c>
      <c r="BW74" s="229">
        <v>-0.26450000000000001</v>
      </c>
      <c r="BX74" s="230">
        <v>20948550</v>
      </c>
      <c r="BY74" s="230">
        <v>20876450</v>
      </c>
      <c r="BZ74" s="230">
        <v>72100</v>
      </c>
      <c r="CA74" s="229">
        <v>3.5000000000000001E-3</v>
      </c>
      <c r="CB74" s="230">
        <v>20447000</v>
      </c>
      <c r="CC74" s="230">
        <v>20393450</v>
      </c>
      <c r="CD74" s="230">
        <v>53550</v>
      </c>
      <c r="CE74" s="229">
        <v>2.5999999999999999E-3</v>
      </c>
      <c r="CF74" s="230">
        <v>471100</v>
      </c>
      <c r="CG74" s="230">
        <v>465500</v>
      </c>
      <c r="CH74" s="230">
        <v>5600</v>
      </c>
      <c r="CI74" s="229">
        <v>1.2E-2</v>
      </c>
      <c r="CJ74" s="230">
        <v>30450</v>
      </c>
      <c r="CK74" s="230">
        <v>17500</v>
      </c>
      <c r="CL74" s="230">
        <v>12950</v>
      </c>
      <c r="CM74" s="229">
        <v>0.74</v>
      </c>
      <c r="CN74" s="230">
        <v>5046300</v>
      </c>
      <c r="CO74" s="230">
        <v>4570650</v>
      </c>
      <c r="CP74" s="230">
        <v>475650</v>
      </c>
      <c r="CQ74" s="229">
        <v>0.1041</v>
      </c>
      <c r="CR74" s="230">
        <v>3961650</v>
      </c>
      <c r="CS74" s="230">
        <v>3821650</v>
      </c>
      <c r="CT74" s="230">
        <v>140000</v>
      </c>
      <c r="CU74" s="229">
        <v>3.6600000000000001E-2</v>
      </c>
      <c r="CV74" s="230">
        <v>29956500</v>
      </c>
      <c r="CW74" s="230">
        <v>29268750</v>
      </c>
      <c r="CX74" s="230">
        <v>687750</v>
      </c>
      <c r="CY74" s="229">
        <v>2.35E-2</v>
      </c>
      <c r="CZ74" s="228">
        <v>26</v>
      </c>
      <c r="DA74" s="228">
        <v>25.57</v>
      </c>
      <c r="DB74" s="228">
        <v>0.43</v>
      </c>
      <c r="DC74" s="228">
        <v>0.43</v>
      </c>
      <c r="DD74" s="228">
        <v>29.19</v>
      </c>
      <c r="DE74" s="228">
        <v>29.17</v>
      </c>
      <c r="DF74" s="228">
        <v>-3.19</v>
      </c>
      <c r="DG74" s="228">
        <v>0.02</v>
      </c>
      <c r="DH74" s="228">
        <v>25.75</v>
      </c>
      <c r="DI74" s="228">
        <v>25.38</v>
      </c>
      <c r="DJ74" s="228">
        <v>0.37</v>
      </c>
      <c r="DK74" s="228">
        <v>0.37</v>
      </c>
      <c r="DL74" s="228">
        <v>26.66</v>
      </c>
      <c r="DM74" s="228">
        <v>25.84</v>
      </c>
      <c r="DN74" s="228">
        <v>0.82</v>
      </c>
      <c r="DO74" s="228">
        <v>0.82</v>
      </c>
      <c r="DP74" s="228">
        <v>0.79</v>
      </c>
      <c r="DQ74" s="228">
        <v>0.84</v>
      </c>
      <c r="DR74" s="228">
        <v>-0.05</v>
      </c>
      <c r="DS74" s="229">
        <v>-5.9499999999999997E-2</v>
      </c>
      <c r="DT74" s="231">
        <v>1500</v>
      </c>
      <c r="DU74" s="231">
        <v>1400</v>
      </c>
      <c r="DV74" s="228">
        <v>0.38</v>
      </c>
      <c r="DW74" s="228">
        <v>0.71</v>
      </c>
      <c r="DX74" s="228">
        <v>-0.33</v>
      </c>
      <c r="DY74" s="229">
        <v>-0.46479999999999999</v>
      </c>
      <c r="DZ74" s="229">
        <v>2.3900000000000001E-2</v>
      </c>
      <c r="EA74" s="230">
        <v>483000</v>
      </c>
      <c r="EB74" s="229">
        <v>5.1999999999999998E-3</v>
      </c>
      <c r="EC74" s="229">
        <v>2.3900000000000001E-2</v>
      </c>
      <c r="ED74" s="228">
        <v>6.47</v>
      </c>
      <c r="EE74" s="229">
        <v>4.5999999999999999E-3</v>
      </c>
      <c r="EF74" s="230">
        <v>1361780</v>
      </c>
      <c r="EG74" s="230">
        <v>1869661</v>
      </c>
      <c r="EH74" s="229">
        <v>-0.27160000000000001</v>
      </c>
      <c r="EI74" s="229">
        <v>0.65349999999999997</v>
      </c>
      <c r="EJ74" s="231">
        <v>123362.99</v>
      </c>
      <c r="EK74" s="231">
        <v>44132.81</v>
      </c>
      <c r="EL74" s="231">
        <v>41992.2</v>
      </c>
      <c r="EM74" s="231">
        <v>19024</v>
      </c>
      <c r="EN74" s="231">
        <v>209488</v>
      </c>
      <c r="EO74" s="231">
        <v>116953.64</v>
      </c>
      <c r="EP74" s="231">
        <v>92534.36</v>
      </c>
      <c r="EQ74" s="229">
        <v>0.79120000000000001</v>
      </c>
      <c r="ER74" s="231">
        <v>74792</v>
      </c>
      <c r="ES74" s="231">
        <v>54366</v>
      </c>
      <c r="ET74" s="231">
        <v>296252</v>
      </c>
      <c r="EU74" s="231">
        <v>145993539</v>
      </c>
      <c r="EV74" s="231">
        <v>425411</v>
      </c>
      <c r="EW74" s="231">
        <v>409422</v>
      </c>
      <c r="EX74" s="231">
        <v>15989</v>
      </c>
      <c r="EY74" s="229">
        <v>3.9100000000000003E-2</v>
      </c>
      <c r="EZ74" s="229">
        <v>0.20519999999999999</v>
      </c>
      <c r="FA74" s="227" t="s">
        <v>555</v>
      </c>
      <c r="FB74" s="161">
        <f t="shared" si="1"/>
        <v>501550</v>
      </c>
    </row>
    <row r="75" spans="1:158" ht="17.25" hidden="1" thickBot="1" x14ac:dyDescent="0.3">
      <c r="A75" s="226">
        <v>45936</v>
      </c>
      <c r="B75" s="227" t="s">
        <v>175</v>
      </c>
      <c r="C75" s="227" t="s">
        <v>475</v>
      </c>
      <c r="D75" s="228">
        <v>150</v>
      </c>
      <c r="E75" s="231">
        <v>5693.5</v>
      </c>
      <c r="F75" s="231">
        <v>5621</v>
      </c>
      <c r="G75" s="228">
        <v>72.5</v>
      </c>
      <c r="H75" s="229">
        <v>1.29E-2</v>
      </c>
      <c r="I75" s="231">
        <v>5661</v>
      </c>
      <c r="J75" s="231">
        <v>5591</v>
      </c>
      <c r="K75" s="228">
        <v>70</v>
      </c>
      <c r="L75" s="229">
        <v>1.2500000000000001E-2</v>
      </c>
      <c r="M75" s="231">
        <v>5693.5</v>
      </c>
      <c r="N75" s="231">
        <v>5621</v>
      </c>
      <c r="O75" s="228">
        <v>72.5</v>
      </c>
      <c r="P75" s="229">
        <v>1.29E-2</v>
      </c>
      <c r="Q75" s="231">
        <v>5720.5</v>
      </c>
      <c r="R75" s="231">
        <v>5646.5</v>
      </c>
      <c r="S75" s="228">
        <v>74</v>
      </c>
      <c r="T75" s="229">
        <v>1.3100000000000001E-2</v>
      </c>
      <c r="U75" s="231">
        <v>5712</v>
      </c>
      <c r="V75" s="231">
        <v>5668.5</v>
      </c>
      <c r="W75" s="228">
        <v>43.5</v>
      </c>
      <c r="X75" s="229">
        <v>7.7000000000000002E-3</v>
      </c>
      <c r="Y75" s="228">
        <v>32.5</v>
      </c>
      <c r="Z75" s="228">
        <v>30</v>
      </c>
      <c r="AA75" s="228">
        <v>2.5</v>
      </c>
      <c r="AB75" s="229">
        <v>5.7000000000000002E-3</v>
      </c>
      <c r="AC75" s="228">
        <v>32.5</v>
      </c>
      <c r="AD75" s="228">
        <v>30</v>
      </c>
      <c r="AE75" s="228">
        <v>2.5</v>
      </c>
      <c r="AF75" s="229">
        <v>5.7000000000000002E-3</v>
      </c>
      <c r="AG75" s="228">
        <v>59.5</v>
      </c>
      <c r="AH75" s="228">
        <v>55.5</v>
      </c>
      <c r="AI75" s="228">
        <v>4</v>
      </c>
      <c r="AJ75" s="229">
        <v>1.0500000000000001E-2</v>
      </c>
      <c r="AK75" s="228">
        <v>51</v>
      </c>
      <c r="AL75" s="228">
        <v>77.5</v>
      </c>
      <c r="AM75" s="228">
        <v>-26.5</v>
      </c>
      <c r="AN75" s="229">
        <v>8.9999999999999993E-3</v>
      </c>
      <c r="AO75" s="231">
        <v>5665.55</v>
      </c>
      <c r="AP75" s="231">
        <v>5693.93</v>
      </c>
      <c r="AQ75" s="228">
        <v>0</v>
      </c>
      <c r="AR75" s="230">
        <v>355350</v>
      </c>
      <c r="AS75" s="230">
        <v>291150</v>
      </c>
      <c r="AT75" s="230">
        <v>64200</v>
      </c>
      <c r="AU75" s="229">
        <v>0.2205</v>
      </c>
      <c r="AV75" s="230">
        <v>334050</v>
      </c>
      <c r="AW75" s="230">
        <v>285000</v>
      </c>
      <c r="AX75" s="230">
        <v>49050</v>
      </c>
      <c r="AY75" s="229">
        <v>0.1721</v>
      </c>
      <c r="AZ75" s="230">
        <v>20250</v>
      </c>
      <c r="BA75" s="230">
        <v>5850</v>
      </c>
      <c r="BB75" s="230">
        <v>14400</v>
      </c>
      <c r="BC75" s="229">
        <v>2.4615</v>
      </c>
      <c r="BD75" s="230">
        <v>1050</v>
      </c>
      <c r="BE75" s="228">
        <v>300</v>
      </c>
      <c r="BF75" s="228">
        <v>750</v>
      </c>
      <c r="BG75" s="229">
        <v>2.5</v>
      </c>
      <c r="BH75" s="230">
        <v>803250</v>
      </c>
      <c r="BI75" s="230">
        <v>641700</v>
      </c>
      <c r="BJ75" s="230">
        <v>161550</v>
      </c>
      <c r="BK75" s="229">
        <v>0.25180000000000002</v>
      </c>
      <c r="BL75" s="230">
        <v>297150</v>
      </c>
      <c r="BM75" s="230">
        <v>241050</v>
      </c>
      <c r="BN75" s="230">
        <v>56100</v>
      </c>
      <c r="BO75" s="229">
        <v>0.23269999999999999</v>
      </c>
      <c r="BP75" s="230">
        <v>1455750</v>
      </c>
      <c r="BQ75" s="230">
        <v>1173900</v>
      </c>
      <c r="BR75" s="230">
        <v>281850</v>
      </c>
      <c r="BS75" s="229">
        <v>0.24010000000000001</v>
      </c>
      <c r="BT75" s="230">
        <v>274562</v>
      </c>
      <c r="BU75" s="230">
        <v>438054</v>
      </c>
      <c r="BV75" s="230">
        <v>-163492</v>
      </c>
      <c r="BW75" s="229">
        <v>-0.37319999999999998</v>
      </c>
      <c r="BX75" s="230">
        <v>2064150</v>
      </c>
      <c r="BY75" s="230">
        <v>2019000</v>
      </c>
      <c r="BZ75" s="230">
        <v>45150</v>
      </c>
      <c r="CA75" s="229">
        <v>2.24E-2</v>
      </c>
      <c r="CB75" s="230">
        <v>2035800</v>
      </c>
      <c r="CC75" s="230">
        <v>2002500</v>
      </c>
      <c r="CD75" s="230">
        <v>33300</v>
      </c>
      <c r="CE75" s="229">
        <v>1.66E-2</v>
      </c>
      <c r="CF75" s="230">
        <v>27300</v>
      </c>
      <c r="CG75" s="230">
        <v>15900</v>
      </c>
      <c r="CH75" s="230">
        <v>11400</v>
      </c>
      <c r="CI75" s="229">
        <v>0.71699999999999997</v>
      </c>
      <c r="CJ75" s="230">
        <v>1050</v>
      </c>
      <c r="CK75" s="228">
        <v>600</v>
      </c>
      <c r="CL75" s="228">
        <v>450</v>
      </c>
      <c r="CM75" s="229">
        <v>0.75</v>
      </c>
      <c r="CN75" s="230">
        <v>505650</v>
      </c>
      <c r="CO75" s="230">
        <v>481350</v>
      </c>
      <c r="CP75" s="230">
        <v>24300</v>
      </c>
      <c r="CQ75" s="229">
        <v>5.0500000000000003E-2</v>
      </c>
      <c r="CR75" s="230">
        <v>449850</v>
      </c>
      <c r="CS75" s="230">
        <v>453450</v>
      </c>
      <c r="CT75" s="230">
        <v>-3600</v>
      </c>
      <c r="CU75" s="229">
        <v>-7.9000000000000008E-3</v>
      </c>
      <c r="CV75" s="230">
        <v>3019650</v>
      </c>
      <c r="CW75" s="230">
        <v>2953800</v>
      </c>
      <c r="CX75" s="230">
        <v>65850</v>
      </c>
      <c r="CY75" s="229">
        <v>2.23E-2</v>
      </c>
      <c r="CZ75" s="228">
        <v>25.71</v>
      </c>
      <c r="DA75" s="228">
        <v>24.67</v>
      </c>
      <c r="DB75" s="228">
        <v>1.04</v>
      </c>
      <c r="DC75" s="228">
        <v>1.04</v>
      </c>
      <c r="DD75" s="228">
        <v>35.14</v>
      </c>
      <c r="DE75" s="228">
        <v>35.18</v>
      </c>
      <c r="DF75" s="228">
        <v>-9.43</v>
      </c>
      <c r="DG75" s="228">
        <v>-0.04</v>
      </c>
      <c r="DH75" s="228">
        <v>25.52</v>
      </c>
      <c r="DI75" s="228">
        <v>24.5</v>
      </c>
      <c r="DJ75" s="228">
        <v>1.02</v>
      </c>
      <c r="DK75" s="228">
        <v>1.02</v>
      </c>
      <c r="DL75" s="228">
        <v>26.24</v>
      </c>
      <c r="DM75" s="228">
        <v>25.13</v>
      </c>
      <c r="DN75" s="228">
        <v>1.1100000000000001</v>
      </c>
      <c r="DO75" s="228">
        <v>1.1100000000000001</v>
      </c>
      <c r="DP75" s="228">
        <v>0.89</v>
      </c>
      <c r="DQ75" s="228">
        <v>0.94</v>
      </c>
      <c r="DR75" s="228">
        <v>-0.05</v>
      </c>
      <c r="DS75" s="229">
        <v>-5.3199999999999997E-2</v>
      </c>
      <c r="DT75" s="231">
        <v>5800</v>
      </c>
      <c r="DU75" s="231">
        <v>5500</v>
      </c>
      <c r="DV75" s="228">
        <v>0.37</v>
      </c>
      <c r="DW75" s="228">
        <v>0.38</v>
      </c>
      <c r="DX75" s="228">
        <v>-0.01</v>
      </c>
      <c r="DY75" s="229">
        <v>-2.63E-2</v>
      </c>
      <c r="DZ75" s="229">
        <v>1.37E-2</v>
      </c>
      <c r="EA75" s="230">
        <v>16500</v>
      </c>
      <c r="EB75" s="229">
        <v>4.7000000000000002E-3</v>
      </c>
      <c r="EC75" s="229">
        <v>1.37E-2</v>
      </c>
      <c r="ED75" s="228">
        <v>28.38</v>
      </c>
      <c r="EE75" s="229">
        <v>5.0000000000000001E-3</v>
      </c>
      <c r="EF75" s="230">
        <v>179406</v>
      </c>
      <c r="EG75" s="230">
        <v>331991</v>
      </c>
      <c r="EH75" s="229">
        <v>-0.45960000000000001</v>
      </c>
      <c r="EI75" s="229">
        <v>0.65339999999999998</v>
      </c>
      <c r="EJ75" s="231">
        <v>47308.33</v>
      </c>
      <c r="EK75" s="231">
        <v>16591.900000000001</v>
      </c>
      <c r="EL75" s="231">
        <v>20138.64</v>
      </c>
      <c r="EM75" s="231">
        <v>5726</v>
      </c>
      <c r="EN75" s="231">
        <v>84038.87</v>
      </c>
      <c r="EO75" s="231">
        <v>67223.09</v>
      </c>
      <c r="EP75" s="231">
        <v>16815.78</v>
      </c>
      <c r="EQ75" s="229">
        <v>0.25009999999999999</v>
      </c>
      <c r="ER75" s="231">
        <v>29536</v>
      </c>
      <c r="ES75" s="231">
        <v>24802</v>
      </c>
      <c r="ET75" s="231">
        <v>117530</v>
      </c>
      <c r="EU75" s="231">
        <v>15259458</v>
      </c>
      <c r="EV75" s="231">
        <v>171868</v>
      </c>
      <c r="EW75" s="231">
        <v>166545</v>
      </c>
      <c r="EX75" s="231">
        <v>5323</v>
      </c>
      <c r="EY75" s="229">
        <v>3.2000000000000001E-2</v>
      </c>
      <c r="EZ75" s="229">
        <v>0.19789999999999999</v>
      </c>
      <c r="FA75" s="227" t="s">
        <v>555</v>
      </c>
      <c r="FB75" s="161">
        <f t="shared" si="1"/>
        <v>28350</v>
      </c>
    </row>
    <row r="76" spans="1:158" ht="17.25" hidden="1" thickBot="1" x14ac:dyDescent="0.3">
      <c r="A76" s="226">
        <v>45936</v>
      </c>
      <c r="B76" s="227" t="s">
        <v>172</v>
      </c>
      <c r="C76" s="227" t="s">
        <v>224</v>
      </c>
      <c r="D76" s="228">
        <v>1100</v>
      </c>
      <c r="E76" s="228">
        <v>976.6</v>
      </c>
      <c r="F76" s="228">
        <v>968.6</v>
      </c>
      <c r="G76" s="228">
        <v>8</v>
      </c>
      <c r="H76" s="229">
        <v>8.3000000000000001E-3</v>
      </c>
      <c r="I76" s="228">
        <v>973.45</v>
      </c>
      <c r="J76" s="228">
        <v>965.15</v>
      </c>
      <c r="K76" s="228">
        <v>8.3000000000000007</v>
      </c>
      <c r="L76" s="229">
        <v>8.6E-3</v>
      </c>
      <c r="M76" s="228">
        <v>976.6</v>
      </c>
      <c r="N76" s="228">
        <v>968.6</v>
      </c>
      <c r="O76" s="228">
        <v>8</v>
      </c>
      <c r="P76" s="229">
        <v>8.3000000000000001E-3</v>
      </c>
      <c r="Q76" s="228">
        <v>981.75</v>
      </c>
      <c r="R76" s="228">
        <v>973.6</v>
      </c>
      <c r="S76" s="228">
        <v>8.15</v>
      </c>
      <c r="T76" s="229">
        <v>8.3999999999999995E-3</v>
      </c>
      <c r="U76" s="228">
        <v>987.5</v>
      </c>
      <c r="V76" s="228">
        <v>979.15</v>
      </c>
      <c r="W76" s="228">
        <v>8.35</v>
      </c>
      <c r="X76" s="229">
        <v>8.5000000000000006E-3</v>
      </c>
      <c r="Y76" s="228">
        <v>3.15</v>
      </c>
      <c r="Z76" s="228">
        <v>3.45</v>
      </c>
      <c r="AA76" s="228">
        <v>-0.3</v>
      </c>
      <c r="AB76" s="229">
        <v>3.2000000000000002E-3</v>
      </c>
      <c r="AC76" s="228">
        <v>3.15</v>
      </c>
      <c r="AD76" s="228">
        <v>3.45</v>
      </c>
      <c r="AE76" s="228">
        <v>-0.3</v>
      </c>
      <c r="AF76" s="229">
        <v>3.2000000000000002E-3</v>
      </c>
      <c r="AG76" s="228">
        <v>8.3000000000000007</v>
      </c>
      <c r="AH76" s="228">
        <v>8.4499999999999993</v>
      </c>
      <c r="AI76" s="228">
        <v>-0.15</v>
      </c>
      <c r="AJ76" s="229">
        <v>8.5000000000000006E-3</v>
      </c>
      <c r="AK76" s="228">
        <v>14.05</v>
      </c>
      <c r="AL76" s="228">
        <v>14</v>
      </c>
      <c r="AM76" s="228">
        <v>0.05</v>
      </c>
      <c r="AN76" s="229">
        <v>1.44E-2</v>
      </c>
      <c r="AO76" s="228">
        <v>975.91</v>
      </c>
      <c r="AP76" s="228">
        <v>981.22</v>
      </c>
      <c r="AQ76" s="228">
        <v>0</v>
      </c>
      <c r="AR76" s="230">
        <v>29703300</v>
      </c>
      <c r="AS76" s="230">
        <v>32978000</v>
      </c>
      <c r="AT76" s="230">
        <v>-3274700</v>
      </c>
      <c r="AU76" s="229">
        <v>-9.9299999999999999E-2</v>
      </c>
      <c r="AV76" s="230">
        <v>28689100</v>
      </c>
      <c r="AW76" s="230">
        <v>30543700</v>
      </c>
      <c r="AX76" s="230">
        <v>-1854600</v>
      </c>
      <c r="AY76" s="229">
        <v>-6.0699999999999997E-2</v>
      </c>
      <c r="AZ76" s="230">
        <v>925100</v>
      </c>
      <c r="BA76" s="230">
        <v>629200</v>
      </c>
      <c r="BB76" s="230">
        <v>295900</v>
      </c>
      <c r="BC76" s="229">
        <v>0.4703</v>
      </c>
      <c r="BD76" s="230">
        <v>89100</v>
      </c>
      <c r="BE76" s="230">
        <v>1805100</v>
      </c>
      <c r="BF76" s="230">
        <v>-1716000</v>
      </c>
      <c r="BG76" s="229">
        <v>-0.9506</v>
      </c>
      <c r="BH76" s="230">
        <v>66344300</v>
      </c>
      <c r="BI76" s="230">
        <v>54112300</v>
      </c>
      <c r="BJ76" s="230">
        <v>12232000</v>
      </c>
      <c r="BK76" s="229">
        <v>0.22600000000000001</v>
      </c>
      <c r="BL76" s="230">
        <v>38230500</v>
      </c>
      <c r="BM76" s="230">
        <v>31727300</v>
      </c>
      <c r="BN76" s="230">
        <v>6503200</v>
      </c>
      <c r="BO76" s="229">
        <v>0.20499999999999999</v>
      </c>
      <c r="BP76" s="230">
        <v>134278100</v>
      </c>
      <c r="BQ76" s="230">
        <v>118817600</v>
      </c>
      <c r="BR76" s="230">
        <v>15460500</v>
      </c>
      <c r="BS76" s="229">
        <v>0.13009999999999999</v>
      </c>
      <c r="BT76" s="230">
        <v>19481005</v>
      </c>
      <c r="BU76" s="230">
        <v>27147844</v>
      </c>
      <c r="BV76" s="230">
        <v>-7666839</v>
      </c>
      <c r="BW76" s="229">
        <v>-0.28239999999999998</v>
      </c>
      <c r="BX76" s="230">
        <v>213117300</v>
      </c>
      <c r="BY76" s="230">
        <v>217212600</v>
      </c>
      <c r="BZ76" s="230">
        <v>-4095300</v>
      </c>
      <c r="CA76" s="229">
        <v>-1.89E-2</v>
      </c>
      <c r="CB76" s="230">
        <v>208418100</v>
      </c>
      <c r="CC76" s="230">
        <v>212577200</v>
      </c>
      <c r="CD76" s="230">
        <v>-4159100</v>
      </c>
      <c r="CE76" s="229">
        <v>-1.9599999999999999E-2</v>
      </c>
      <c r="CF76" s="230">
        <v>2883100</v>
      </c>
      <c r="CG76" s="230">
        <v>2833600</v>
      </c>
      <c r="CH76" s="230">
        <v>49500</v>
      </c>
      <c r="CI76" s="229">
        <v>1.7500000000000002E-2</v>
      </c>
      <c r="CJ76" s="230">
        <v>1816100</v>
      </c>
      <c r="CK76" s="230">
        <v>1801800</v>
      </c>
      <c r="CL76" s="230">
        <v>14300</v>
      </c>
      <c r="CM76" s="229">
        <v>7.9000000000000008E-3</v>
      </c>
      <c r="CN76" s="230">
        <v>29918900</v>
      </c>
      <c r="CO76" s="230">
        <v>29898000</v>
      </c>
      <c r="CP76" s="230">
        <v>20900</v>
      </c>
      <c r="CQ76" s="229">
        <v>6.9999999999999999E-4</v>
      </c>
      <c r="CR76" s="230">
        <v>24740100</v>
      </c>
      <c r="CS76" s="230">
        <v>23491600</v>
      </c>
      <c r="CT76" s="230">
        <v>1248500</v>
      </c>
      <c r="CU76" s="229">
        <v>5.3100000000000001E-2</v>
      </c>
      <c r="CV76" s="230">
        <v>267776300</v>
      </c>
      <c r="CW76" s="230">
        <v>270602200</v>
      </c>
      <c r="CX76" s="230">
        <v>-2825900</v>
      </c>
      <c r="CY76" s="229">
        <v>-1.04E-2</v>
      </c>
      <c r="CZ76" s="228">
        <v>17.96</v>
      </c>
      <c r="DA76" s="228">
        <v>17.440000000000001</v>
      </c>
      <c r="DB76" s="228">
        <v>0.52</v>
      </c>
      <c r="DC76" s="228">
        <v>0.52</v>
      </c>
      <c r="DD76" s="228">
        <v>21.46</v>
      </c>
      <c r="DE76" s="228">
        <v>21.48</v>
      </c>
      <c r="DF76" s="228">
        <v>-3.5</v>
      </c>
      <c r="DG76" s="228">
        <v>-0.02</v>
      </c>
      <c r="DH76" s="228">
        <v>17.850000000000001</v>
      </c>
      <c r="DI76" s="228">
        <v>17.22</v>
      </c>
      <c r="DJ76" s="228">
        <v>0.63</v>
      </c>
      <c r="DK76" s="228">
        <v>0.63</v>
      </c>
      <c r="DL76" s="228">
        <v>18.14</v>
      </c>
      <c r="DM76" s="228">
        <v>17.829999999999998</v>
      </c>
      <c r="DN76" s="228">
        <v>0.31</v>
      </c>
      <c r="DO76" s="228">
        <v>0.31</v>
      </c>
      <c r="DP76" s="228">
        <v>0.83</v>
      </c>
      <c r="DQ76" s="228">
        <v>0.79</v>
      </c>
      <c r="DR76" s="228">
        <v>0.04</v>
      </c>
      <c r="DS76" s="229">
        <v>5.0599999999999999E-2</v>
      </c>
      <c r="DT76" s="231">
        <v>1000</v>
      </c>
      <c r="DU76" s="228">
        <v>900</v>
      </c>
      <c r="DV76" s="228">
        <v>0.57999999999999996</v>
      </c>
      <c r="DW76" s="228">
        <v>0.59</v>
      </c>
      <c r="DX76" s="228">
        <v>-0.01</v>
      </c>
      <c r="DY76" s="229">
        <v>-1.6899999999999998E-2</v>
      </c>
      <c r="DZ76" s="229">
        <v>2.1999999999999999E-2</v>
      </c>
      <c r="EA76" s="230">
        <v>4635400</v>
      </c>
      <c r="EB76" s="229">
        <v>5.3E-3</v>
      </c>
      <c r="EC76" s="229">
        <v>2.1999999999999999E-2</v>
      </c>
      <c r="ED76" s="228">
        <v>5.31</v>
      </c>
      <c r="EE76" s="229">
        <v>5.4000000000000003E-3</v>
      </c>
      <c r="EF76" s="230">
        <v>11968118</v>
      </c>
      <c r="EG76" s="230">
        <v>18275237</v>
      </c>
      <c r="EH76" s="229">
        <v>-0.34510000000000002</v>
      </c>
      <c r="EI76" s="229">
        <v>0.61429999999999996</v>
      </c>
      <c r="EJ76" s="231">
        <v>664229.11</v>
      </c>
      <c r="EK76" s="231">
        <v>370396.86</v>
      </c>
      <c r="EL76" s="231">
        <v>289937.17</v>
      </c>
      <c r="EM76" s="231">
        <v>52740</v>
      </c>
      <c r="EN76" s="231">
        <v>1324563.1399999999</v>
      </c>
      <c r="EO76" s="231">
        <v>1161222.71</v>
      </c>
      <c r="EP76" s="231">
        <v>163340.43</v>
      </c>
      <c r="EQ76" s="229">
        <v>0.14069999999999999</v>
      </c>
      <c r="ER76" s="231">
        <v>298384</v>
      </c>
      <c r="ES76" s="231">
        <v>233701</v>
      </c>
      <c r="ET76" s="231">
        <v>2081650</v>
      </c>
      <c r="EU76" s="231">
        <v>1329733550</v>
      </c>
      <c r="EV76" s="231">
        <v>2613735</v>
      </c>
      <c r="EW76" s="231">
        <v>2622927</v>
      </c>
      <c r="EX76" s="231">
        <v>-9192</v>
      </c>
      <c r="EY76" s="229">
        <v>-3.5000000000000001E-3</v>
      </c>
      <c r="EZ76" s="229">
        <v>0.2014</v>
      </c>
      <c r="FA76" s="227" t="s">
        <v>556</v>
      </c>
      <c r="FB76" s="161">
        <f t="shared" si="1"/>
        <v>4699200</v>
      </c>
    </row>
    <row r="77" spans="1:158" ht="17.25" hidden="1" thickBot="1" x14ac:dyDescent="0.3">
      <c r="A77" s="226">
        <v>45936</v>
      </c>
      <c r="B77" s="227" t="s">
        <v>175</v>
      </c>
      <c r="C77" s="227" t="s">
        <v>225</v>
      </c>
      <c r="D77" s="228">
        <v>1100</v>
      </c>
      <c r="E77" s="228">
        <v>764.35</v>
      </c>
      <c r="F77" s="228">
        <v>762.4</v>
      </c>
      <c r="G77" s="228">
        <v>1.95</v>
      </c>
      <c r="H77" s="229">
        <v>2.5999999999999999E-3</v>
      </c>
      <c r="I77" s="228">
        <v>763.05</v>
      </c>
      <c r="J77" s="228">
        <v>759.2</v>
      </c>
      <c r="K77" s="228">
        <v>3.85</v>
      </c>
      <c r="L77" s="229">
        <v>5.1000000000000004E-3</v>
      </c>
      <c r="M77" s="228">
        <v>764.35</v>
      </c>
      <c r="N77" s="228">
        <v>762.4</v>
      </c>
      <c r="O77" s="228">
        <v>1.95</v>
      </c>
      <c r="P77" s="229">
        <v>2.5999999999999999E-3</v>
      </c>
      <c r="Q77" s="228">
        <v>766.95</v>
      </c>
      <c r="R77" s="228">
        <v>765.15</v>
      </c>
      <c r="S77" s="228">
        <v>1.8</v>
      </c>
      <c r="T77" s="229">
        <v>2.3999999999999998E-3</v>
      </c>
      <c r="U77" s="228">
        <v>761.5</v>
      </c>
      <c r="V77" s="228">
        <v>765.95</v>
      </c>
      <c r="W77" s="228">
        <v>-4.45</v>
      </c>
      <c r="X77" s="229">
        <v>-5.7999999999999996E-3</v>
      </c>
      <c r="Y77" s="228">
        <v>1.3</v>
      </c>
      <c r="Z77" s="228">
        <v>3.2</v>
      </c>
      <c r="AA77" s="228">
        <v>-1.9</v>
      </c>
      <c r="AB77" s="229">
        <v>1.6999999999999999E-3</v>
      </c>
      <c r="AC77" s="228">
        <v>1.3</v>
      </c>
      <c r="AD77" s="228">
        <v>3.2</v>
      </c>
      <c r="AE77" s="228">
        <v>-1.9</v>
      </c>
      <c r="AF77" s="229">
        <v>1.6999999999999999E-3</v>
      </c>
      <c r="AG77" s="228">
        <v>3.9</v>
      </c>
      <c r="AH77" s="228">
        <v>5.95</v>
      </c>
      <c r="AI77" s="228">
        <v>-2.0499999999999998</v>
      </c>
      <c r="AJ77" s="229">
        <v>5.1000000000000004E-3</v>
      </c>
      <c r="AK77" s="228">
        <v>-1.55</v>
      </c>
      <c r="AL77" s="228">
        <v>6.75</v>
      </c>
      <c r="AM77" s="228">
        <v>-8.3000000000000007</v>
      </c>
      <c r="AN77" s="229">
        <v>-2E-3</v>
      </c>
      <c r="AO77" s="228">
        <v>761.18</v>
      </c>
      <c r="AP77" s="228">
        <v>763.9</v>
      </c>
      <c r="AQ77" s="228">
        <v>0</v>
      </c>
      <c r="AR77" s="230">
        <v>2504700</v>
      </c>
      <c r="AS77" s="230">
        <v>3076700</v>
      </c>
      <c r="AT77" s="230">
        <v>-572000</v>
      </c>
      <c r="AU77" s="229">
        <v>-0.18590000000000001</v>
      </c>
      <c r="AV77" s="230">
        <v>2425500</v>
      </c>
      <c r="AW77" s="230">
        <v>3014000</v>
      </c>
      <c r="AX77" s="230">
        <v>-588500</v>
      </c>
      <c r="AY77" s="229">
        <v>-0.1953</v>
      </c>
      <c r="AZ77" s="230">
        <v>71500</v>
      </c>
      <c r="BA77" s="230">
        <v>53900</v>
      </c>
      <c r="BB77" s="230">
        <v>17600</v>
      </c>
      <c r="BC77" s="229">
        <v>0.32650000000000001</v>
      </c>
      <c r="BD77" s="230">
        <v>7700</v>
      </c>
      <c r="BE77" s="230">
        <v>8800</v>
      </c>
      <c r="BF77" s="230">
        <v>-1100</v>
      </c>
      <c r="BG77" s="229">
        <v>-0.125</v>
      </c>
      <c r="BH77" s="230">
        <v>5299800</v>
      </c>
      <c r="BI77" s="230">
        <v>5449400</v>
      </c>
      <c r="BJ77" s="230">
        <v>-149600</v>
      </c>
      <c r="BK77" s="229">
        <v>-2.75E-2</v>
      </c>
      <c r="BL77" s="230">
        <v>2453000</v>
      </c>
      <c r="BM77" s="230">
        <v>2574000</v>
      </c>
      <c r="BN77" s="230">
        <v>-121000</v>
      </c>
      <c r="BO77" s="229">
        <v>-4.7E-2</v>
      </c>
      <c r="BP77" s="230">
        <v>10257500</v>
      </c>
      <c r="BQ77" s="230">
        <v>11100100</v>
      </c>
      <c r="BR77" s="230">
        <v>-842600</v>
      </c>
      <c r="BS77" s="229">
        <v>-7.5899999999999995E-2</v>
      </c>
      <c r="BT77" s="230">
        <v>1367326</v>
      </c>
      <c r="BU77" s="230">
        <v>5462798</v>
      </c>
      <c r="BV77" s="230">
        <v>-4095472</v>
      </c>
      <c r="BW77" s="229">
        <v>-0.74970000000000003</v>
      </c>
      <c r="BX77" s="230">
        <v>28113800</v>
      </c>
      <c r="BY77" s="230">
        <v>28098400</v>
      </c>
      <c r="BZ77" s="230">
        <v>15400</v>
      </c>
      <c r="CA77" s="229">
        <v>5.0000000000000001E-4</v>
      </c>
      <c r="CB77" s="230">
        <v>27821200</v>
      </c>
      <c r="CC77" s="230">
        <v>27808000</v>
      </c>
      <c r="CD77" s="230">
        <v>13200</v>
      </c>
      <c r="CE77" s="229">
        <v>5.0000000000000001E-4</v>
      </c>
      <c r="CF77" s="230">
        <v>281600</v>
      </c>
      <c r="CG77" s="230">
        <v>280500</v>
      </c>
      <c r="CH77" s="230">
        <v>1100</v>
      </c>
      <c r="CI77" s="229">
        <v>3.8999999999999998E-3</v>
      </c>
      <c r="CJ77" s="230">
        <v>11000</v>
      </c>
      <c r="CK77" s="230">
        <v>9900</v>
      </c>
      <c r="CL77" s="230">
        <v>1100</v>
      </c>
      <c r="CM77" s="229">
        <v>0.1111</v>
      </c>
      <c r="CN77" s="230">
        <v>6469100</v>
      </c>
      <c r="CO77" s="230">
        <v>5490100</v>
      </c>
      <c r="CP77" s="230">
        <v>979000</v>
      </c>
      <c r="CQ77" s="229">
        <v>0.17829999999999999</v>
      </c>
      <c r="CR77" s="230">
        <v>4173400</v>
      </c>
      <c r="CS77" s="230">
        <v>3764200</v>
      </c>
      <c r="CT77" s="230">
        <v>409200</v>
      </c>
      <c r="CU77" s="229">
        <v>0.1087</v>
      </c>
      <c r="CV77" s="230">
        <v>38756300</v>
      </c>
      <c r="CW77" s="230">
        <v>37352700</v>
      </c>
      <c r="CX77" s="230">
        <v>1403600</v>
      </c>
      <c r="CY77" s="229">
        <v>3.7600000000000001E-2</v>
      </c>
      <c r="CZ77" s="228">
        <v>22.78</v>
      </c>
      <c r="DA77" s="228">
        <v>21.96</v>
      </c>
      <c r="DB77" s="228">
        <v>0.82</v>
      </c>
      <c r="DC77" s="228">
        <v>0.82</v>
      </c>
      <c r="DD77" s="228">
        <v>26.09</v>
      </c>
      <c r="DE77" s="228">
        <v>26.15</v>
      </c>
      <c r="DF77" s="228">
        <v>-3.31</v>
      </c>
      <c r="DG77" s="228">
        <v>-0.06</v>
      </c>
      <c r="DH77" s="228">
        <v>22.73</v>
      </c>
      <c r="DI77" s="228">
        <v>22.01</v>
      </c>
      <c r="DJ77" s="228">
        <v>0.72</v>
      </c>
      <c r="DK77" s="228">
        <v>0.72</v>
      </c>
      <c r="DL77" s="228">
        <v>22.9</v>
      </c>
      <c r="DM77" s="228">
        <v>21.85</v>
      </c>
      <c r="DN77" s="228">
        <v>1.05</v>
      </c>
      <c r="DO77" s="228">
        <v>1.05</v>
      </c>
      <c r="DP77" s="228">
        <v>0.65</v>
      </c>
      <c r="DQ77" s="228">
        <v>0.69</v>
      </c>
      <c r="DR77" s="228">
        <v>-0.04</v>
      </c>
      <c r="DS77" s="229">
        <v>-5.8000000000000003E-2</v>
      </c>
      <c r="DT77" s="228">
        <v>800</v>
      </c>
      <c r="DU77" s="228">
        <v>760</v>
      </c>
      <c r="DV77" s="228">
        <v>0.46</v>
      </c>
      <c r="DW77" s="228">
        <v>0.47</v>
      </c>
      <c r="DX77" s="228">
        <v>-0.01</v>
      </c>
      <c r="DY77" s="229">
        <v>-2.1299999999999999E-2</v>
      </c>
      <c r="DZ77" s="229">
        <v>1.04E-2</v>
      </c>
      <c r="EA77" s="230">
        <v>290400</v>
      </c>
      <c r="EB77" s="229">
        <v>3.3999999999999998E-3</v>
      </c>
      <c r="EC77" s="229">
        <v>1.04E-2</v>
      </c>
      <c r="ED77" s="228">
        <v>2.72</v>
      </c>
      <c r="EE77" s="229">
        <v>3.5999999999999999E-3</v>
      </c>
      <c r="EF77" s="230">
        <v>660875</v>
      </c>
      <c r="EG77" s="230">
        <v>4100837</v>
      </c>
      <c r="EH77" s="229">
        <v>-0.83879999999999999</v>
      </c>
      <c r="EI77" s="229">
        <v>0.48330000000000001</v>
      </c>
      <c r="EJ77" s="231">
        <v>42592.5</v>
      </c>
      <c r="EK77" s="231">
        <v>18312.89</v>
      </c>
      <c r="EL77" s="231">
        <v>19067.66</v>
      </c>
      <c r="EM77" s="231">
        <v>8118</v>
      </c>
      <c r="EN77" s="231">
        <v>79973.05</v>
      </c>
      <c r="EO77" s="231">
        <v>86373.53</v>
      </c>
      <c r="EP77" s="231">
        <v>-6400.48</v>
      </c>
      <c r="EQ77" s="229">
        <v>-7.4099999999999999E-2</v>
      </c>
      <c r="ER77" s="231">
        <v>52152</v>
      </c>
      <c r="ES77" s="231">
        <v>30706</v>
      </c>
      <c r="ET77" s="231">
        <v>214895</v>
      </c>
      <c r="EU77" s="231">
        <v>119296253</v>
      </c>
      <c r="EV77" s="231">
        <v>297753</v>
      </c>
      <c r="EW77" s="231">
        <v>286115</v>
      </c>
      <c r="EX77" s="231">
        <v>11638</v>
      </c>
      <c r="EY77" s="229">
        <v>4.07E-2</v>
      </c>
      <c r="EZ77" s="229">
        <v>0.32490000000000002</v>
      </c>
      <c r="FA77" s="227" t="s">
        <v>555</v>
      </c>
      <c r="FB77" s="161">
        <f t="shared" si="1"/>
        <v>292600</v>
      </c>
    </row>
    <row r="78" spans="1:158" ht="17.25" hidden="1" thickBot="1" x14ac:dyDescent="0.3">
      <c r="A78" s="226">
        <v>45936</v>
      </c>
      <c r="B78" s="227" t="s">
        <v>162</v>
      </c>
      <c r="C78" s="227" t="s">
        <v>226</v>
      </c>
      <c r="D78" s="228">
        <v>150</v>
      </c>
      <c r="E78" s="231">
        <v>5613</v>
      </c>
      <c r="F78" s="231">
        <v>5581</v>
      </c>
      <c r="G78" s="228">
        <v>32</v>
      </c>
      <c r="H78" s="229">
        <v>5.7000000000000002E-3</v>
      </c>
      <c r="I78" s="231">
        <v>5581.5</v>
      </c>
      <c r="J78" s="231">
        <v>5550.5</v>
      </c>
      <c r="K78" s="228">
        <v>31</v>
      </c>
      <c r="L78" s="229">
        <v>5.5999999999999999E-3</v>
      </c>
      <c r="M78" s="231">
        <v>5613</v>
      </c>
      <c r="N78" s="231">
        <v>5581</v>
      </c>
      <c r="O78" s="228">
        <v>32</v>
      </c>
      <c r="P78" s="229">
        <v>5.7000000000000002E-3</v>
      </c>
      <c r="Q78" s="231">
        <v>5620.5</v>
      </c>
      <c r="R78" s="231">
        <v>5583</v>
      </c>
      <c r="S78" s="228">
        <v>37.5</v>
      </c>
      <c r="T78" s="229">
        <v>6.7000000000000002E-3</v>
      </c>
      <c r="U78" s="231">
        <v>5632</v>
      </c>
      <c r="V78" s="231">
        <v>5589</v>
      </c>
      <c r="W78" s="228">
        <v>43</v>
      </c>
      <c r="X78" s="229">
        <v>7.7000000000000002E-3</v>
      </c>
      <c r="Y78" s="228">
        <v>31.5</v>
      </c>
      <c r="Z78" s="228">
        <v>30.5</v>
      </c>
      <c r="AA78" s="228">
        <v>1</v>
      </c>
      <c r="AB78" s="229">
        <v>5.5999999999999999E-3</v>
      </c>
      <c r="AC78" s="228">
        <v>31.5</v>
      </c>
      <c r="AD78" s="228">
        <v>30.5</v>
      </c>
      <c r="AE78" s="228">
        <v>1</v>
      </c>
      <c r="AF78" s="229">
        <v>5.5999999999999999E-3</v>
      </c>
      <c r="AG78" s="228">
        <v>39</v>
      </c>
      <c r="AH78" s="228">
        <v>32.5</v>
      </c>
      <c r="AI78" s="228">
        <v>6.5</v>
      </c>
      <c r="AJ78" s="229">
        <v>7.0000000000000001E-3</v>
      </c>
      <c r="AK78" s="228">
        <v>50.5</v>
      </c>
      <c r="AL78" s="228">
        <v>38.5</v>
      </c>
      <c r="AM78" s="228">
        <v>12</v>
      </c>
      <c r="AN78" s="229">
        <v>8.9999999999999993E-3</v>
      </c>
      <c r="AO78" s="231">
        <v>5600.45</v>
      </c>
      <c r="AP78" s="231">
        <v>5607.45</v>
      </c>
      <c r="AQ78" s="228">
        <v>0</v>
      </c>
      <c r="AR78" s="230">
        <v>1056000</v>
      </c>
      <c r="AS78" s="230">
        <v>2286300</v>
      </c>
      <c r="AT78" s="230">
        <v>-1230300</v>
      </c>
      <c r="AU78" s="229">
        <v>-0.53810000000000002</v>
      </c>
      <c r="AV78" s="230">
        <v>987150</v>
      </c>
      <c r="AW78" s="230">
        <v>2181150</v>
      </c>
      <c r="AX78" s="230">
        <v>-1194000</v>
      </c>
      <c r="AY78" s="229">
        <v>-0.5474</v>
      </c>
      <c r="AZ78" s="230">
        <v>58950</v>
      </c>
      <c r="BA78" s="230">
        <v>89400</v>
      </c>
      <c r="BB78" s="230">
        <v>-30450</v>
      </c>
      <c r="BC78" s="229">
        <v>-0.34060000000000001</v>
      </c>
      <c r="BD78" s="230">
        <v>9900</v>
      </c>
      <c r="BE78" s="230">
        <v>15750</v>
      </c>
      <c r="BF78" s="230">
        <v>-5850</v>
      </c>
      <c r="BG78" s="229">
        <v>-0.37140000000000001</v>
      </c>
      <c r="BH78" s="230">
        <v>4121100</v>
      </c>
      <c r="BI78" s="230">
        <v>14166750</v>
      </c>
      <c r="BJ78" s="230">
        <v>-10045650</v>
      </c>
      <c r="BK78" s="229">
        <v>-0.70909999999999995</v>
      </c>
      <c r="BL78" s="230">
        <v>2094450</v>
      </c>
      <c r="BM78" s="230">
        <v>6523500</v>
      </c>
      <c r="BN78" s="230">
        <v>-4429050</v>
      </c>
      <c r="BO78" s="229">
        <v>-0.67889999999999995</v>
      </c>
      <c r="BP78" s="230">
        <v>7271550</v>
      </c>
      <c r="BQ78" s="230">
        <v>22976550</v>
      </c>
      <c r="BR78" s="230">
        <v>-15705000</v>
      </c>
      <c r="BS78" s="229">
        <v>-0.6835</v>
      </c>
      <c r="BT78" s="230">
        <v>885313</v>
      </c>
      <c r="BU78" s="230">
        <v>1674387</v>
      </c>
      <c r="BV78" s="230">
        <v>-789074</v>
      </c>
      <c r="BW78" s="229">
        <v>-0.4713</v>
      </c>
      <c r="BX78" s="230">
        <v>4767750</v>
      </c>
      <c r="BY78" s="230">
        <v>4873500</v>
      </c>
      <c r="BZ78" s="230">
        <v>-105750</v>
      </c>
      <c r="CA78" s="229">
        <v>-2.1700000000000001E-2</v>
      </c>
      <c r="CB78" s="230">
        <v>4490550</v>
      </c>
      <c r="CC78" s="230">
        <v>4611150</v>
      </c>
      <c r="CD78" s="230">
        <v>-120600</v>
      </c>
      <c r="CE78" s="229">
        <v>-2.6200000000000001E-2</v>
      </c>
      <c r="CF78" s="230">
        <v>262500</v>
      </c>
      <c r="CG78" s="230">
        <v>252000</v>
      </c>
      <c r="CH78" s="230">
        <v>10500</v>
      </c>
      <c r="CI78" s="229">
        <v>4.1700000000000001E-2</v>
      </c>
      <c r="CJ78" s="230">
        <v>14700</v>
      </c>
      <c r="CK78" s="230">
        <v>10350</v>
      </c>
      <c r="CL78" s="230">
        <v>4350</v>
      </c>
      <c r="CM78" s="229">
        <v>0.42030000000000001</v>
      </c>
      <c r="CN78" s="230">
        <v>2189400</v>
      </c>
      <c r="CO78" s="230">
        <v>2181900</v>
      </c>
      <c r="CP78" s="230">
        <v>7500</v>
      </c>
      <c r="CQ78" s="229">
        <v>3.3999999999999998E-3</v>
      </c>
      <c r="CR78" s="230">
        <v>1704450</v>
      </c>
      <c r="CS78" s="230">
        <v>1643250</v>
      </c>
      <c r="CT78" s="230">
        <v>61200</v>
      </c>
      <c r="CU78" s="229">
        <v>3.7199999999999997E-2</v>
      </c>
      <c r="CV78" s="230">
        <v>8661600</v>
      </c>
      <c r="CW78" s="230">
        <v>8698650</v>
      </c>
      <c r="CX78" s="230">
        <v>-37050</v>
      </c>
      <c r="CY78" s="229">
        <v>-4.3E-3</v>
      </c>
      <c r="CZ78" s="228">
        <v>25.1</v>
      </c>
      <c r="DA78" s="228">
        <v>24.98</v>
      </c>
      <c r="DB78" s="228">
        <v>0.12</v>
      </c>
      <c r="DC78" s="228">
        <v>0.12</v>
      </c>
      <c r="DD78" s="228">
        <v>31.16</v>
      </c>
      <c r="DE78" s="228">
        <v>31.23</v>
      </c>
      <c r="DF78" s="228">
        <v>-6.06</v>
      </c>
      <c r="DG78" s="228">
        <v>-7.0000000000000007E-2</v>
      </c>
      <c r="DH78" s="228">
        <v>24.66</v>
      </c>
      <c r="DI78" s="228">
        <v>24.69</v>
      </c>
      <c r="DJ78" s="228">
        <v>-0.03</v>
      </c>
      <c r="DK78" s="228">
        <v>-0.03</v>
      </c>
      <c r="DL78" s="228">
        <v>25.96</v>
      </c>
      <c r="DM78" s="228">
        <v>25.62</v>
      </c>
      <c r="DN78" s="228">
        <v>0.34</v>
      </c>
      <c r="DO78" s="228">
        <v>0.34</v>
      </c>
      <c r="DP78" s="228">
        <v>0.78</v>
      </c>
      <c r="DQ78" s="228">
        <v>0.75</v>
      </c>
      <c r="DR78" s="228">
        <v>0.03</v>
      </c>
      <c r="DS78" s="229">
        <v>0.04</v>
      </c>
      <c r="DT78" s="231">
        <v>6000</v>
      </c>
      <c r="DU78" s="231">
        <v>5400</v>
      </c>
      <c r="DV78" s="228">
        <v>0.51</v>
      </c>
      <c r="DW78" s="228">
        <v>0.46</v>
      </c>
      <c r="DX78" s="228">
        <v>0.05</v>
      </c>
      <c r="DY78" s="229">
        <v>0.1087</v>
      </c>
      <c r="DZ78" s="229">
        <v>5.8099999999999999E-2</v>
      </c>
      <c r="EA78" s="230">
        <v>262350</v>
      </c>
      <c r="EB78" s="229">
        <v>1.2999999999999999E-3</v>
      </c>
      <c r="EC78" s="229">
        <v>5.8099999999999999E-2</v>
      </c>
      <c r="ED78" s="228">
        <v>7</v>
      </c>
      <c r="EE78" s="229">
        <v>1.1999999999999999E-3</v>
      </c>
      <c r="EF78" s="230">
        <v>586145</v>
      </c>
      <c r="EG78" s="230">
        <v>878090</v>
      </c>
      <c r="EH78" s="229">
        <v>-0.33250000000000002</v>
      </c>
      <c r="EI78" s="229">
        <v>0.66210000000000002</v>
      </c>
      <c r="EJ78" s="231">
        <v>241295.97</v>
      </c>
      <c r="EK78" s="231">
        <v>113690.22</v>
      </c>
      <c r="EL78" s="231">
        <v>59145.94</v>
      </c>
      <c r="EM78" s="231">
        <v>24466</v>
      </c>
      <c r="EN78" s="231">
        <v>414132.13</v>
      </c>
      <c r="EO78" s="231">
        <v>1297331.8400000001</v>
      </c>
      <c r="EP78" s="231">
        <v>-883199.71</v>
      </c>
      <c r="EQ78" s="229">
        <v>-0.68079999999999996</v>
      </c>
      <c r="ER78" s="231">
        <v>126390</v>
      </c>
      <c r="ES78" s="231">
        <v>89094</v>
      </c>
      <c r="ET78" s="231">
        <v>267636</v>
      </c>
      <c r="EU78" s="231">
        <v>19579129</v>
      </c>
      <c r="EV78" s="231">
        <v>483120</v>
      </c>
      <c r="EW78" s="231">
        <v>483557</v>
      </c>
      <c r="EX78" s="228">
        <v>-437</v>
      </c>
      <c r="EY78" s="229">
        <v>-8.9999999999999998E-4</v>
      </c>
      <c r="EZ78" s="229">
        <v>0.44240000000000002</v>
      </c>
      <c r="FA78" s="227" t="s">
        <v>556</v>
      </c>
      <c r="FB78" s="161">
        <f t="shared" si="1"/>
        <v>277200</v>
      </c>
    </row>
    <row r="79" spans="1:158" ht="17.25" hidden="1" thickBot="1" x14ac:dyDescent="0.3">
      <c r="A79" s="226">
        <v>45936</v>
      </c>
      <c r="B79" s="227" t="s">
        <v>221</v>
      </c>
      <c r="C79" s="227" t="s">
        <v>577</v>
      </c>
      <c r="D79" s="228">
        <v>6450</v>
      </c>
      <c r="E79" s="228">
        <v>74.680000000000007</v>
      </c>
      <c r="F79" s="228">
        <v>76.36</v>
      </c>
      <c r="G79" s="228">
        <v>-1.68</v>
      </c>
      <c r="H79" s="229">
        <v>-2.1999999999999999E-2</v>
      </c>
      <c r="I79" s="228">
        <v>74.44</v>
      </c>
      <c r="J79" s="228">
        <v>75.87</v>
      </c>
      <c r="K79" s="228">
        <v>-1.43</v>
      </c>
      <c r="L79" s="229">
        <v>-1.8800000000000001E-2</v>
      </c>
      <c r="M79" s="228">
        <v>74.680000000000007</v>
      </c>
      <c r="N79" s="228">
        <v>76.36</v>
      </c>
      <c r="O79" s="228">
        <v>-1.68</v>
      </c>
      <c r="P79" s="229">
        <v>-2.1999999999999999E-2</v>
      </c>
      <c r="Q79" s="228">
        <v>75.12</v>
      </c>
      <c r="R79" s="228">
        <v>76.8</v>
      </c>
      <c r="S79" s="228">
        <v>-1.68</v>
      </c>
      <c r="T79" s="229">
        <v>-2.1899999999999999E-2</v>
      </c>
      <c r="U79" s="228">
        <v>75.55</v>
      </c>
      <c r="V79" s="228">
        <v>77.099999999999994</v>
      </c>
      <c r="W79" s="228">
        <v>-1.55</v>
      </c>
      <c r="X79" s="229">
        <v>-2.01E-2</v>
      </c>
      <c r="Y79" s="228">
        <v>0.24</v>
      </c>
      <c r="Z79" s="228">
        <v>0.49</v>
      </c>
      <c r="AA79" s="228">
        <v>-0.25</v>
      </c>
      <c r="AB79" s="229">
        <v>3.2000000000000002E-3</v>
      </c>
      <c r="AC79" s="228">
        <v>0.24</v>
      </c>
      <c r="AD79" s="228">
        <v>0.49</v>
      </c>
      <c r="AE79" s="228">
        <v>-0.25</v>
      </c>
      <c r="AF79" s="229">
        <v>3.2000000000000002E-3</v>
      </c>
      <c r="AG79" s="228">
        <v>0.68</v>
      </c>
      <c r="AH79" s="228">
        <v>0.93</v>
      </c>
      <c r="AI79" s="228">
        <v>-0.25</v>
      </c>
      <c r="AJ79" s="229">
        <v>9.1000000000000004E-3</v>
      </c>
      <c r="AK79" s="228">
        <v>1.1100000000000001</v>
      </c>
      <c r="AL79" s="228">
        <v>1.23</v>
      </c>
      <c r="AM79" s="228">
        <v>-0.12</v>
      </c>
      <c r="AN79" s="229">
        <v>1.49E-2</v>
      </c>
      <c r="AO79" s="228">
        <v>75.02</v>
      </c>
      <c r="AP79" s="228">
        <v>75.36</v>
      </c>
      <c r="AQ79" s="228">
        <v>0</v>
      </c>
      <c r="AR79" s="230">
        <v>18917850</v>
      </c>
      <c r="AS79" s="230">
        <v>38009850</v>
      </c>
      <c r="AT79" s="230">
        <v>-19092000</v>
      </c>
      <c r="AU79" s="229">
        <v>-0.50229999999999997</v>
      </c>
      <c r="AV79" s="230">
        <v>16692600</v>
      </c>
      <c r="AW79" s="230">
        <v>35113800</v>
      </c>
      <c r="AX79" s="230">
        <v>-18421200</v>
      </c>
      <c r="AY79" s="229">
        <v>-0.52459999999999996</v>
      </c>
      <c r="AZ79" s="230">
        <v>2102700</v>
      </c>
      <c r="BA79" s="230">
        <v>2831550</v>
      </c>
      <c r="BB79" s="230">
        <v>-728850</v>
      </c>
      <c r="BC79" s="229">
        <v>-0.25740000000000002</v>
      </c>
      <c r="BD79" s="230">
        <v>122550</v>
      </c>
      <c r="BE79" s="230">
        <v>64500</v>
      </c>
      <c r="BF79" s="230">
        <v>58050</v>
      </c>
      <c r="BG79" s="229">
        <v>0.9</v>
      </c>
      <c r="BH79" s="230">
        <v>34475250</v>
      </c>
      <c r="BI79" s="230">
        <v>64635450</v>
      </c>
      <c r="BJ79" s="230">
        <v>-30160200</v>
      </c>
      <c r="BK79" s="229">
        <v>-0.46660000000000001</v>
      </c>
      <c r="BL79" s="230">
        <v>9159000</v>
      </c>
      <c r="BM79" s="230">
        <v>31198650</v>
      </c>
      <c r="BN79" s="230">
        <v>-22039650</v>
      </c>
      <c r="BO79" s="229">
        <v>-0.70640000000000003</v>
      </c>
      <c r="BP79" s="230">
        <v>62552100</v>
      </c>
      <c r="BQ79" s="230">
        <v>133843950</v>
      </c>
      <c r="BR79" s="230">
        <v>-71291850</v>
      </c>
      <c r="BS79" s="229">
        <v>-0.53259999999999996</v>
      </c>
      <c r="BT79" s="230">
        <v>9999468</v>
      </c>
      <c r="BU79" s="230">
        <v>19181520</v>
      </c>
      <c r="BV79" s="230">
        <v>-9182052</v>
      </c>
      <c r="BW79" s="229">
        <v>-0.47870000000000001</v>
      </c>
      <c r="BX79" s="230">
        <v>118170450</v>
      </c>
      <c r="BY79" s="230">
        <v>112720200</v>
      </c>
      <c r="BZ79" s="230">
        <v>5450250</v>
      </c>
      <c r="CA79" s="229">
        <v>4.8399999999999999E-2</v>
      </c>
      <c r="CB79" s="230">
        <v>111391500</v>
      </c>
      <c r="CC79" s="230">
        <v>107469900</v>
      </c>
      <c r="CD79" s="230">
        <v>3921600</v>
      </c>
      <c r="CE79" s="229">
        <v>3.6499999999999998E-2</v>
      </c>
      <c r="CF79" s="230">
        <v>6643500</v>
      </c>
      <c r="CG79" s="230">
        <v>5192250</v>
      </c>
      <c r="CH79" s="230">
        <v>1451250</v>
      </c>
      <c r="CI79" s="229">
        <v>0.27950000000000003</v>
      </c>
      <c r="CJ79" s="230">
        <v>135450</v>
      </c>
      <c r="CK79" s="230">
        <v>58050</v>
      </c>
      <c r="CL79" s="230">
        <v>77400</v>
      </c>
      <c r="CM79" s="229">
        <v>1.3332999999999999</v>
      </c>
      <c r="CN79" s="230">
        <v>33933450</v>
      </c>
      <c r="CO79" s="230">
        <v>28954050</v>
      </c>
      <c r="CP79" s="230">
        <v>4979400</v>
      </c>
      <c r="CQ79" s="229">
        <v>0.17199999999999999</v>
      </c>
      <c r="CR79" s="230">
        <v>18756600</v>
      </c>
      <c r="CS79" s="230">
        <v>18130950</v>
      </c>
      <c r="CT79" s="230">
        <v>625650</v>
      </c>
      <c r="CU79" s="229">
        <v>3.4500000000000003E-2</v>
      </c>
      <c r="CV79" s="230">
        <v>170860500</v>
      </c>
      <c r="CW79" s="230">
        <v>159805200</v>
      </c>
      <c r="CX79" s="230">
        <v>11055300</v>
      </c>
      <c r="CY79" s="229">
        <v>6.9199999999999998E-2</v>
      </c>
      <c r="CZ79" s="228">
        <v>41.64</v>
      </c>
      <c r="DA79" s="228">
        <v>39.53</v>
      </c>
      <c r="DB79" s="228">
        <v>2.11</v>
      </c>
      <c r="DC79" s="228">
        <v>2.11</v>
      </c>
      <c r="DD79" s="228">
        <v>55.33</v>
      </c>
      <c r="DE79" s="228">
        <v>55.39</v>
      </c>
      <c r="DF79" s="228">
        <v>-13.69</v>
      </c>
      <c r="DG79" s="228">
        <v>-0.06</v>
      </c>
      <c r="DH79" s="228">
        <v>41.76</v>
      </c>
      <c r="DI79" s="228">
        <v>39.159999999999997</v>
      </c>
      <c r="DJ79" s="228">
        <v>2.6</v>
      </c>
      <c r="DK79" s="228">
        <v>2.6</v>
      </c>
      <c r="DL79" s="228">
        <v>41.19</v>
      </c>
      <c r="DM79" s="228">
        <v>40.29</v>
      </c>
      <c r="DN79" s="228">
        <v>0.9</v>
      </c>
      <c r="DO79" s="228">
        <v>0.9</v>
      </c>
      <c r="DP79" s="228">
        <v>0.55000000000000004</v>
      </c>
      <c r="DQ79" s="228">
        <v>0.63</v>
      </c>
      <c r="DR79" s="228">
        <v>-0.08</v>
      </c>
      <c r="DS79" s="229">
        <v>-0.127</v>
      </c>
      <c r="DT79" s="228">
        <v>80</v>
      </c>
      <c r="DU79" s="228">
        <v>75</v>
      </c>
      <c r="DV79" s="228">
        <v>0.27</v>
      </c>
      <c r="DW79" s="228">
        <v>0.48</v>
      </c>
      <c r="DX79" s="228">
        <v>-0.21</v>
      </c>
      <c r="DY79" s="229">
        <v>-0.4375</v>
      </c>
      <c r="DZ79" s="229">
        <v>5.74E-2</v>
      </c>
      <c r="EA79" s="230">
        <v>5250300</v>
      </c>
      <c r="EB79" s="229">
        <v>5.8999999999999999E-3</v>
      </c>
      <c r="EC79" s="229">
        <v>5.74E-2</v>
      </c>
      <c r="ED79" s="228">
        <v>0.34</v>
      </c>
      <c r="EE79" s="229">
        <v>4.4999999999999997E-3</v>
      </c>
      <c r="EF79" s="230">
        <v>3460377</v>
      </c>
      <c r="EG79" s="230">
        <v>5272339</v>
      </c>
      <c r="EH79" s="229">
        <v>-0.34370000000000001</v>
      </c>
      <c r="EI79" s="229">
        <v>0.34610000000000002</v>
      </c>
      <c r="EJ79" s="231">
        <v>27500.78</v>
      </c>
      <c r="EK79" s="231">
        <v>6846.12</v>
      </c>
      <c r="EL79" s="231">
        <v>14199.54</v>
      </c>
      <c r="EM79" s="231">
        <v>7353</v>
      </c>
      <c r="EN79" s="231">
        <v>48546.44</v>
      </c>
      <c r="EO79" s="231">
        <v>103971.03</v>
      </c>
      <c r="EP79" s="231">
        <v>-55424.59</v>
      </c>
      <c r="EQ79" s="229">
        <v>-0.53310000000000002</v>
      </c>
      <c r="ER79" s="231">
        <v>26590</v>
      </c>
      <c r="ES79" s="231">
        <v>13897</v>
      </c>
      <c r="ET79" s="231">
        <v>88280</v>
      </c>
      <c r="EU79" s="231">
        <v>147979599</v>
      </c>
      <c r="EV79" s="231">
        <v>128768</v>
      </c>
      <c r="EW79" s="231">
        <v>122318</v>
      </c>
      <c r="EX79" s="231">
        <v>6450</v>
      </c>
      <c r="EY79" s="229">
        <v>5.2699999999999997E-2</v>
      </c>
      <c r="EZ79" s="229">
        <v>1.1546000000000001</v>
      </c>
      <c r="FA79" s="227" t="s">
        <v>567</v>
      </c>
      <c r="FB79" s="161">
        <f t="shared" si="1"/>
        <v>6778950</v>
      </c>
    </row>
    <row r="80" spans="1:158" ht="17.25" hidden="1" thickBot="1" x14ac:dyDescent="0.3">
      <c r="A80" s="226">
        <v>45936</v>
      </c>
      <c r="B80" s="227" t="s">
        <v>227</v>
      </c>
      <c r="C80" s="227" t="s">
        <v>228</v>
      </c>
      <c r="D80" s="228">
        <v>1400</v>
      </c>
      <c r="E80" s="228">
        <v>781.25</v>
      </c>
      <c r="F80" s="228">
        <v>784.55</v>
      </c>
      <c r="G80" s="228">
        <v>-3.3</v>
      </c>
      <c r="H80" s="229">
        <v>-4.1999999999999997E-3</v>
      </c>
      <c r="I80" s="228">
        <v>776.7</v>
      </c>
      <c r="J80" s="228">
        <v>780.35</v>
      </c>
      <c r="K80" s="228">
        <v>-3.65</v>
      </c>
      <c r="L80" s="229">
        <v>-4.7000000000000002E-3</v>
      </c>
      <c r="M80" s="228">
        <v>781.25</v>
      </c>
      <c r="N80" s="228">
        <v>784.55</v>
      </c>
      <c r="O80" s="228">
        <v>-3.3</v>
      </c>
      <c r="P80" s="229">
        <v>-4.1999999999999997E-3</v>
      </c>
      <c r="Q80" s="228">
        <v>785.8</v>
      </c>
      <c r="R80" s="228">
        <v>788.9</v>
      </c>
      <c r="S80" s="228">
        <v>-3.1</v>
      </c>
      <c r="T80" s="229">
        <v>-3.8999999999999998E-3</v>
      </c>
      <c r="U80" s="228">
        <v>789.55</v>
      </c>
      <c r="V80" s="228">
        <v>792.75</v>
      </c>
      <c r="W80" s="228">
        <v>-3.2</v>
      </c>
      <c r="X80" s="229">
        <v>-4.0000000000000001E-3</v>
      </c>
      <c r="Y80" s="228">
        <v>4.55</v>
      </c>
      <c r="Z80" s="228">
        <v>4.2</v>
      </c>
      <c r="AA80" s="228">
        <v>0.35</v>
      </c>
      <c r="AB80" s="229">
        <v>5.8999999999999999E-3</v>
      </c>
      <c r="AC80" s="228">
        <v>4.55</v>
      </c>
      <c r="AD80" s="228">
        <v>4.2</v>
      </c>
      <c r="AE80" s="228">
        <v>0.35</v>
      </c>
      <c r="AF80" s="229">
        <v>5.8999999999999999E-3</v>
      </c>
      <c r="AG80" s="228">
        <v>9.1</v>
      </c>
      <c r="AH80" s="228">
        <v>8.5500000000000007</v>
      </c>
      <c r="AI80" s="228">
        <v>0.55000000000000004</v>
      </c>
      <c r="AJ80" s="229">
        <v>1.17E-2</v>
      </c>
      <c r="AK80" s="228">
        <v>12.85</v>
      </c>
      <c r="AL80" s="228">
        <v>12.4</v>
      </c>
      <c r="AM80" s="228">
        <v>0.45</v>
      </c>
      <c r="AN80" s="229">
        <v>1.6500000000000001E-2</v>
      </c>
      <c r="AO80" s="228">
        <v>782.13</v>
      </c>
      <c r="AP80" s="228">
        <v>786.37</v>
      </c>
      <c r="AQ80" s="228">
        <v>0</v>
      </c>
      <c r="AR80" s="230">
        <v>6505800</v>
      </c>
      <c r="AS80" s="230">
        <v>12189800</v>
      </c>
      <c r="AT80" s="230">
        <v>-5684000</v>
      </c>
      <c r="AU80" s="229">
        <v>-0.46629999999999999</v>
      </c>
      <c r="AV80" s="230">
        <v>6094200</v>
      </c>
      <c r="AW80" s="230">
        <v>11641000</v>
      </c>
      <c r="AX80" s="230">
        <v>-5546800</v>
      </c>
      <c r="AY80" s="229">
        <v>-0.47649999999999998</v>
      </c>
      <c r="AZ80" s="230">
        <v>365400</v>
      </c>
      <c r="BA80" s="230">
        <v>481600</v>
      </c>
      <c r="BB80" s="230">
        <v>-116200</v>
      </c>
      <c r="BC80" s="229">
        <v>-0.24129999999999999</v>
      </c>
      <c r="BD80" s="230">
        <v>46200</v>
      </c>
      <c r="BE80" s="230">
        <v>67200</v>
      </c>
      <c r="BF80" s="230">
        <v>-21000</v>
      </c>
      <c r="BG80" s="229">
        <v>-0.3125</v>
      </c>
      <c r="BH80" s="230">
        <v>18884600</v>
      </c>
      <c r="BI80" s="230">
        <v>66682000</v>
      </c>
      <c r="BJ80" s="230">
        <v>-47797400</v>
      </c>
      <c r="BK80" s="229">
        <v>-0.71679999999999999</v>
      </c>
      <c r="BL80" s="230">
        <v>9902200</v>
      </c>
      <c r="BM80" s="230">
        <v>27743800</v>
      </c>
      <c r="BN80" s="230">
        <v>-17841600</v>
      </c>
      <c r="BO80" s="229">
        <v>-0.6431</v>
      </c>
      <c r="BP80" s="230">
        <v>35292600</v>
      </c>
      <c r="BQ80" s="230">
        <v>106615600</v>
      </c>
      <c r="BR80" s="230">
        <v>-71323000</v>
      </c>
      <c r="BS80" s="229">
        <v>-0.66900000000000004</v>
      </c>
      <c r="BT80" s="230">
        <v>3711919</v>
      </c>
      <c r="BU80" s="230">
        <v>6796808</v>
      </c>
      <c r="BV80" s="230">
        <v>-3084889</v>
      </c>
      <c r="BW80" s="229">
        <v>-0.45390000000000003</v>
      </c>
      <c r="BX80" s="230">
        <v>62290200</v>
      </c>
      <c r="BY80" s="230">
        <v>62392400</v>
      </c>
      <c r="BZ80" s="230">
        <v>-102200</v>
      </c>
      <c r="CA80" s="229">
        <v>-1.6000000000000001E-3</v>
      </c>
      <c r="CB80" s="230">
        <v>61588800</v>
      </c>
      <c r="CC80" s="230">
        <v>61713400</v>
      </c>
      <c r="CD80" s="230">
        <v>-124600</v>
      </c>
      <c r="CE80" s="229">
        <v>-2E-3</v>
      </c>
      <c r="CF80" s="230">
        <v>639800</v>
      </c>
      <c r="CG80" s="230">
        <v>644000</v>
      </c>
      <c r="CH80" s="230">
        <v>-4200</v>
      </c>
      <c r="CI80" s="229">
        <v>-6.4999999999999997E-3</v>
      </c>
      <c r="CJ80" s="230">
        <v>61600</v>
      </c>
      <c r="CK80" s="230">
        <v>35000</v>
      </c>
      <c r="CL80" s="230">
        <v>26600</v>
      </c>
      <c r="CM80" s="229">
        <v>0.76</v>
      </c>
      <c r="CN80" s="230">
        <v>13599600</v>
      </c>
      <c r="CO80" s="230">
        <v>12378800</v>
      </c>
      <c r="CP80" s="230">
        <v>1220800</v>
      </c>
      <c r="CQ80" s="229">
        <v>9.8599999999999993E-2</v>
      </c>
      <c r="CR80" s="230">
        <v>10595200</v>
      </c>
      <c r="CS80" s="230">
        <v>10194800</v>
      </c>
      <c r="CT80" s="230">
        <v>400400</v>
      </c>
      <c r="CU80" s="229">
        <v>3.9300000000000002E-2</v>
      </c>
      <c r="CV80" s="230">
        <v>86485000</v>
      </c>
      <c r="CW80" s="230">
        <v>84966000</v>
      </c>
      <c r="CX80" s="230">
        <v>1519000</v>
      </c>
      <c r="CY80" s="229">
        <v>1.7899999999999999E-2</v>
      </c>
      <c r="CZ80" s="228">
        <v>24.41</v>
      </c>
      <c r="DA80" s="228">
        <v>23.68</v>
      </c>
      <c r="DB80" s="228">
        <v>0.73</v>
      </c>
      <c r="DC80" s="228">
        <v>0.73</v>
      </c>
      <c r="DD80" s="228">
        <v>33.54</v>
      </c>
      <c r="DE80" s="228">
        <v>33.619999999999997</v>
      </c>
      <c r="DF80" s="228">
        <v>-9.1300000000000008</v>
      </c>
      <c r="DG80" s="228">
        <v>-0.08</v>
      </c>
      <c r="DH80" s="228">
        <v>24.12</v>
      </c>
      <c r="DI80" s="228">
        <v>23.32</v>
      </c>
      <c r="DJ80" s="228">
        <v>0.8</v>
      </c>
      <c r="DK80" s="228">
        <v>0.8</v>
      </c>
      <c r="DL80" s="228">
        <v>24.97</v>
      </c>
      <c r="DM80" s="228">
        <v>24.54</v>
      </c>
      <c r="DN80" s="228">
        <v>0.43</v>
      </c>
      <c r="DO80" s="228">
        <v>0.43</v>
      </c>
      <c r="DP80" s="228">
        <v>0.78</v>
      </c>
      <c r="DQ80" s="228">
        <v>0.82</v>
      </c>
      <c r="DR80" s="228">
        <v>-0.04</v>
      </c>
      <c r="DS80" s="229">
        <v>-4.8800000000000003E-2</v>
      </c>
      <c r="DT80" s="228">
        <v>800</v>
      </c>
      <c r="DU80" s="228">
        <v>750</v>
      </c>
      <c r="DV80" s="228">
        <v>0.52</v>
      </c>
      <c r="DW80" s="228">
        <v>0.42</v>
      </c>
      <c r="DX80" s="228">
        <v>0.1</v>
      </c>
      <c r="DY80" s="229">
        <v>0.23810000000000001</v>
      </c>
      <c r="DZ80" s="229">
        <v>1.1299999999999999E-2</v>
      </c>
      <c r="EA80" s="230">
        <v>679000</v>
      </c>
      <c r="EB80" s="229">
        <v>5.7999999999999996E-3</v>
      </c>
      <c r="EC80" s="229">
        <v>1.1299999999999999E-2</v>
      </c>
      <c r="ED80" s="228">
        <v>4.24</v>
      </c>
      <c r="EE80" s="229">
        <v>5.4000000000000003E-3</v>
      </c>
      <c r="EF80" s="230">
        <v>1720156</v>
      </c>
      <c r="EG80" s="230">
        <v>3041932</v>
      </c>
      <c r="EH80" s="229">
        <v>-0.4345</v>
      </c>
      <c r="EI80" s="229">
        <v>0.46339999999999998</v>
      </c>
      <c r="EJ80" s="231">
        <v>154331.66</v>
      </c>
      <c r="EK80" s="231">
        <v>76050.61</v>
      </c>
      <c r="EL80" s="231">
        <v>50903.16</v>
      </c>
      <c r="EM80" s="231">
        <v>12259</v>
      </c>
      <c r="EN80" s="231">
        <v>281285.43</v>
      </c>
      <c r="EO80" s="231">
        <v>854032.22</v>
      </c>
      <c r="EP80" s="231">
        <v>-572746.79</v>
      </c>
      <c r="EQ80" s="229">
        <v>-0.67059999999999997</v>
      </c>
      <c r="ER80" s="231">
        <v>109092</v>
      </c>
      <c r="ES80" s="231">
        <v>78291</v>
      </c>
      <c r="ET80" s="231">
        <v>486676</v>
      </c>
      <c r="EU80" s="231">
        <v>176136372</v>
      </c>
      <c r="EV80" s="231">
        <v>674059</v>
      </c>
      <c r="EW80" s="231">
        <v>664285</v>
      </c>
      <c r="EX80" s="231">
        <v>9774</v>
      </c>
      <c r="EY80" s="229">
        <v>1.47E-2</v>
      </c>
      <c r="EZ80" s="229">
        <v>0.49099999999999999</v>
      </c>
      <c r="FA80" s="227" t="s">
        <v>568</v>
      </c>
      <c r="FB80" s="161">
        <f t="shared" si="1"/>
        <v>701400</v>
      </c>
    </row>
    <row r="81" spans="1:158" ht="17.25" hidden="1" thickBot="1" x14ac:dyDescent="0.3">
      <c r="A81" s="226">
        <v>45936</v>
      </c>
      <c r="B81" s="227" t="s">
        <v>193</v>
      </c>
      <c r="C81" s="227" t="s">
        <v>229</v>
      </c>
      <c r="D81" s="228">
        <v>2025</v>
      </c>
      <c r="E81" s="228">
        <v>458.4</v>
      </c>
      <c r="F81" s="228">
        <v>448</v>
      </c>
      <c r="G81" s="228">
        <v>10.4</v>
      </c>
      <c r="H81" s="229">
        <v>2.3199999999999998E-2</v>
      </c>
      <c r="I81" s="228">
        <v>456.3</v>
      </c>
      <c r="J81" s="228">
        <v>446.3</v>
      </c>
      <c r="K81" s="228">
        <v>10</v>
      </c>
      <c r="L81" s="229">
        <v>2.24E-2</v>
      </c>
      <c r="M81" s="228">
        <v>458.4</v>
      </c>
      <c r="N81" s="228">
        <v>448</v>
      </c>
      <c r="O81" s="228">
        <v>10.4</v>
      </c>
      <c r="P81" s="229">
        <v>2.3199999999999998E-2</v>
      </c>
      <c r="Q81" s="228">
        <v>460.05</v>
      </c>
      <c r="R81" s="228">
        <v>450.2</v>
      </c>
      <c r="S81" s="228">
        <v>9.85</v>
      </c>
      <c r="T81" s="229">
        <v>2.1899999999999999E-2</v>
      </c>
      <c r="U81" s="228">
        <v>461.35</v>
      </c>
      <c r="V81" s="228">
        <v>451.95</v>
      </c>
      <c r="W81" s="228">
        <v>9.4</v>
      </c>
      <c r="X81" s="229">
        <v>2.0799999999999999E-2</v>
      </c>
      <c r="Y81" s="228">
        <v>2.1</v>
      </c>
      <c r="Z81" s="228">
        <v>1.7</v>
      </c>
      <c r="AA81" s="228">
        <v>0.4</v>
      </c>
      <c r="AB81" s="229">
        <v>4.5999999999999999E-3</v>
      </c>
      <c r="AC81" s="228">
        <v>2.1</v>
      </c>
      <c r="AD81" s="228">
        <v>1.7</v>
      </c>
      <c r="AE81" s="228">
        <v>0.4</v>
      </c>
      <c r="AF81" s="229">
        <v>4.5999999999999999E-3</v>
      </c>
      <c r="AG81" s="228">
        <v>3.75</v>
      </c>
      <c r="AH81" s="228">
        <v>3.9</v>
      </c>
      <c r="AI81" s="228">
        <v>-0.15</v>
      </c>
      <c r="AJ81" s="229">
        <v>8.2000000000000007E-3</v>
      </c>
      <c r="AK81" s="228">
        <v>5.05</v>
      </c>
      <c r="AL81" s="228">
        <v>5.65</v>
      </c>
      <c r="AM81" s="228">
        <v>-0.6</v>
      </c>
      <c r="AN81" s="229">
        <v>1.11E-2</v>
      </c>
      <c r="AO81" s="228">
        <v>452.59</v>
      </c>
      <c r="AP81" s="228">
        <v>452.51</v>
      </c>
      <c r="AQ81" s="228">
        <v>0</v>
      </c>
      <c r="AR81" s="230">
        <v>14468625</v>
      </c>
      <c r="AS81" s="230">
        <v>11981925</v>
      </c>
      <c r="AT81" s="230">
        <v>2486700</v>
      </c>
      <c r="AU81" s="229">
        <v>0.20749999999999999</v>
      </c>
      <c r="AV81" s="230">
        <v>13802400</v>
      </c>
      <c r="AW81" s="230">
        <v>11451375</v>
      </c>
      <c r="AX81" s="230">
        <v>2351025</v>
      </c>
      <c r="AY81" s="229">
        <v>0.20530000000000001</v>
      </c>
      <c r="AZ81" s="230">
        <v>532575</v>
      </c>
      <c r="BA81" s="230">
        <v>411075</v>
      </c>
      <c r="BB81" s="230">
        <v>121500</v>
      </c>
      <c r="BC81" s="229">
        <v>0.29559999999999997</v>
      </c>
      <c r="BD81" s="230">
        <v>133650</v>
      </c>
      <c r="BE81" s="230">
        <v>119475</v>
      </c>
      <c r="BF81" s="230">
        <v>14175</v>
      </c>
      <c r="BG81" s="229">
        <v>0.1186</v>
      </c>
      <c r="BH81" s="230">
        <v>42150375</v>
      </c>
      <c r="BI81" s="230">
        <v>29297700</v>
      </c>
      <c r="BJ81" s="230">
        <v>12852675</v>
      </c>
      <c r="BK81" s="229">
        <v>0.43869999999999998</v>
      </c>
      <c r="BL81" s="230">
        <v>20438325</v>
      </c>
      <c r="BM81" s="230">
        <v>12810150</v>
      </c>
      <c r="BN81" s="230">
        <v>7628175</v>
      </c>
      <c r="BO81" s="229">
        <v>0.59550000000000003</v>
      </c>
      <c r="BP81" s="230">
        <v>77057325</v>
      </c>
      <c r="BQ81" s="230">
        <v>54089775</v>
      </c>
      <c r="BR81" s="230">
        <v>22967550</v>
      </c>
      <c r="BS81" s="229">
        <v>0.42459999999999998</v>
      </c>
      <c r="BT81" s="230">
        <v>4496963</v>
      </c>
      <c r="BU81" s="230">
        <v>6529809</v>
      </c>
      <c r="BV81" s="230">
        <v>-2032846</v>
      </c>
      <c r="BW81" s="229">
        <v>-0.31130000000000002</v>
      </c>
      <c r="BX81" s="230">
        <v>50062050</v>
      </c>
      <c r="BY81" s="230">
        <v>48620250</v>
      </c>
      <c r="BZ81" s="230">
        <v>1441800</v>
      </c>
      <c r="CA81" s="229">
        <v>2.9700000000000001E-2</v>
      </c>
      <c r="CB81" s="230">
        <v>49410000</v>
      </c>
      <c r="CC81" s="230">
        <v>48087675</v>
      </c>
      <c r="CD81" s="230">
        <v>1322325</v>
      </c>
      <c r="CE81" s="229">
        <v>2.75E-2</v>
      </c>
      <c r="CF81" s="230">
        <v>564975</v>
      </c>
      <c r="CG81" s="230">
        <v>481950</v>
      </c>
      <c r="CH81" s="230">
        <v>83025</v>
      </c>
      <c r="CI81" s="229">
        <v>0.17230000000000001</v>
      </c>
      <c r="CJ81" s="230">
        <v>87075</v>
      </c>
      <c r="CK81" s="230">
        <v>50625</v>
      </c>
      <c r="CL81" s="230">
        <v>36450</v>
      </c>
      <c r="CM81" s="229">
        <v>0.72</v>
      </c>
      <c r="CN81" s="230">
        <v>16943175</v>
      </c>
      <c r="CO81" s="230">
        <v>15983325</v>
      </c>
      <c r="CP81" s="230">
        <v>959850</v>
      </c>
      <c r="CQ81" s="229">
        <v>6.0100000000000001E-2</v>
      </c>
      <c r="CR81" s="230">
        <v>9547875</v>
      </c>
      <c r="CS81" s="230">
        <v>8575875</v>
      </c>
      <c r="CT81" s="230">
        <v>972000</v>
      </c>
      <c r="CU81" s="229">
        <v>0.1133</v>
      </c>
      <c r="CV81" s="230">
        <v>76553100</v>
      </c>
      <c r="CW81" s="230">
        <v>73179450</v>
      </c>
      <c r="CX81" s="230">
        <v>3373650</v>
      </c>
      <c r="CY81" s="229">
        <v>4.6100000000000002E-2</v>
      </c>
      <c r="CZ81" s="228">
        <v>32.159999999999997</v>
      </c>
      <c r="DA81" s="228">
        <v>30.38</v>
      </c>
      <c r="DB81" s="228">
        <v>1.78</v>
      </c>
      <c r="DC81" s="228">
        <v>1.78</v>
      </c>
      <c r="DD81" s="228">
        <v>41.34</v>
      </c>
      <c r="DE81" s="228">
        <v>41.33</v>
      </c>
      <c r="DF81" s="228">
        <v>-9.18</v>
      </c>
      <c r="DG81" s="228">
        <v>0.01</v>
      </c>
      <c r="DH81" s="228">
        <v>32.15</v>
      </c>
      <c r="DI81" s="228">
        <v>30.43</v>
      </c>
      <c r="DJ81" s="228">
        <v>1.72</v>
      </c>
      <c r="DK81" s="228">
        <v>1.72</v>
      </c>
      <c r="DL81" s="228">
        <v>32.17</v>
      </c>
      <c r="DM81" s="228">
        <v>30.27</v>
      </c>
      <c r="DN81" s="228">
        <v>1.9</v>
      </c>
      <c r="DO81" s="228">
        <v>1.9</v>
      </c>
      <c r="DP81" s="228">
        <v>0.56000000000000005</v>
      </c>
      <c r="DQ81" s="228">
        <v>0.54</v>
      </c>
      <c r="DR81" s="228">
        <v>0.02</v>
      </c>
      <c r="DS81" s="229">
        <v>3.6999999999999998E-2</v>
      </c>
      <c r="DT81" s="228">
        <v>500</v>
      </c>
      <c r="DU81" s="228">
        <v>440</v>
      </c>
      <c r="DV81" s="228">
        <v>0.48</v>
      </c>
      <c r="DW81" s="228">
        <v>0.44</v>
      </c>
      <c r="DX81" s="228">
        <v>0.04</v>
      </c>
      <c r="DY81" s="229">
        <v>9.0899999999999995E-2</v>
      </c>
      <c r="DZ81" s="229">
        <v>1.2999999999999999E-2</v>
      </c>
      <c r="EA81" s="230">
        <v>532575</v>
      </c>
      <c r="EB81" s="229">
        <v>3.5999999999999999E-3</v>
      </c>
      <c r="EC81" s="229">
        <v>1.2999999999999999E-2</v>
      </c>
      <c r="ED81" s="228">
        <v>-0.08</v>
      </c>
      <c r="EE81" s="229">
        <v>-2.0000000000000001E-4</v>
      </c>
      <c r="EF81" s="230">
        <v>1694485</v>
      </c>
      <c r="EG81" s="230">
        <v>3084180</v>
      </c>
      <c r="EH81" s="229">
        <v>-0.4506</v>
      </c>
      <c r="EI81" s="229">
        <v>0.37680000000000002</v>
      </c>
      <c r="EJ81" s="231">
        <v>200086.91</v>
      </c>
      <c r="EK81" s="231">
        <v>90866.72</v>
      </c>
      <c r="EL81" s="231">
        <v>65490.62</v>
      </c>
      <c r="EM81" s="231">
        <v>10978</v>
      </c>
      <c r="EN81" s="231">
        <v>356444.25</v>
      </c>
      <c r="EO81" s="231">
        <v>245491.92</v>
      </c>
      <c r="EP81" s="231">
        <v>110952.33</v>
      </c>
      <c r="EQ81" s="229">
        <v>0.45200000000000001</v>
      </c>
      <c r="ER81" s="231">
        <v>78729</v>
      </c>
      <c r="ES81" s="231">
        <v>40443</v>
      </c>
      <c r="ET81" s="231">
        <v>229496</v>
      </c>
      <c r="EU81" s="231">
        <v>143933168</v>
      </c>
      <c r="EV81" s="231">
        <v>348668</v>
      </c>
      <c r="EW81" s="231">
        <v>326701</v>
      </c>
      <c r="EX81" s="231">
        <v>21967</v>
      </c>
      <c r="EY81" s="229">
        <v>6.7199999999999996E-2</v>
      </c>
      <c r="EZ81" s="229">
        <v>0.53190000000000004</v>
      </c>
      <c r="FA81" s="227" t="s">
        <v>555</v>
      </c>
      <c r="FB81" s="161">
        <f t="shared" si="1"/>
        <v>652050</v>
      </c>
    </row>
    <row r="82" spans="1:158" ht="17.25" hidden="1" thickBot="1" x14ac:dyDescent="0.3">
      <c r="A82" s="226">
        <v>45936</v>
      </c>
      <c r="B82" s="227" t="s">
        <v>168</v>
      </c>
      <c r="C82" s="227" t="s">
        <v>230</v>
      </c>
      <c r="D82" s="228">
        <v>300</v>
      </c>
      <c r="E82" s="231">
        <v>2556.5</v>
      </c>
      <c r="F82" s="231">
        <v>2552.3000000000002</v>
      </c>
      <c r="G82" s="228">
        <v>4.2</v>
      </c>
      <c r="H82" s="229">
        <v>1.6000000000000001E-3</v>
      </c>
      <c r="I82" s="231">
        <v>2541.8000000000002</v>
      </c>
      <c r="J82" s="231">
        <v>2544.9</v>
      </c>
      <c r="K82" s="228">
        <v>-3.1</v>
      </c>
      <c r="L82" s="229">
        <v>-1.1999999999999999E-3</v>
      </c>
      <c r="M82" s="231">
        <v>2556.5</v>
      </c>
      <c r="N82" s="231">
        <v>2552.3000000000002</v>
      </c>
      <c r="O82" s="228">
        <v>4.2</v>
      </c>
      <c r="P82" s="229">
        <v>1.6000000000000001E-3</v>
      </c>
      <c r="Q82" s="231">
        <v>2549.8000000000002</v>
      </c>
      <c r="R82" s="231">
        <v>2544.4</v>
      </c>
      <c r="S82" s="228">
        <v>5.4</v>
      </c>
      <c r="T82" s="229">
        <v>2.0999999999999999E-3</v>
      </c>
      <c r="U82" s="231">
        <v>2561.4</v>
      </c>
      <c r="V82" s="231">
        <v>2561.1999999999998</v>
      </c>
      <c r="W82" s="228">
        <v>0.2</v>
      </c>
      <c r="X82" s="229">
        <v>1E-4</v>
      </c>
      <c r="Y82" s="228">
        <v>14.7</v>
      </c>
      <c r="Z82" s="228">
        <v>7.4</v>
      </c>
      <c r="AA82" s="228">
        <v>7.3</v>
      </c>
      <c r="AB82" s="229">
        <v>5.7999999999999996E-3</v>
      </c>
      <c r="AC82" s="228">
        <v>14.7</v>
      </c>
      <c r="AD82" s="228">
        <v>7.4</v>
      </c>
      <c r="AE82" s="228">
        <v>7.3</v>
      </c>
      <c r="AF82" s="229">
        <v>5.7999999999999996E-3</v>
      </c>
      <c r="AG82" s="228">
        <v>8</v>
      </c>
      <c r="AH82" s="228">
        <v>-0.5</v>
      </c>
      <c r="AI82" s="228">
        <v>8.5</v>
      </c>
      <c r="AJ82" s="229">
        <v>3.0999999999999999E-3</v>
      </c>
      <c r="AK82" s="228">
        <v>19.600000000000001</v>
      </c>
      <c r="AL82" s="228">
        <v>16.3</v>
      </c>
      <c r="AM82" s="228">
        <v>3.3</v>
      </c>
      <c r="AN82" s="229">
        <v>7.7000000000000002E-3</v>
      </c>
      <c r="AO82" s="231">
        <v>2546.14</v>
      </c>
      <c r="AP82" s="231">
        <v>2550.85</v>
      </c>
      <c r="AQ82" s="228">
        <v>0</v>
      </c>
      <c r="AR82" s="230">
        <v>1370400</v>
      </c>
      <c r="AS82" s="230">
        <v>1731600</v>
      </c>
      <c r="AT82" s="230">
        <v>-361200</v>
      </c>
      <c r="AU82" s="229">
        <v>-0.20860000000000001</v>
      </c>
      <c r="AV82" s="230">
        <v>1275600</v>
      </c>
      <c r="AW82" s="230">
        <v>1691100</v>
      </c>
      <c r="AX82" s="230">
        <v>-415500</v>
      </c>
      <c r="AY82" s="229">
        <v>-0.2457</v>
      </c>
      <c r="AZ82" s="230">
        <v>90600</v>
      </c>
      <c r="BA82" s="230">
        <v>37500</v>
      </c>
      <c r="BB82" s="230">
        <v>53100</v>
      </c>
      <c r="BC82" s="229">
        <v>1.4159999999999999</v>
      </c>
      <c r="BD82" s="230">
        <v>4200</v>
      </c>
      <c r="BE82" s="230">
        <v>3000</v>
      </c>
      <c r="BF82" s="230">
        <v>1200</v>
      </c>
      <c r="BG82" s="229">
        <v>0.4</v>
      </c>
      <c r="BH82" s="230">
        <v>3312900</v>
      </c>
      <c r="BI82" s="230">
        <v>3982500</v>
      </c>
      <c r="BJ82" s="230">
        <v>-669600</v>
      </c>
      <c r="BK82" s="229">
        <v>-0.1681</v>
      </c>
      <c r="BL82" s="230">
        <v>2174700</v>
      </c>
      <c r="BM82" s="230">
        <v>3002400</v>
      </c>
      <c r="BN82" s="230">
        <v>-827700</v>
      </c>
      <c r="BO82" s="229">
        <v>-0.2757</v>
      </c>
      <c r="BP82" s="230">
        <v>6858000</v>
      </c>
      <c r="BQ82" s="230">
        <v>8716500</v>
      </c>
      <c r="BR82" s="230">
        <v>-1858500</v>
      </c>
      <c r="BS82" s="229">
        <v>-0.2132</v>
      </c>
      <c r="BT82" s="230">
        <v>872380</v>
      </c>
      <c r="BU82" s="230">
        <v>1285039</v>
      </c>
      <c r="BV82" s="230">
        <v>-412659</v>
      </c>
      <c r="BW82" s="229">
        <v>-0.3211</v>
      </c>
      <c r="BX82" s="230">
        <v>14598900</v>
      </c>
      <c r="BY82" s="230">
        <v>14887200</v>
      </c>
      <c r="BZ82" s="230">
        <v>-288300</v>
      </c>
      <c r="CA82" s="229">
        <v>-1.9400000000000001E-2</v>
      </c>
      <c r="CB82" s="230">
        <v>14246400</v>
      </c>
      <c r="CC82" s="230">
        <v>14566800</v>
      </c>
      <c r="CD82" s="230">
        <v>-320400</v>
      </c>
      <c r="CE82" s="229">
        <v>-2.1999999999999999E-2</v>
      </c>
      <c r="CF82" s="230">
        <v>346800</v>
      </c>
      <c r="CG82" s="230">
        <v>317400</v>
      </c>
      <c r="CH82" s="230">
        <v>29400</v>
      </c>
      <c r="CI82" s="229">
        <v>9.2600000000000002E-2</v>
      </c>
      <c r="CJ82" s="230">
        <v>5700</v>
      </c>
      <c r="CK82" s="230">
        <v>3000</v>
      </c>
      <c r="CL82" s="230">
        <v>2700</v>
      </c>
      <c r="CM82" s="229">
        <v>0.9</v>
      </c>
      <c r="CN82" s="230">
        <v>3600300</v>
      </c>
      <c r="CO82" s="230">
        <v>3660000</v>
      </c>
      <c r="CP82" s="230">
        <v>-59700</v>
      </c>
      <c r="CQ82" s="229">
        <v>-1.6299999999999999E-2</v>
      </c>
      <c r="CR82" s="230">
        <v>2358000</v>
      </c>
      <c r="CS82" s="230">
        <v>2383500</v>
      </c>
      <c r="CT82" s="230">
        <v>-25500</v>
      </c>
      <c r="CU82" s="229">
        <v>-1.0699999999999999E-2</v>
      </c>
      <c r="CV82" s="230">
        <v>20557200</v>
      </c>
      <c r="CW82" s="230">
        <v>20930700</v>
      </c>
      <c r="CX82" s="230">
        <v>-373500</v>
      </c>
      <c r="CY82" s="229">
        <v>-1.78E-2</v>
      </c>
      <c r="CZ82" s="228">
        <v>18.579999999999998</v>
      </c>
      <c r="DA82" s="228">
        <v>17.91</v>
      </c>
      <c r="DB82" s="228">
        <v>0.67</v>
      </c>
      <c r="DC82" s="228">
        <v>0.67</v>
      </c>
      <c r="DD82" s="228">
        <v>22.81</v>
      </c>
      <c r="DE82" s="228">
        <v>22.87</v>
      </c>
      <c r="DF82" s="228">
        <v>-4.2300000000000004</v>
      </c>
      <c r="DG82" s="228">
        <v>-0.06</v>
      </c>
      <c r="DH82" s="228">
        <v>18.489999999999998</v>
      </c>
      <c r="DI82" s="228">
        <v>17.72</v>
      </c>
      <c r="DJ82" s="228">
        <v>0.77</v>
      </c>
      <c r="DK82" s="228">
        <v>0.77</v>
      </c>
      <c r="DL82" s="228">
        <v>18.72</v>
      </c>
      <c r="DM82" s="228">
        <v>18.16</v>
      </c>
      <c r="DN82" s="228">
        <v>0.56000000000000005</v>
      </c>
      <c r="DO82" s="228">
        <v>0.56000000000000005</v>
      </c>
      <c r="DP82" s="228">
        <v>0.65</v>
      </c>
      <c r="DQ82" s="228">
        <v>0.65</v>
      </c>
      <c r="DR82" s="228">
        <v>0</v>
      </c>
      <c r="DS82" s="229">
        <v>0</v>
      </c>
      <c r="DT82" s="231">
        <v>2600</v>
      </c>
      <c r="DU82" s="231">
        <v>2500</v>
      </c>
      <c r="DV82" s="228">
        <v>0.66</v>
      </c>
      <c r="DW82" s="228">
        <v>0.75</v>
      </c>
      <c r="DX82" s="228">
        <v>-0.09</v>
      </c>
      <c r="DY82" s="229">
        <v>-0.12</v>
      </c>
      <c r="DZ82" s="229">
        <v>2.41E-2</v>
      </c>
      <c r="EA82" s="230">
        <v>320400</v>
      </c>
      <c r="EB82" s="229">
        <v>-2.5999999999999999E-3</v>
      </c>
      <c r="EC82" s="229">
        <v>2.41E-2</v>
      </c>
      <c r="ED82" s="228">
        <v>4.71</v>
      </c>
      <c r="EE82" s="229">
        <v>1.8E-3</v>
      </c>
      <c r="EF82" s="230">
        <v>546038</v>
      </c>
      <c r="EG82" s="230">
        <v>962482</v>
      </c>
      <c r="EH82" s="229">
        <v>-0.43269999999999997</v>
      </c>
      <c r="EI82" s="229">
        <v>0.62590000000000001</v>
      </c>
      <c r="EJ82" s="231">
        <v>87147.89</v>
      </c>
      <c r="EK82" s="231">
        <v>54947.49</v>
      </c>
      <c r="EL82" s="231">
        <v>34897.1</v>
      </c>
      <c r="EM82" s="231">
        <v>15970</v>
      </c>
      <c r="EN82" s="231">
        <v>176992.48</v>
      </c>
      <c r="EO82" s="231">
        <v>224567.57</v>
      </c>
      <c r="EP82" s="231">
        <v>-47575.09</v>
      </c>
      <c r="EQ82" s="229">
        <v>-0.21190000000000001</v>
      </c>
      <c r="ER82" s="231">
        <v>95401</v>
      </c>
      <c r="ES82" s="231">
        <v>58415</v>
      </c>
      <c r="ET82" s="231">
        <v>373198</v>
      </c>
      <c r="EU82" s="231">
        <v>89517840</v>
      </c>
      <c r="EV82" s="231">
        <v>527014</v>
      </c>
      <c r="EW82" s="231">
        <v>535835</v>
      </c>
      <c r="EX82" s="231">
        <v>-8821</v>
      </c>
      <c r="EY82" s="229">
        <v>-1.6500000000000001E-2</v>
      </c>
      <c r="EZ82" s="229">
        <v>0.2296</v>
      </c>
      <c r="FA82" s="227" t="s">
        <v>556</v>
      </c>
      <c r="FB82" s="161">
        <f t="shared" si="1"/>
        <v>352500</v>
      </c>
    </row>
    <row r="83" spans="1:158" ht="17.25" hidden="1" thickBot="1" x14ac:dyDescent="0.3">
      <c r="A83" s="226">
        <v>45936</v>
      </c>
      <c r="B83" s="227" t="s">
        <v>227</v>
      </c>
      <c r="C83" s="227" t="s">
        <v>670</v>
      </c>
      <c r="D83" s="228">
        <v>1225</v>
      </c>
      <c r="E83" s="228">
        <v>493.3</v>
      </c>
      <c r="F83" s="228">
        <v>494.5</v>
      </c>
      <c r="G83" s="228">
        <v>-1.2</v>
      </c>
      <c r="H83" s="229">
        <v>-2.3999999999999998E-3</v>
      </c>
      <c r="I83" s="228">
        <v>491.5</v>
      </c>
      <c r="J83" s="228">
        <v>491.5</v>
      </c>
      <c r="K83" s="228">
        <v>0</v>
      </c>
      <c r="L83" s="229">
        <v>0</v>
      </c>
      <c r="M83" s="228">
        <v>493.3</v>
      </c>
      <c r="N83" s="228">
        <v>494.5</v>
      </c>
      <c r="O83" s="228">
        <v>-1.2</v>
      </c>
      <c r="P83" s="229">
        <v>-2.3999999999999998E-3</v>
      </c>
      <c r="Q83" s="228">
        <v>496.4</v>
      </c>
      <c r="R83" s="228">
        <v>497.5</v>
      </c>
      <c r="S83" s="228">
        <v>-1.1000000000000001</v>
      </c>
      <c r="T83" s="229">
        <v>-2.2000000000000001E-3</v>
      </c>
      <c r="U83" s="228">
        <v>498.1</v>
      </c>
      <c r="V83" s="228">
        <v>500.15</v>
      </c>
      <c r="W83" s="228">
        <v>-2.0499999999999998</v>
      </c>
      <c r="X83" s="229">
        <v>-4.1000000000000003E-3</v>
      </c>
      <c r="Y83" s="228">
        <v>1.8</v>
      </c>
      <c r="Z83" s="228">
        <v>3</v>
      </c>
      <c r="AA83" s="228">
        <v>-1.2</v>
      </c>
      <c r="AB83" s="229">
        <v>3.7000000000000002E-3</v>
      </c>
      <c r="AC83" s="228">
        <v>1.8</v>
      </c>
      <c r="AD83" s="228">
        <v>3</v>
      </c>
      <c r="AE83" s="228">
        <v>-1.2</v>
      </c>
      <c r="AF83" s="229">
        <v>3.7000000000000002E-3</v>
      </c>
      <c r="AG83" s="228">
        <v>4.9000000000000004</v>
      </c>
      <c r="AH83" s="228">
        <v>6</v>
      </c>
      <c r="AI83" s="228">
        <v>-1.1000000000000001</v>
      </c>
      <c r="AJ83" s="229">
        <v>0.01</v>
      </c>
      <c r="AK83" s="228">
        <v>6.6</v>
      </c>
      <c r="AL83" s="228">
        <v>8.65</v>
      </c>
      <c r="AM83" s="228">
        <v>-2.0499999999999998</v>
      </c>
      <c r="AN83" s="229">
        <v>1.34E-2</v>
      </c>
      <c r="AO83" s="228">
        <v>495.22</v>
      </c>
      <c r="AP83" s="228">
        <v>497.33</v>
      </c>
      <c r="AQ83" s="228">
        <v>0</v>
      </c>
      <c r="AR83" s="230">
        <v>6296500</v>
      </c>
      <c r="AS83" s="230">
        <v>12371275</v>
      </c>
      <c r="AT83" s="230">
        <v>-6074775</v>
      </c>
      <c r="AU83" s="229">
        <v>-0.49099999999999999</v>
      </c>
      <c r="AV83" s="230">
        <v>5568850</v>
      </c>
      <c r="AW83" s="230">
        <v>11170775</v>
      </c>
      <c r="AX83" s="230">
        <v>-5601925</v>
      </c>
      <c r="AY83" s="229">
        <v>-0.50149999999999995</v>
      </c>
      <c r="AZ83" s="230">
        <v>476525</v>
      </c>
      <c r="BA83" s="230">
        <v>994700</v>
      </c>
      <c r="BB83" s="230">
        <v>-518175</v>
      </c>
      <c r="BC83" s="229">
        <v>-0.52090000000000003</v>
      </c>
      <c r="BD83" s="230">
        <v>251125</v>
      </c>
      <c r="BE83" s="230">
        <v>205800</v>
      </c>
      <c r="BF83" s="230">
        <v>45325</v>
      </c>
      <c r="BG83" s="229">
        <v>0.22020000000000001</v>
      </c>
      <c r="BH83" s="230">
        <v>18512200</v>
      </c>
      <c r="BI83" s="230">
        <v>47213950</v>
      </c>
      <c r="BJ83" s="230">
        <v>-28701750</v>
      </c>
      <c r="BK83" s="229">
        <v>-0.6079</v>
      </c>
      <c r="BL83" s="230">
        <v>6177675</v>
      </c>
      <c r="BM83" s="230">
        <v>13918450</v>
      </c>
      <c r="BN83" s="230">
        <v>-7740775</v>
      </c>
      <c r="BO83" s="229">
        <v>-0.55620000000000003</v>
      </c>
      <c r="BP83" s="230">
        <v>30986375</v>
      </c>
      <c r="BQ83" s="230">
        <v>73503675</v>
      </c>
      <c r="BR83" s="230">
        <v>-42517300</v>
      </c>
      <c r="BS83" s="229">
        <v>-0.57840000000000003</v>
      </c>
      <c r="BT83" s="230">
        <v>4594148</v>
      </c>
      <c r="BU83" s="230">
        <v>9446781</v>
      </c>
      <c r="BV83" s="230">
        <v>-4852633</v>
      </c>
      <c r="BW83" s="229">
        <v>-0.51370000000000005</v>
      </c>
      <c r="BX83" s="230">
        <v>32638900</v>
      </c>
      <c r="BY83" s="230">
        <v>31917375</v>
      </c>
      <c r="BZ83" s="230">
        <v>721525</v>
      </c>
      <c r="CA83" s="229">
        <v>2.2599999999999999E-2</v>
      </c>
      <c r="CB83" s="230">
        <v>31112550</v>
      </c>
      <c r="CC83" s="230">
        <v>30696050</v>
      </c>
      <c r="CD83" s="230">
        <v>416500</v>
      </c>
      <c r="CE83" s="229">
        <v>1.3599999999999999E-2</v>
      </c>
      <c r="CF83" s="230">
        <v>1176000</v>
      </c>
      <c r="CG83" s="230">
        <v>1060850</v>
      </c>
      <c r="CH83" s="230">
        <v>115150</v>
      </c>
      <c r="CI83" s="229">
        <v>0.1085</v>
      </c>
      <c r="CJ83" s="230">
        <v>350350</v>
      </c>
      <c r="CK83" s="230">
        <v>160475</v>
      </c>
      <c r="CL83" s="230">
        <v>189875</v>
      </c>
      <c r="CM83" s="229">
        <v>1.1832</v>
      </c>
      <c r="CN83" s="230">
        <v>15594250</v>
      </c>
      <c r="CO83" s="230">
        <v>13985825</v>
      </c>
      <c r="CP83" s="230">
        <v>1608425</v>
      </c>
      <c r="CQ83" s="229">
        <v>0.115</v>
      </c>
      <c r="CR83" s="230">
        <v>8941275</v>
      </c>
      <c r="CS83" s="230">
        <v>8550500</v>
      </c>
      <c r="CT83" s="230">
        <v>390775</v>
      </c>
      <c r="CU83" s="229">
        <v>4.5699999999999998E-2</v>
      </c>
      <c r="CV83" s="230">
        <v>57174425</v>
      </c>
      <c r="CW83" s="230">
        <v>54453700</v>
      </c>
      <c r="CX83" s="230">
        <v>2720725</v>
      </c>
      <c r="CY83" s="229">
        <v>0.05</v>
      </c>
      <c r="CZ83" s="228">
        <v>34.130000000000003</v>
      </c>
      <c r="DA83" s="228">
        <v>32.200000000000003</v>
      </c>
      <c r="DB83" s="228">
        <v>1.93</v>
      </c>
      <c r="DC83" s="228">
        <v>1.93</v>
      </c>
      <c r="DD83" s="228">
        <v>44.73</v>
      </c>
      <c r="DE83" s="228">
        <v>44.84</v>
      </c>
      <c r="DF83" s="228">
        <v>-10.6</v>
      </c>
      <c r="DG83" s="228">
        <v>-0.11</v>
      </c>
      <c r="DH83" s="228">
        <v>34.340000000000003</v>
      </c>
      <c r="DI83" s="228">
        <v>32.19</v>
      </c>
      <c r="DJ83" s="228">
        <v>2.15</v>
      </c>
      <c r="DK83" s="228">
        <v>2.15</v>
      </c>
      <c r="DL83" s="228">
        <v>33.51</v>
      </c>
      <c r="DM83" s="228">
        <v>32.25</v>
      </c>
      <c r="DN83" s="228">
        <v>1.26</v>
      </c>
      <c r="DO83" s="228">
        <v>1.26</v>
      </c>
      <c r="DP83" s="228">
        <v>0.56999999999999995</v>
      </c>
      <c r="DQ83" s="228">
        <v>0.61</v>
      </c>
      <c r="DR83" s="228">
        <v>-0.04</v>
      </c>
      <c r="DS83" s="229">
        <v>-6.5600000000000006E-2</v>
      </c>
      <c r="DT83" s="228">
        <v>500</v>
      </c>
      <c r="DU83" s="228">
        <v>460</v>
      </c>
      <c r="DV83" s="228">
        <v>0.33</v>
      </c>
      <c r="DW83" s="228">
        <v>0.28999999999999998</v>
      </c>
      <c r="DX83" s="228">
        <v>0.04</v>
      </c>
      <c r="DY83" s="229">
        <v>0.13789999999999999</v>
      </c>
      <c r="DZ83" s="229">
        <v>4.6800000000000001E-2</v>
      </c>
      <c r="EA83" s="230">
        <v>1221325</v>
      </c>
      <c r="EB83" s="229">
        <v>6.3E-3</v>
      </c>
      <c r="EC83" s="229">
        <v>4.6800000000000001E-2</v>
      </c>
      <c r="ED83" s="228">
        <v>2.11</v>
      </c>
      <c r="EE83" s="229">
        <v>4.3E-3</v>
      </c>
      <c r="EF83" s="230">
        <v>1817268</v>
      </c>
      <c r="EG83" s="230">
        <v>2990040</v>
      </c>
      <c r="EH83" s="229">
        <v>-0.39219999999999999</v>
      </c>
      <c r="EI83" s="229">
        <v>0.39560000000000001</v>
      </c>
      <c r="EJ83" s="231">
        <v>96226.12</v>
      </c>
      <c r="EK83" s="231">
        <v>30124.51</v>
      </c>
      <c r="EL83" s="231">
        <v>31205.07</v>
      </c>
      <c r="EM83" s="231">
        <v>16679</v>
      </c>
      <c r="EN83" s="231">
        <v>157555.70000000001</v>
      </c>
      <c r="EO83" s="231">
        <v>373096.97</v>
      </c>
      <c r="EP83" s="231">
        <v>-215541.27</v>
      </c>
      <c r="EQ83" s="229">
        <v>-0.57769999999999999</v>
      </c>
      <c r="ER83" s="231">
        <v>78054</v>
      </c>
      <c r="ES83" s="231">
        <v>41174</v>
      </c>
      <c r="ET83" s="231">
        <v>161061</v>
      </c>
      <c r="EU83" s="231">
        <v>167680340</v>
      </c>
      <c r="EV83" s="231">
        <v>280289</v>
      </c>
      <c r="EW83" s="231">
        <v>266956</v>
      </c>
      <c r="EX83" s="231">
        <v>13333</v>
      </c>
      <c r="EY83" s="229">
        <v>4.99E-2</v>
      </c>
      <c r="EZ83" s="229">
        <v>0.34100000000000003</v>
      </c>
      <c r="FA83" s="227" t="s">
        <v>567</v>
      </c>
      <c r="FB83" s="161">
        <f t="shared" si="1"/>
        <v>1526350</v>
      </c>
    </row>
    <row r="84" spans="1:158" ht="17.25" hidden="1" thickBot="1" x14ac:dyDescent="0.3">
      <c r="A84" s="226">
        <v>45936</v>
      </c>
      <c r="B84" s="227" t="s">
        <v>206</v>
      </c>
      <c r="C84" s="227" t="s">
        <v>609</v>
      </c>
      <c r="D84" s="228">
        <v>2775</v>
      </c>
      <c r="E84" s="228">
        <v>232.32</v>
      </c>
      <c r="F84" s="228">
        <v>235.36</v>
      </c>
      <c r="G84" s="228">
        <v>-3.04</v>
      </c>
      <c r="H84" s="229">
        <v>-1.29E-2</v>
      </c>
      <c r="I84" s="228">
        <v>230.91</v>
      </c>
      <c r="J84" s="228">
        <v>233.79</v>
      </c>
      <c r="K84" s="228">
        <v>-2.88</v>
      </c>
      <c r="L84" s="229">
        <v>-1.23E-2</v>
      </c>
      <c r="M84" s="228">
        <v>232.32</v>
      </c>
      <c r="N84" s="228">
        <v>235.36</v>
      </c>
      <c r="O84" s="228">
        <v>-3.04</v>
      </c>
      <c r="P84" s="229">
        <v>-1.29E-2</v>
      </c>
      <c r="Q84" s="228">
        <v>233.64</v>
      </c>
      <c r="R84" s="228">
        <v>236.57</v>
      </c>
      <c r="S84" s="228">
        <v>-2.93</v>
      </c>
      <c r="T84" s="229">
        <v>-1.24E-2</v>
      </c>
      <c r="U84" s="228">
        <v>234</v>
      </c>
      <c r="V84" s="228">
        <v>238.49</v>
      </c>
      <c r="W84" s="228">
        <v>-4.49</v>
      </c>
      <c r="X84" s="229">
        <v>-1.8800000000000001E-2</v>
      </c>
      <c r="Y84" s="228">
        <v>1.41</v>
      </c>
      <c r="Z84" s="228">
        <v>1.57</v>
      </c>
      <c r="AA84" s="228">
        <v>-0.16</v>
      </c>
      <c r="AB84" s="229">
        <v>6.1000000000000004E-3</v>
      </c>
      <c r="AC84" s="228">
        <v>1.41</v>
      </c>
      <c r="AD84" s="228">
        <v>1.57</v>
      </c>
      <c r="AE84" s="228">
        <v>-0.16</v>
      </c>
      <c r="AF84" s="229">
        <v>6.1000000000000004E-3</v>
      </c>
      <c r="AG84" s="228">
        <v>2.73</v>
      </c>
      <c r="AH84" s="228">
        <v>2.78</v>
      </c>
      <c r="AI84" s="228">
        <v>-0.05</v>
      </c>
      <c r="AJ84" s="229">
        <v>1.18E-2</v>
      </c>
      <c r="AK84" s="228">
        <v>3.09</v>
      </c>
      <c r="AL84" s="228">
        <v>4.7</v>
      </c>
      <c r="AM84" s="228">
        <v>-1.61</v>
      </c>
      <c r="AN84" s="229">
        <v>1.34E-2</v>
      </c>
      <c r="AO84" s="228">
        <v>232.78</v>
      </c>
      <c r="AP84" s="228">
        <v>234.44</v>
      </c>
      <c r="AQ84" s="228">
        <v>0</v>
      </c>
      <c r="AR84" s="230">
        <v>4320675</v>
      </c>
      <c r="AS84" s="230">
        <v>6826500</v>
      </c>
      <c r="AT84" s="230">
        <v>-2505825</v>
      </c>
      <c r="AU84" s="229">
        <v>-0.36709999999999998</v>
      </c>
      <c r="AV84" s="230">
        <v>4104225</v>
      </c>
      <c r="AW84" s="230">
        <v>6535125</v>
      </c>
      <c r="AX84" s="230">
        <v>-2430900</v>
      </c>
      <c r="AY84" s="229">
        <v>-0.372</v>
      </c>
      <c r="AZ84" s="230">
        <v>205350</v>
      </c>
      <c r="BA84" s="230">
        <v>274725</v>
      </c>
      <c r="BB84" s="230">
        <v>-69375</v>
      </c>
      <c r="BC84" s="229">
        <v>-0.2525</v>
      </c>
      <c r="BD84" s="230">
        <v>11100</v>
      </c>
      <c r="BE84" s="230">
        <v>16650</v>
      </c>
      <c r="BF84" s="230">
        <v>-5550</v>
      </c>
      <c r="BG84" s="229">
        <v>-0.33329999999999999</v>
      </c>
      <c r="BH84" s="230">
        <v>12287700</v>
      </c>
      <c r="BI84" s="230">
        <v>19738575</v>
      </c>
      <c r="BJ84" s="230">
        <v>-7450875</v>
      </c>
      <c r="BK84" s="229">
        <v>-0.3775</v>
      </c>
      <c r="BL84" s="230">
        <v>5186475</v>
      </c>
      <c r="BM84" s="230">
        <v>8982675</v>
      </c>
      <c r="BN84" s="230">
        <v>-3796200</v>
      </c>
      <c r="BO84" s="229">
        <v>-0.42259999999999998</v>
      </c>
      <c r="BP84" s="230">
        <v>21794850</v>
      </c>
      <c r="BQ84" s="230">
        <v>35547750</v>
      </c>
      <c r="BR84" s="230">
        <v>-13752900</v>
      </c>
      <c r="BS84" s="229">
        <v>-0.38690000000000002</v>
      </c>
      <c r="BT84" s="230">
        <v>2530228</v>
      </c>
      <c r="BU84" s="230">
        <v>6119631</v>
      </c>
      <c r="BV84" s="230">
        <v>-3589403</v>
      </c>
      <c r="BW84" s="229">
        <v>-0.58650000000000002</v>
      </c>
      <c r="BX84" s="230">
        <v>27275475</v>
      </c>
      <c r="BY84" s="230">
        <v>27219975</v>
      </c>
      <c r="BZ84" s="230">
        <v>55500</v>
      </c>
      <c r="CA84" s="229">
        <v>2E-3</v>
      </c>
      <c r="CB84" s="230">
        <v>26376375</v>
      </c>
      <c r="CC84" s="230">
        <v>26381925</v>
      </c>
      <c r="CD84" s="230">
        <v>-5550</v>
      </c>
      <c r="CE84" s="229">
        <v>-2.0000000000000001E-4</v>
      </c>
      <c r="CF84" s="230">
        <v>835275</v>
      </c>
      <c r="CG84" s="230">
        <v>782550</v>
      </c>
      <c r="CH84" s="230">
        <v>52725</v>
      </c>
      <c r="CI84" s="229">
        <v>6.7400000000000002E-2</v>
      </c>
      <c r="CJ84" s="230">
        <v>63825</v>
      </c>
      <c r="CK84" s="230">
        <v>55500</v>
      </c>
      <c r="CL84" s="230">
        <v>8325</v>
      </c>
      <c r="CM84" s="229">
        <v>0.15</v>
      </c>
      <c r="CN84" s="230">
        <v>13153500</v>
      </c>
      <c r="CO84" s="230">
        <v>11047275</v>
      </c>
      <c r="CP84" s="230">
        <v>2106225</v>
      </c>
      <c r="CQ84" s="229">
        <v>0.19070000000000001</v>
      </c>
      <c r="CR84" s="230">
        <v>7528575</v>
      </c>
      <c r="CS84" s="230">
        <v>6615600</v>
      </c>
      <c r="CT84" s="230">
        <v>912975</v>
      </c>
      <c r="CU84" s="229">
        <v>0.13800000000000001</v>
      </c>
      <c r="CV84" s="230">
        <v>47957550</v>
      </c>
      <c r="CW84" s="230">
        <v>44882850</v>
      </c>
      <c r="CX84" s="230">
        <v>3074700</v>
      </c>
      <c r="CY84" s="229">
        <v>6.8500000000000005E-2</v>
      </c>
      <c r="CZ84" s="228">
        <v>32.18</v>
      </c>
      <c r="DA84" s="228">
        <v>31.78</v>
      </c>
      <c r="DB84" s="228">
        <v>0.4</v>
      </c>
      <c r="DC84" s="228">
        <v>0.4</v>
      </c>
      <c r="DD84" s="228">
        <v>54.1</v>
      </c>
      <c r="DE84" s="228">
        <v>54.21</v>
      </c>
      <c r="DF84" s="228">
        <v>-21.92</v>
      </c>
      <c r="DG84" s="228">
        <v>-0.11</v>
      </c>
      <c r="DH84" s="228">
        <v>32.479999999999997</v>
      </c>
      <c r="DI84" s="228">
        <v>31.96</v>
      </c>
      <c r="DJ84" s="228">
        <v>0.52</v>
      </c>
      <c r="DK84" s="228">
        <v>0.52</v>
      </c>
      <c r="DL84" s="228">
        <v>31.47</v>
      </c>
      <c r="DM84" s="228">
        <v>31.38</v>
      </c>
      <c r="DN84" s="228">
        <v>0.09</v>
      </c>
      <c r="DO84" s="228">
        <v>0.09</v>
      </c>
      <c r="DP84" s="228">
        <v>0.56999999999999995</v>
      </c>
      <c r="DQ84" s="228">
        <v>0.6</v>
      </c>
      <c r="DR84" s="228">
        <v>-0.03</v>
      </c>
      <c r="DS84" s="229">
        <v>-0.05</v>
      </c>
      <c r="DT84" s="228">
        <v>240</v>
      </c>
      <c r="DU84" s="228">
        <v>230</v>
      </c>
      <c r="DV84" s="228">
        <v>0.42</v>
      </c>
      <c r="DW84" s="228">
        <v>0.46</v>
      </c>
      <c r="DX84" s="228">
        <v>-0.04</v>
      </c>
      <c r="DY84" s="229">
        <v>-8.6999999999999994E-2</v>
      </c>
      <c r="DZ84" s="229">
        <v>3.3000000000000002E-2</v>
      </c>
      <c r="EA84" s="230">
        <v>838050</v>
      </c>
      <c r="EB84" s="229">
        <v>5.7000000000000002E-3</v>
      </c>
      <c r="EC84" s="229">
        <v>3.3000000000000002E-2</v>
      </c>
      <c r="ED84" s="228">
        <v>1.66</v>
      </c>
      <c r="EE84" s="229">
        <v>7.1000000000000004E-3</v>
      </c>
      <c r="EF84" s="230">
        <v>971359</v>
      </c>
      <c r="EG84" s="230">
        <v>2486543</v>
      </c>
      <c r="EH84" s="229">
        <v>-0.60940000000000005</v>
      </c>
      <c r="EI84" s="229">
        <v>0.38390000000000002</v>
      </c>
      <c r="EJ84" s="231">
        <v>29956.04</v>
      </c>
      <c r="EK84" s="231">
        <v>12244.96</v>
      </c>
      <c r="EL84" s="231">
        <v>10061.18</v>
      </c>
      <c r="EM84" s="231">
        <v>6803</v>
      </c>
      <c r="EN84" s="231">
        <v>52262.18</v>
      </c>
      <c r="EO84" s="231">
        <v>85949.55</v>
      </c>
      <c r="EP84" s="231">
        <v>-33687.370000000003</v>
      </c>
      <c r="EQ84" s="229">
        <v>-0.39190000000000003</v>
      </c>
      <c r="ER84" s="231">
        <v>31681</v>
      </c>
      <c r="ES84" s="231">
        <v>17085</v>
      </c>
      <c r="ET84" s="231">
        <v>63378</v>
      </c>
      <c r="EU84" s="231">
        <v>75071250</v>
      </c>
      <c r="EV84" s="231">
        <v>112144</v>
      </c>
      <c r="EW84" s="231">
        <v>105748</v>
      </c>
      <c r="EX84" s="231">
        <v>6396</v>
      </c>
      <c r="EY84" s="229">
        <v>6.0499999999999998E-2</v>
      </c>
      <c r="EZ84" s="229">
        <v>0.63880000000000003</v>
      </c>
      <c r="FA84" s="227" t="s">
        <v>567</v>
      </c>
      <c r="FB84" s="161">
        <f t="shared" si="1"/>
        <v>899100</v>
      </c>
    </row>
    <row r="85" spans="1:158" ht="17.25" hidden="1" thickBot="1" x14ac:dyDescent="0.3">
      <c r="A85" s="226">
        <v>45936</v>
      </c>
      <c r="B85" s="227" t="s">
        <v>172</v>
      </c>
      <c r="C85" s="227" t="s">
        <v>232</v>
      </c>
      <c r="D85" s="228">
        <v>700</v>
      </c>
      <c r="E85" s="231">
        <v>1368.3</v>
      </c>
      <c r="F85" s="231">
        <v>1371</v>
      </c>
      <c r="G85" s="228">
        <v>-2.7</v>
      </c>
      <c r="H85" s="229">
        <v>-2E-3</v>
      </c>
      <c r="I85" s="231">
        <v>1363.4</v>
      </c>
      <c r="J85" s="231">
        <v>1365.2</v>
      </c>
      <c r="K85" s="228">
        <v>-1.8</v>
      </c>
      <c r="L85" s="229">
        <v>-1.2999999999999999E-3</v>
      </c>
      <c r="M85" s="231">
        <v>1368.3</v>
      </c>
      <c r="N85" s="231">
        <v>1371</v>
      </c>
      <c r="O85" s="228">
        <v>-2.7</v>
      </c>
      <c r="P85" s="229">
        <v>-2E-3</v>
      </c>
      <c r="Q85" s="231">
        <v>1375.6</v>
      </c>
      <c r="R85" s="231">
        <v>1378.3</v>
      </c>
      <c r="S85" s="228">
        <v>-2.7</v>
      </c>
      <c r="T85" s="229">
        <v>-2E-3</v>
      </c>
      <c r="U85" s="231">
        <v>1384.6</v>
      </c>
      <c r="V85" s="231">
        <v>1386.4</v>
      </c>
      <c r="W85" s="228">
        <v>-1.8</v>
      </c>
      <c r="X85" s="229">
        <v>-1.2999999999999999E-3</v>
      </c>
      <c r="Y85" s="228">
        <v>4.9000000000000004</v>
      </c>
      <c r="Z85" s="228">
        <v>5.8</v>
      </c>
      <c r="AA85" s="228">
        <v>-0.9</v>
      </c>
      <c r="AB85" s="229">
        <v>3.5999999999999999E-3</v>
      </c>
      <c r="AC85" s="228">
        <v>4.9000000000000004</v>
      </c>
      <c r="AD85" s="228">
        <v>5.8</v>
      </c>
      <c r="AE85" s="228">
        <v>-0.9</v>
      </c>
      <c r="AF85" s="229">
        <v>3.5999999999999999E-3</v>
      </c>
      <c r="AG85" s="228">
        <v>12.2</v>
      </c>
      <c r="AH85" s="228">
        <v>13.1</v>
      </c>
      <c r="AI85" s="228">
        <v>-0.9</v>
      </c>
      <c r="AJ85" s="229">
        <v>8.8999999999999999E-3</v>
      </c>
      <c r="AK85" s="228">
        <v>21.2</v>
      </c>
      <c r="AL85" s="228">
        <v>21.2</v>
      </c>
      <c r="AM85" s="228">
        <v>0</v>
      </c>
      <c r="AN85" s="229">
        <v>1.55E-2</v>
      </c>
      <c r="AO85" s="231">
        <v>1370.48</v>
      </c>
      <c r="AP85" s="231">
        <v>1377.48</v>
      </c>
      <c r="AQ85" s="228">
        <v>0</v>
      </c>
      <c r="AR85" s="230">
        <v>14511700</v>
      </c>
      <c r="AS85" s="230">
        <v>14118300</v>
      </c>
      <c r="AT85" s="230">
        <v>393400</v>
      </c>
      <c r="AU85" s="229">
        <v>2.7900000000000001E-2</v>
      </c>
      <c r="AV85" s="230">
        <v>14007000</v>
      </c>
      <c r="AW85" s="230">
        <v>13063400</v>
      </c>
      <c r="AX85" s="230">
        <v>943600</v>
      </c>
      <c r="AY85" s="229">
        <v>7.22E-2</v>
      </c>
      <c r="AZ85" s="230">
        <v>457800</v>
      </c>
      <c r="BA85" s="230">
        <v>323400</v>
      </c>
      <c r="BB85" s="230">
        <v>134400</v>
      </c>
      <c r="BC85" s="229">
        <v>0.41560000000000002</v>
      </c>
      <c r="BD85" s="230">
        <v>46900</v>
      </c>
      <c r="BE85" s="230">
        <v>731500</v>
      </c>
      <c r="BF85" s="230">
        <v>-684600</v>
      </c>
      <c r="BG85" s="229">
        <v>-0.93589999999999995</v>
      </c>
      <c r="BH85" s="230">
        <v>33875100</v>
      </c>
      <c r="BI85" s="230">
        <v>25479300</v>
      </c>
      <c r="BJ85" s="230">
        <v>8395800</v>
      </c>
      <c r="BK85" s="229">
        <v>0.32950000000000002</v>
      </c>
      <c r="BL85" s="230">
        <v>18826500</v>
      </c>
      <c r="BM85" s="230">
        <v>15992200</v>
      </c>
      <c r="BN85" s="230">
        <v>2834300</v>
      </c>
      <c r="BO85" s="229">
        <v>0.1772</v>
      </c>
      <c r="BP85" s="230">
        <v>67213300</v>
      </c>
      <c r="BQ85" s="230">
        <v>55589800</v>
      </c>
      <c r="BR85" s="230">
        <v>11623500</v>
      </c>
      <c r="BS85" s="229">
        <v>0.20910000000000001</v>
      </c>
      <c r="BT85" s="230">
        <v>14532621</v>
      </c>
      <c r="BU85" s="230">
        <v>12873433</v>
      </c>
      <c r="BV85" s="230">
        <v>1659188</v>
      </c>
      <c r="BW85" s="229">
        <v>0.12889999999999999</v>
      </c>
      <c r="BX85" s="230">
        <v>119729400</v>
      </c>
      <c r="BY85" s="230">
        <v>120013600</v>
      </c>
      <c r="BZ85" s="230">
        <v>-284200</v>
      </c>
      <c r="CA85" s="229">
        <v>-2.3999999999999998E-3</v>
      </c>
      <c r="CB85" s="230">
        <v>115868900</v>
      </c>
      <c r="CC85" s="230">
        <v>116315500</v>
      </c>
      <c r="CD85" s="230">
        <v>-446600</v>
      </c>
      <c r="CE85" s="229">
        <v>-3.8E-3</v>
      </c>
      <c r="CF85" s="230">
        <v>3087700</v>
      </c>
      <c r="CG85" s="230">
        <v>2963800</v>
      </c>
      <c r="CH85" s="230">
        <v>123900</v>
      </c>
      <c r="CI85" s="229">
        <v>4.1799999999999997E-2</v>
      </c>
      <c r="CJ85" s="230">
        <v>772800</v>
      </c>
      <c r="CK85" s="230">
        <v>734300</v>
      </c>
      <c r="CL85" s="230">
        <v>38500</v>
      </c>
      <c r="CM85" s="229">
        <v>5.2400000000000002E-2</v>
      </c>
      <c r="CN85" s="230">
        <v>22659700</v>
      </c>
      <c r="CO85" s="230">
        <v>18346300</v>
      </c>
      <c r="CP85" s="230">
        <v>4313400</v>
      </c>
      <c r="CQ85" s="229">
        <v>0.2351</v>
      </c>
      <c r="CR85" s="230">
        <v>16943500</v>
      </c>
      <c r="CS85" s="230">
        <v>14590800</v>
      </c>
      <c r="CT85" s="230">
        <v>2352700</v>
      </c>
      <c r="CU85" s="229">
        <v>0.16120000000000001</v>
      </c>
      <c r="CV85" s="230">
        <v>159332600</v>
      </c>
      <c r="CW85" s="230">
        <v>152950700</v>
      </c>
      <c r="CX85" s="230">
        <v>6381900</v>
      </c>
      <c r="CY85" s="229">
        <v>4.1700000000000001E-2</v>
      </c>
      <c r="CZ85" s="228">
        <v>18.760000000000002</v>
      </c>
      <c r="DA85" s="228">
        <v>17.149999999999999</v>
      </c>
      <c r="DB85" s="228">
        <v>1.61</v>
      </c>
      <c r="DC85" s="228">
        <v>1.61</v>
      </c>
      <c r="DD85" s="228">
        <v>21.13</v>
      </c>
      <c r="DE85" s="228">
        <v>21.18</v>
      </c>
      <c r="DF85" s="228">
        <v>-2.37</v>
      </c>
      <c r="DG85" s="228">
        <v>-0.05</v>
      </c>
      <c r="DH85" s="228">
        <v>18.72</v>
      </c>
      <c r="DI85" s="228">
        <v>17.010000000000002</v>
      </c>
      <c r="DJ85" s="228">
        <v>1.71</v>
      </c>
      <c r="DK85" s="228">
        <v>1.71</v>
      </c>
      <c r="DL85" s="228">
        <v>18.84</v>
      </c>
      <c r="DM85" s="228">
        <v>17.38</v>
      </c>
      <c r="DN85" s="228">
        <v>1.46</v>
      </c>
      <c r="DO85" s="228">
        <v>1.46</v>
      </c>
      <c r="DP85" s="228">
        <v>0.75</v>
      </c>
      <c r="DQ85" s="228">
        <v>0.8</v>
      </c>
      <c r="DR85" s="228">
        <v>-0.05</v>
      </c>
      <c r="DS85" s="229">
        <v>-6.25E-2</v>
      </c>
      <c r="DT85" s="231">
        <v>1400</v>
      </c>
      <c r="DU85" s="231">
        <v>1400</v>
      </c>
      <c r="DV85" s="228">
        <v>0.56000000000000005</v>
      </c>
      <c r="DW85" s="228">
        <v>0.63</v>
      </c>
      <c r="DX85" s="228">
        <v>-7.0000000000000007E-2</v>
      </c>
      <c r="DY85" s="229">
        <v>-0.1111</v>
      </c>
      <c r="DZ85" s="229">
        <v>3.2199999999999999E-2</v>
      </c>
      <c r="EA85" s="230">
        <v>3698100</v>
      </c>
      <c r="EB85" s="229">
        <v>5.3E-3</v>
      </c>
      <c r="EC85" s="229">
        <v>3.2199999999999999E-2</v>
      </c>
      <c r="ED85" s="228">
        <v>7</v>
      </c>
      <c r="EE85" s="229">
        <v>5.1000000000000004E-3</v>
      </c>
      <c r="EF85" s="230">
        <v>9138682</v>
      </c>
      <c r="EG85" s="230">
        <v>8477249</v>
      </c>
      <c r="EH85" s="229">
        <v>7.8E-2</v>
      </c>
      <c r="EI85" s="229">
        <v>0.62880000000000003</v>
      </c>
      <c r="EJ85" s="231">
        <v>477680.61</v>
      </c>
      <c r="EK85" s="231">
        <v>257215.48</v>
      </c>
      <c r="EL85" s="231">
        <v>198918.23</v>
      </c>
      <c r="EM85" s="231">
        <v>47214</v>
      </c>
      <c r="EN85" s="231">
        <v>933814.32</v>
      </c>
      <c r="EO85" s="231">
        <v>772969.86</v>
      </c>
      <c r="EP85" s="231">
        <v>160844.46</v>
      </c>
      <c r="EQ85" s="229">
        <v>0.20810000000000001</v>
      </c>
      <c r="ER85" s="231">
        <v>319121</v>
      </c>
      <c r="ES85" s="231">
        <v>229751</v>
      </c>
      <c r="ET85" s="231">
        <v>1638609</v>
      </c>
      <c r="EU85" s="231">
        <v>579785172</v>
      </c>
      <c r="EV85" s="231">
        <v>2187480</v>
      </c>
      <c r="EW85" s="231">
        <v>2102923</v>
      </c>
      <c r="EX85" s="231">
        <v>84557</v>
      </c>
      <c r="EY85" s="229">
        <v>4.02E-2</v>
      </c>
      <c r="EZ85" s="229">
        <v>0.27479999999999999</v>
      </c>
      <c r="FA85" s="227" t="s">
        <v>568</v>
      </c>
      <c r="FB85" s="161">
        <f t="shared" si="1"/>
        <v>3860500</v>
      </c>
    </row>
    <row r="86" spans="1:158" ht="17.25" hidden="1" thickBot="1" x14ac:dyDescent="0.3">
      <c r="A86" s="226">
        <v>45936</v>
      </c>
      <c r="B86" s="227" t="s">
        <v>175</v>
      </c>
      <c r="C86" s="227" t="s">
        <v>472</v>
      </c>
      <c r="D86" s="228">
        <v>325</v>
      </c>
      <c r="E86" s="231">
        <v>1931.7</v>
      </c>
      <c r="F86" s="231">
        <v>1918.1</v>
      </c>
      <c r="G86" s="228">
        <v>13.6</v>
      </c>
      <c r="H86" s="229">
        <v>7.1000000000000004E-3</v>
      </c>
      <c r="I86" s="231">
        <v>1925.8</v>
      </c>
      <c r="J86" s="231">
        <v>1911.6</v>
      </c>
      <c r="K86" s="228">
        <v>14.2</v>
      </c>
      <c r="L86" s="229">
        <v>7.4000000000000003E-3</v>
      </c>
      <c r="M86" s="231">
        <v>1931.7</v>
      </c>
      <c r="N86" s="231">
        <v>1918.1</v>
      </c>
      <c r="O86" s="228">
        <v>13.6</v>
      </c>
      <c r="P86" s="229">
        <v>7.1000000000000004E-3</v>
      </c>
      <c r="Q86" s="231">
        <v>1940.5</v>
      </c>
      <c r="R86" s="231">
        <v>1925.2</v>
      </c>
      <c r="S86" s="228">
        <v>15.3</v>
      </c>
      <c r="T86" s="229">
        <v>7.9000000000000008E-3</v>
      </c>
      <c r="U86" s="231">
        <v>1908.3</v>
      </c>
      <c r="V86" s="231">
        <v>1908.3</v>
      </c>
      <c r="W86" s="228">
        <v>0</v>
      </c>
      <c r="X86" s="229">
        <v>0</v>
      </c>
      <c r="Y86" s="228">
        <v>5.9</v>
      </c>
      <c r="Z86" s="228">
        <v>6.5</v>
      </c>
      <c r="AA86" s="228">
        <v>-0.6</v>
      </c>
      <c r="AB86" s="229">
        <v>3.0999999999999999E-3</v>
      </c>
      <c r="AC86" s="228">
        <v>5.9</v>
      </c>
      <c r="AD86" s="228">
        <v>6.5</v>
      </c>
      <c r="AE86" s="228">
        <v>-0.6</v>
      </c>
      <c r="AF86" s="229">
        <v>3.0999999999999999E-3</v>
      </c>
      <c r="AG86" s="228">
        <v>14.7</v>
      </c>
      <c r="AH86" s="228">
        <v>13.6</v>
      </c>
      <c r="AI86" s="228">
        <v>1.1000000000000001</v>
      </c>
      <c r="AJ86" s="229">
        <v>7.6E-3</v>
      </c>
      <c r="AK86" s="228">
        <v>-17.5</v>
      </c>
      <c r="AL86" s="228">
        <v>-3.3</v>
      </c>
      <c r="AM86" s="228">
        <v>-14.2</v>
      </c>
      <c r="AN86" s="229">
        <v>-9.1000000000000004E-3</v>
      </c>
      <c r="AO86" s="231">
        <v>1927.93</v>
      </c>
      <c r="AP86" s="231">
        <v>1936.31</v>
      </c>
      <c r="AQ86" s="228">
        <v>0</v>
      </c>
      <c r="AR86" s="230">
        <v>460200</v>
      </c>
      <c r="AS86" s="230">
        <v>444600</v>
      </c>
      <c r="AT86" s="230">
        <v>15600</v>
      </c>
      <c r="AU86" s="229">
        <v>3.5099999999999999E-2</v>
      </c>
      <c r="AV86" s="230">
        <v>446225</v>
      </c>
      <c r="AW86" s="230">
        <v>437450</v>
      </c>
      <c r="AX86" s="230">
        <v>8775</v>
      </c>
      <c r="AY86" s="229">
        <v>2.01E-2</v>
      </c>
      <c r="AZ86" s="230">
        <v>13975</v>
      </c>
      <c r="BA86" s="230">
        <v>7150</v>
      </c>
      <c r="BB86" s="230">
        <v>6825</v>
      </c>
      <c r="BC86" s="229">
        <v>0.95450000000000002</v>
      </c>
      <c r="BD86" s="228">
        <v>0</v>
      </c>
      <c r="BE86" s="228">
        <v>0</v>
      </c>
      <c r="BF86" s="228">
        <v>0</v>
      </c>
      <c r="BG86" s="229">
        <v>0</v>
      </c>
      <c r="BH86" s="230">
        <v>791700</v>
      </c>
      <c r="BI86" s="230">
        <v>713050</v>
      </c>
      <c r="BJ86" s="230">
        <v>78650</v>
      </c>
      <c r="BK86" s="229">
        <v>0.1103</v>
      </c>
      <c r="BL86" s="230">
        <v>216775</v>
      </c>
      <c r="BM86" s="230">
        <v>277875</v>
      </c>
      <c r="BN86" s="230">
        <v>-61100</v>
      </c>
      <c r="BO86" s="229">
        <v>-0.21990000000000001</v>
      </c>
      <c r="BP86" s="230">
        <v>1468675</v>
      </c>
      <c r="BQ86" s="230">
        <v>1435525</v>
      </c>
      <c r="BR86" s="230">
        <v>33150</v>
      </c>
      <c r="BS86" s="229">
        <v>2.3099999999999999E-2</v>
      </c>
      <c r="BT86" s="230">
        <v>627106</v>
      </c>
      <c r="BU86" s="230">
        <v>605343</v>
      </c>
      <c r="BV86" s="230">
        <v>21763</v>
      </c>
      <c r="BW86" s="229">
        <v>3.5999999999999997E-2</v>
      </c>
      <c r="BX86" s="230">
        <v>5145400</v>
      </c>
      <c r="BY86" s="230">
        <v>5134675</v>
      </c>
      <c r="BZ86" s="230">
        <v>10725</v>
      </c>
      <c r="CA86" s="229">
        <v>2.0999999999999999E-3</v>
      </c>
      <c r="CB86" s="230">
        <v>5124600</v>
      </c>
      <c r="CC86" s="230">
        <v>5113550</v>
      </c>
      <c r="CD86" s="230">
        <v>11050</v>
      </c>
      <c r="CE86" s="229">
        <v>2.2000000000000001E-3</v>
      </c>
      <c r="CF86" s="230">
        <v>20475</v>
      </c>
      <c r="CG86" s="230">
        <v>20800</v>
      </c>
      <c r="CH86" s="228">
        <v>-325</v>
      </c>
      <c r="CI86" s="229">
        <v>-1.5599999999999999E-2</v>
      </c>
      <c r="CJ86" s="228">
        <v>325</v>
      </c>
      <c r="CK86" s="228">
        <v>325</v>
      </c>
      <c r="CL86" s="228">
        <v>0</v>
      </c>
      <c r="CM86" s="229">
        <v>0</v>
      </c>
      <c r="CN86" s="230">
        <v>742950</v>
      </c>
      <c r="CO86" s="230">
        <v>694850</v>
      </c>
      <c r="CP86" s="230">
        <v>48100</v>
      </c>
      <c r="CQ86" s="229">
        <v>6.9199999999999998E-2</v>
      </c>
      <c r="CR86" s="230">
        <v>575900</v>
      </c>
      <c r="CS86" s="230">
        <v>547950</v>
      </c>
      <c r="CT86" s="230">
        <v>27950</v>
      </c>
      <c r="CU86" s="229">
        <v>5.0999999999999997E-2</v>
      </c>
      <c r="CV86" s="230">
        <v>6464250</v>
      </c>
      <c r="CW86" s="230">
        <v>6377475</v>
      </c>
      <c r="CX86" s="230">
        <v>86775</v>
      </c>
      <c r="CY86" s="229">
        <v>1.3599999999999999E-2</v>
      </c>
      <c r="CZ86" s="228">
        <v>25.55</v>
      </c>
      <c r="DA86" s="228">
        <v>24.42</v>
      </c>
      <c r="DB86" s="228">
        <v>1.1299999999999999</v>
      </c>
      <c r="DC86" s="228">
        <v>1.1299999999999999</v>
      </c>
      <c r="DD86" s="228">
        <v>28.28</v>
      </c>
      <c r="DE86" s="228">
        <v>28.33</v>
      </c>
      <c r="DF86" s="228">
        <v>-2.73</v>
      </c>
      <c r="DG86" s="228">
        <v>-0.05</v>
      </c>
      <c r="DH86" s="228">
        <v>25.44</v>
      </c>
      <c r="DI86" s="228">
        <v>24.26</v>
      </c>
      <c r="DJ86" s="228">
        <v>1.18</v>
      </c>
      <c r="DK86" s="228">
        <v>1.18</v>
      </c>
      <c r="DL86" s="228">
        <v>25.94</v>
      </c>
      <c r="DM86" s="228">
        <v>24.85</v>
      </c>
      <c r="DN86" s="228">
        <v>1.0900000000000001</v>
      </c>
      <c r="DO86" s="228">
        <v>1.0900000000000001</v>
      </c>
      <c r="DP86" s="228">
        <v>0.78</v>
      </c>
      <c r="DQ86" s="228">
        <v>0.79</v>
      </c>
      <c r="DR86" s="228">
        <v>-0.01</v>
      </c>
      <c r="DS86" s="229">
        <v>-1.2699999999999999E-2</v>
      </c>
      <c r="DT86" s="231">
        <v>1900</v>
      </c>
      <c r="DU86" s="231">
        <v>1900</v>
      </c>
      <c r="DV86" s="228">
        <v>0.27</v>
      </c>
      <c r="DW86" s="228">
        <v>0.39</v>
      </c>
      <c r="DX86" s="228">
        <v>-0.12</v>
      </c>
      <c r="DY86" s="229">
        <v>-0.30769999999999997</v>
      </c>
      <c r="DZ86" s="229">
        <v>4.0000000000000001E-3</v>
      </c>
      <c r="EA86" s="230">
        <v>21125</v>
      </c>
      <c r="EB86" s="229">
        <v>4.5999999999999999E-3</v>
      </c>
      <c r="EC86" s="229">
        <v>4.0000000000000001E-3</v>
      </c>
      <c r="ED86" s="228">
        <v>8.3800000000000008</v>
      </c>
      <c r="EE86" s="229">
        <v>4.3E-3</v>
      </c>
      <c r="EF86" s="230">
        <v>447432</v>
      </c>
      <c r="EG86" s="230">
        <v>451574</v>
      </c>
      <c r="EH86" s="229">
        <v>-9.1999999999999998E-3</v>
      </c>
      <c r="EI86" s="229">
        <v>0.71350000000000002</v>
      </c>
      <c r="EJ86" s="231">
        <v>15783.57</v>
      </c>
      <c r="EK86" s="231">
        <v>4107.7299999999996</v>
      </c>
      <c r="EL86" s="231">
        <v>8873.5</v>
      </c>
      <c r="EM86" s="231">
        <v>4786</v>
      </c>
      <c r="EN86" s="231">
        <v>28764.799999999999</v>
      </c>
      <c r="EO86" s="231">
        <v>27885.35</v>
      </c>
      <c r="EP86" s="228">
        <v>879.45</v>
      </c>
      <c r="EQ86" s="229">
        <v>3.15E-2</v>
      </c>
      <c r="ER86" s="231">
        <v>14629</v>
      </c>
      <c r="ES86" s="231">
        <v>10724</v>
      </c>
      <c r="ET86" s="231">
        <v>99395</v>
      </c>
      <c r="EU86" s="231">
        <v>26688038</v>
      </c>
      <c r="EV86" s="231">
        <v>124748</v>
      </c>
      <c r="EW86" s="231">
        <v>122347</v>
      </c>
      <c r="EX86" s="231">
        <v>2401</v>
      </c>
      <c r="EY86" s="229">
        <v>1.9599999999999999E-2</v>
      </c>
      <c r="EZ86" s="229">
        <v>0.2422</v>
      </c>
      <c r="FA86" s="227" t="s">
        <v>555</v>
      </c>
      <c r="FB86" s="161">
        <f t="shared" si="1"/>
        <v>20800</v>
      </c>
    </row>
    <row r="87" spans="1:158" ht="17.25" hidden="1" thickBot="1" x14ac:dyDescent="0.3">
      <c r="A87" s="226">
        <v>45936</v>
      </c>
      <c r="B87" s="227" t="s">
        <v>175</v>
      </c>
      <c r="C87" s="227" t="s">
        <v>233</v>
      </c>
      <c r="D87" s="228">
        <v>925</v>
      </c>
      <c r="E87" s="228">
        <v>604.20000000000005</v>
      </c>
      <c r="F87" s="228">
        <v>605.04999999999995</v>
      </c>
      <c r="G87" s="228">
        <v>-0.85</v>
      </c>
      <c r="H87" s="229">
        <v>-1.4E-3</v>
      </c>
      <c r="I87" s="228">
        <v>600.45000000000005</v>
      </c>
      <c r="J87" s="228">
        <v>601.1</v>
      </c>
      <c r="K87" s="228">
        <v>-0.65</v>
      </c>
      <c r="L87" s="229">
        <v>-1.1000000000000001E-3</v>
      </c>
      <c r="M87" s="228">
        <v>604.20000000000005</v>
      </c>
      <c r="N87" s="228">
        <v>605.04999999999995</v>
      </c>
      <c r="O87" s="228">
        <v>-0.85</v>
      </c>
      <c r="P87" s="229">
        <v>-1.4E-3</v>
      </c>
      <c r="Q87" s="228">
        <v>607.65</v>
      </c>
      <c r="R87" s="228">
        <v>608.54999999999995</v>
      </c>
      <c r="S87" s="228">
        <v>-0.9</v>
      </c>
      <c r="T87" s="229">
        <v>-1.5E-3</v>
      </c>
      <c r="U87" s="228">
        <v>611.79999999999995</v>
      </c>
      <c r="V87" s="228">
        <v>607</v>
      </c>
      <c r="W87" s="228">
        <v>4.8</v>
      </c>
      <c r="X87" s="229">
        <v>7.9000000000000008E-3</v>
      </c>
      <c r="Y87" s="228">
        <v>3.75</v>
      </c>
      <c r="Z87" s="228">
        <v>3.95</v>
      </c>
      <c r="AA87" s="228">
        <v>-0.2</v>
      </c>
      <c r="AB87" s="229">
        <v>6.1999999999999998E-3</v>
      </c>
      <c r="AC87" s="228">
        <v>3.75</v>
      </c>
      <c r="AD87" s="228">
        <v>3.95</v>
      </c>
      <c r="AE87" s="228">
        <v>-0.2</v>
      </c>
      <c r="AF87" s="229">
        <v>6.1999999999999998E-3</v>
      </c>
      <c r="AG87" s="228">
        <v>7.2</v>
      </c>
      <c r="AH87" s="228">
        <v>7.45</v>
      </c>
      <c r="AI87" s="228">
        <v>-0.25</v>
      </c>
      <c r="AJ87" s="229">
        <v>1.2E-2</v>
      </c>
      <c r="AK87" s="228">
        <v>11.35</v>
      </c>
      <c r="AL87" s="228">
        <v>5.9</v>
      </c>
      <c r="AM87" s="228">
        <v>5.45</v>
      </c>
      <c r="AN87" s="229">
        <v>1.89E-2</v>
      </c>
      <c r="AO87" s="228">
        <v>603.88</v>
      </c>
      <c r="AP87" s="228">
        <v>607.72</v>
      </c>
      <c r="AQ87" s="228">
        <v>0</v>
      </c>
      <c r="AR87" s="230">
        <v>1197875</v>
      </c>
      <c r="AS87" s="230">
        <v>1884225</v>
      </c>
      <c r="AT87" s="230">
        <v>-686350</v>
      </c>
      <c r="AU87" s="229">
        <v>-0.36430000000000001</v>
      </c>
      <c r="AV87" s="230">
        <v>1159950</v>
      </c>
      <c r="AW87" s="230">
        <v>1830575</v>
      </c>
      <c r="AX87" s="230">
        <v>-670625</v>
      </c>
      <c r="AY87" s="229">
        <v>-0.36630000000000001</v>
      </c>
      <c r="AZ87" s="230">
        <v>33300</v>
      </c>
      <c r="BA87" s="230">
        <v>48100</v>
      </c>
      <c r="BB87" s="230">
        <v>-14800</v>
      </c>
      <c r="BC87" s="229">
        <v>-0.30769999999999997</v>
      </c>
      <c r="BD87" s="230">
        <v>4625</v>
      </c>
      <c r="BE87" s="230">
        <v>5550</v>
      </c>
      <c r="BF87" s="228">
        <v>-925</v>
      </c>
      <c r="BG87" s="229">
        <v>-0.16669999999999999</v>
      </c>
      <c r="BH87" s="230">
        <v>1147925</v>
      </c>
      <c r="BI87" s="230">
        <v>1175675</v>
      </c>
      <c r="BJ87" s="230">
        <v>-27750</v>
      </c>
      <c r="BK87" s="229">
        <v>-2.3599999999999999E-2</v>
      </c>
      <c r="BL87" s="230">
        <v>530950</v>
      </c>
      <c r="BM87" s="230">
        <v>695600</v>
      </c>
      <c r="BN87" s="230">
        <v>-164650</v>
      </c>
      <c r="BO87" s="229">
        <v>-0.23669999999999999</v>
      </c>
      <c r="BP87" s="230">
        <v>2876750</v>
      </c>
      <c r="BQ87" s="230">
        <v>3755500</v>
      </c>
      <c r="BR87" s="230">
        <v>-878750</v>
      </c>
      <c r="BS87" s="229">
        <v>-0.23400000000000001</v>
      </c>
      <c r="BT87" s="230">
        <v>858363</v>
      </c>
      <c r="BU87" s="230">
        <v>1390650</v>
      </c>
      <c r="BV87" s="230">
        <v>-532287</v>
      </c>
      <c r="BW87" s="229">
        <v>-0.38279999999999997</v>
      </c>
      <c r="BX87" s="230">
        <v>11729925</v>
      </c>
      <c r="BY87" s="230">
        <v>11790050</v>
      </c>
      <c r="BZ87" s="230">
        <v>-60125</v>
      </c>
      <c r="CA87" s="229">
        <v>-5.1000000000000004E-3</v>
      </c>
      <c r="CB87" s="230">
        <v>11525500</v>
      </c>
      <c r="CC87" s="230">
        <v>11594875</v>
      </c>
      <c r="CD87" s="230">
        <v>-69375</v>
      </c>
      <c r="CE87" s="229">
        <v>-6.0000000000000001E-3</v>
      </c>
      <c r="CF87" s="230">
        <v>193325</v>
      </c>
      <c r="CG87" s="230">
        <v>188700</v>
      </c>
      <c r="CH87" s="230">
        <v>4625</v>
      </c>
      <c r="CI87" s="229">
        <v>2.4500000000000001E-2</v>
      </c>
      <c r="CJ87" s="230">
        <v>11100</v>
      </c>
      <c r="CK87" s="230">
        <v>6475</v>
      </c>
      <c r="CL87" s="230">
        <v>4625</v>
      </c>
      <c r="CM87" s="229">
        <v>0.71430000000000005</v>
      </c>
      <c r="CN87" s="230">
        <v>2251450</v>
      </c>
      <c r="CO87" s="230">
        <v>2094200</v>
      </c>
      <c r="CP87" s="230">
        <v>157250</v>
      </c>
      <c r="CQ87" s="229">
        <v>7.51E-2</v>
      </c>
      <c r="CR87" s="230">
        <v>1797275</v>
      </c>
      <c r="CS87" s="230">
        <v>1744550</v>
      </c>
      <c r="CT87" s="230">
        <v>52725</v>
      </c>
      <c r="CU87" s="229">
        <v>3.0200000000000001E-2</v>
      </c>
      <c r="CV87" s="230">
        <v>15778650</v>
      </c>
      <c r="CW87" s="230">
        <v>15628800</v>
      </c>
      <c r="CX87" s="230">
        <v>149850</v>
      </c>
      <c r="CY87" s="229">
        <v>9.5999999999999992E-3</v>
      </c>
      <c r="CZ87" s="228">
        <v>27.62</v>
      </c>
      <c r="DA87" s="228">
        <v>26.65</v>
      </c>
      <c r="DB87" s="228">
        <v>0.97</v>
      </c>
      <c r="DC87" s="228">
        <v>0.97</v>
      </c>
      <c r="DD87" s="228">
        <v>28.44</v>
      </c>
      <c r="DE87" s="228">
        <v>28.51</v>
      </c>
      <c r="DF87" s="228">
        <v>-0.82</v>
      </c>
      <c r="DG87" s="228">
        <v>-7.0000000000000007E-2</v>
      </c>
      <c r="DH87" s="228">
        <v>27.38</v>
      </c>
      <c r="DI87" s="228">
        <v>26.41</v>
      </c>
      <c r="DJ87" s="228">
        <v>0.97</v>
      </c>
      <c r="DK87" s="228">
        <v>0.97</v>
      </c>
      <c r="DL87" s="228">
        <v>28.12</v>
      </c>
      <c r="DM87" s="228">
        <v>27.05</v>
      </c>
      <c r="DN87" s="228">
        <v>1.07</v>
      </c>
      <c r="DO87" s="228">
        <v>1.07</v>
      </c>
      <c r="DP87" s="228">
        <v>0.8</v>
      </c>
      <c r="DQ87" s="228">
        <v>0.83</v>
      </c>
      <c r="DR87" s="228">
        <v>-0.03</v>
      </c>
      <c r="DS87" s="229">
        <v>-3.61E-2</v>
      </c>
      <c r="DT87" s="228">
        <v>620</v>
      </c>
      <c r="DU87" s="228">
        <v>600</v>
      </c>
      <c r="DV87" s="228">
        <v>0.46</v>
      </c>
      <c r="DW87" s="228">
        <v>0.59</v>
      </c>
      <c r="DX87" s="228">
        <v>-0.13</v>
      </c>
      <c r="DY87" s="229">
        <v>-0.2203</v>
      </c>
      <c r="DZ87" s="229">
        <v>1.7399999999999999E-2</v>
      </c>
      <c r="EA87" s="230">
        <v>195175</v>
      </c>
      <c r="EB87" s="229">
        <v>5.7000000000000002E-3</v>
      </c>
      <c r="EC87" s="229">
        <v>1.7399999999999999E-2</v>
      </c>
      <c r="ED87" s="228">
        <v>3.84</v>
      </c>
      <c r="EE87" s="229">
        <v>6.4000000000000003E-3</v>
      </c>
      <c r="EF87" s="230">
        <v>558340</v>
      </c>
      <c r="EG87" s="230">
        <v>976493</v>
      </c>
      <c r="EH87" s="229">
        <v>-0.42820000000000003</v>
      </c>
      <c r="EI87" s="229">
        <v>0.65049999999999997</v>
      </c>
      <c r="EJ87" s="231">
        <v>7294.46</v>
      </c>
      <c r="EK87" s="231">
        <v>3113.97</v>
      </c>
      <c r="EL87" s="231">
        <v>7235.31</v>
      </c>
      <c r="EM87" s="231">
        <v>4781</v>
      </c>
      <c r="EN87" s="231">
        <v>17643.740000000002</v>
      </c>
      <c r="EO87" s="231">
        <v>22915.8</v>
      </c>
      <c r="EP87" s="231">
        <v>-5272.06</v>
      </c>
      <c r="EQ87" s="229">
        <v>-0.2301</v>
      </c>
      <c r="ER87" s="231">
        <v>14147</v>
      </c>
      <c r="ES87" s="231">
        <v>10483</v>
      </c>
      <c r="ET87" s="231">
        <v>70880</v>
      </c>
      <c r="EU87" s="231">
        <v>48653643</v>
      </c>
      <c r="EV87" s="231">
        <v>95509</v>
      </c>
      <c r="EW87" s="231">
        <v>94655</v>
      </c>
      <c r="EX87" s="228">
        <v>854</v>
      </c>
      <c r="EY87" s="229">
        <v>8.9999999999999993E-3</v>
      </c>
      <c r="EZ87" s="229">
        <v>0.32429999999999998</v>
      </c>
      <c r="FA87" s="227" t="s">
        <v>568</v>
      </c>
      <c r="FB87" s="161">
        <f t="shared" si="1"/>
        <v>204425</v>
      </c>
    </row>
    <row r="88" spans="1:158" ht="17.25" hidden="1" thickBot="1" x14ac:dyDescent="0.3">
      <c r="A88" s="226">
        <v>45936</v>
      </c>
      <c r="B88" s="227" t="s">
        <v>188</v>
      </c>
      <c r="C88" s="227" t="s">
        <v>234</v>
      </c>
      <c r="D88" s="228">
        <v>71475</v>
      </c>
      <c r="E88" s="228">
        <v>8.51</v>
      </c>
      <c r="F88" s="228">
        <v>8.89</v>
      </c>
      <c r="G88" s="228">
        <v>-0.38</v>
      </c>
      <c r="H88" s="229">
        <v>-4.2700000000000002E-2</v>
      </c>
      <c r="I88" s="228">
        <v>8.4700000000000006</v>
      </c>
      <c r="J88" s="228">
        <v>8.82</v>
      </c>
      <c r="K88" s="228">
        <v>-0.35</v>
      </c>
      <c r="L88" s="229">
        <v>-3.9699999999999999E-2</v>
      </c>
      <c r="M88" s="228">
        <v>8.51</v>
      </c>
      <c r="N88" s="228">
        <v>8.89</v>
      </c>
      <c r="O88" s="228">
        <v>-0.38</v>
      </c>
      <c r="P88" s="229">
        <v>-4.2700000000000002E-2</v>
      </c>
      <c r="Q88" s="228">
        <v>8.56</v>
      </c>
      <c r="R88" s="228">
        <v>8.94</v>
      </c>
      <c r="S88" s="228">
        <v>-0.38</v>
      </c>
      <c r="T88" s="229">
        <v>-4.2500000000000003E-2</v>
      </c>
      <c r="U88" s="228">
        <v>8.6199999999999992</v>
      </c>
      <c r="V88" s="228">
        <v>8.98</v>
      </c>
      <c r="W88" s="228">
        <v>-0.36</v>
      </c>
      <c r="X88" s="229">
        <v>-4.0099999999999997E-2</v>
      </c>
      <c r="Y88" s="228">
        <v>0.04</v>
      </c>
      <c r="Z88" s="228">
        <v>7.0000000000000007E-2</v>
      </c>
      <c r="AA88" s="228">
        <v>-0.03</v>
      </c>
      <c r="AB88" s="229">
        <v>4.7000000000000002E-3</v>
      </c>
      <c r="AC88" s="228">
        <v>0.04</v>
      </c>
      <c r="AD88" s="228">
        <v>7.0000000000000007E-2</v>
      </c>
      <c r="AE88" s="228">
        <v>-0.03</v>
      </c>
      <c r="AF88" s="229">
        <v>4.7000000000000002E-3</v>
      </c>
      <c r="AG88" s="228">
        <v>0.09</v>
      </c>
      <c r="AH88" s="228">
        <v>0.12</v>
      </c>
      <c r="AI88" s="228">
        <v>-0.03</v>
      </c>
      <c r="AJ88" s="229">
        <v>1.06E-2</v>
      </c>
      <c r="AK88" s="228">
        <v>0.15</v>
      </c>
      <c r="AL88" s="228">
        <v>0.16</v>
      </c>
      <c r="AM88" s="228">
        <v>-0.01</v>
      </c>
      <c r="AN88" s="229">
        <v>1.77E-2</v>
      </c>
      <c r="AO88" s="228">
        <v>8.6</v>
      </c>
      <c r="AP88" s="228">
        <v>8.65</v>
      </c>
      <c r="AQ88" s="228">
        <v>0</v>
      </c>
      <c r="AR88" s="230">
        <v>1880793150</v>
      </c>
      <c r="AS88" s="230">
        <v>916666875</v>
      </c>
      <c r="AT88" s="230">
        <v>964126275</v>
      </c>
      <c r="AU88" s="229">
        <v>1.0518000000000001</v>
      </c>
      <c r="AV88" s="230">
        <v>1657934100</v>
      </c>
      <c r="AW88" s="230">
        <v>770429025</v>
      </c>
      <c r="AX88" s="230">
        <v>887505075</v>
      </c>
      <c r="AY88" s="229">
        <v>1.1519999999999999</v>
      </c>
      <c r="AZ88" s="230">
        <v>176686200</v>
      </c>
      <c r="BA88" s="230">
        <v>114288525</v>
      </c>
      <c r="BB88" s="230">
        <v>62397675</v>
      </c>
      <c r="BC88" s="229">
        <v>0.54600000000000004</v>
      </c>
      <c r="BD88" s="230">
        <v>46172850</v>
      </c>
      <c r="BE88" s="230">
        <v>31949325</v>
      </c>
      <c r="BF88" s="230">
        <v>14223525</v>
      </c>
      <c r="BG88" s="229">
        <v>0.44519999999999998</v>
      </c>
      <c r="BH88" s="230">
        <v>3552950775</v>
      </c>
      <c r="BI88" s="230">
        <v>1600039350</v>
      </c>
      <c r="BJ88" s="230">
        <v>1952911425</v>
      </c>
      <c r="BK88" s="229">
        <v>1.2204999999999999</v>
      </c>
      <c r="BL88" s="230">
        <v>1103216625</v>
      </c>
      <c r="BM88" s="230">
        <v>286328850</v>
      </c>
      <c r="BN88" s="230">
        <v>816887775</v>
      </c>
      <c r="BO88" s="229">
        <v>2.8530000000000002</v>
      </c>
      <c r="BP88" s="230">
        <v>6536960550</v>
      </c>
      <c r="BQ88" s="230">
        <v>2803035075</v>
      </c>
      <c r="BR88" s="230">
        <v>3733925475</v>
      </c>
      <c r="BS88" s="229">
        <v>1.3321000000000001</v>
      </c>
      <c r="BT88" s="230">
        <v>1374857548</v>
      </c>
      <c r="BU88" s="230">
        <v>792204025</v>
      </c>
      <c r="BV88" s="230">
        <v>582653523</v>
      </c>
      <c r="BW88" s="229">
        <v>0.73550000000000004</v>
      </c>
      <c r="BX88" s="230">
        <v>6215537475</v>
      </c>
      <c r="BY88" s="230">
        <v>6005829825</v>
      </c>
      <c r="BZ88" s="230">
        <v>209707650</v>
      </c>
      <c r="CA88" s="229">
        <v>3.49E-2</v>
      </c>
      <c r="CB88" s="230">
        <v>5915842800</v>
      </c>
      <c r="CC88" s="230">
        <v>5750163750</v>
      </c>
      <c r="CD88" s="230">
        <v>165679050</v>
      </c>
      <c r="CE88" s="229">
        <v>2.8799999999999999E-2</v>
      </c>
      <c r="CF88" s="230">
        <v>264243075</v>
      </c>
      <c r="CG88" s="230">
        <v>241371075</v>
      </c>
      <c r="CH88" s="230">
        <v>22872000</v>
      </c>
      <c r="CI88" s="229">
        <v>9.4799999999999995E-2</v>
      </c>
      <c r="CJ88" s="230">
        <v>35451600</v>
      </c>
      <c r="CK88" s="230">
        <v>14295000</v>
      </c>
      <c r="CL88" s="230">
        <v>21156600</v>
      </c>
      <c r="CM88" s="229">
        <v>1.48</v>
      </c>
      <c r="CN88" s="230">
        <v>2007732750</v>
      </c>
      <c r="CO88" s="230">
        <v>1633775550</v>
      </c>
      <c r="CP88" s="230">
        <v>373957200</v>
      </c>
      <c r="CQ88" s="229">
        <v>0.22889999999999999</v>
      </c>
      <c r="CR88" s="230">
        <v>1022664300</v>
      </c>
      <c r="CS88" s="230">
        <v>885861150</v>
      </c>
      <c r="CT88" s="230">
        <v>136803150</v>
      </c>
      <c r="CU88" s="229">
        <v>0.15440000000000001</v>
      </c>
      <c r="CV88" s="230">
        <v>9245934525</v>
      </c>
      <c r="CW88" s="230">
        <v>8525466525</v>
      </c>
      <c r="CX88" s="230">
        <v>720468000</v>
      </c>
      <c r="CY88" s="229">
        <v>8.4500000000000006E-2</v>
      </c>
      <c r="CZ88" s="228">
        <v>83.96</v>
      </c>
      <c r="DA88" s="228">
        <v>78.2</v>
      </c>
      <c r="DB88" s="228">
        <v>5.76</v>
      </c>
      <c r="DC88" s="228">
        <v>5.76</v>
      </c>
      <c r="DD88" s="228">
        <v>68.040000000000006</v>
      </c>
      <c r="DE88" s="228">
        <v>67.959999999999994</v>
      </c>
      <c r="DF88" s="228">
        <v>15.92</v>
      </c>
      <c r="DG88" s="228">
        <v>0.08</v>
      </c>
      <c r="DH88" s="228">
        <v>84.72</v>
      </c>
      <c r="DI88" s="228">
        <v>78.59</v>
      </c>
      <c r="DJ88" s="228">
        <v>6.13</v>
      </c>
      <c r="DK88" s="228">
        <v>6.13</v>
      </c>
      <c r="DL88" s="228">
        <v>81.52</v>
      </c>
      <c r="DM88" s="228">
        <v>76.040000000000006</v>
      </c>
      <c r="DN88" s="228">
        <v>5.48</v>
      </c>
      <c r="DO88" s="228">
        <v>5.48</v>
      </c>
      <c r="DP88" s="228">
        <v>0.51</v>
      </c>
      <c r="DQ88" s="228">
        <v>0.54</v>
      </c>
      <c r="DR88" s="228">
        <v>-0.03</v>
      </c>
      <c r="DS88" s="229">
        <v>-5.5599999999999997E-2</v>
      </c>
      <c r="DT88" s="228">
        <v>10</v>
      </c>
      <c r="DU88" s="228">
        <v>6</v>
      </c>
      <c r="DV88" s="228">
        <v>0.31</v>
      </c>
      <c r="DW88" s="228">
        <v>0.18</v>
      </c>
      <c r="DX88" s="228">
        <v>0.13</v>
      </c>
      <c r="DY88" s="229">
        <v>0.72219999999999995</v>
      </c>
      <c r="DZ88" s="229">
        <v>4.82E-2</v>
      </c>
      <c r="EA88" s="230">
        <v>255666075</v>
      </c>
      <c r="EB88" s="229">
        <v>5.8999999999999999E-3</v>
      </c>
      <c r="EC88" s="229">
        <v>4.82E-2</v>
      </c>
      <c r="ED88" s="228">
        <v>0.05</v>
      </c>
      <c r="EE88" s="229">
        <v>5.7999999999999996E-3</v>
      </c>
      <c r="EF88" s="230">
        <v>240935299</v>
      </c>
      <c r="EG88" s="230">
        <v>221953764</v>
      </c>
      <c r="EH88" s="229">
        <v>8.5500000000000007E-2</v>
      </c>
      <c r="EI88" s="229">
        <v>0.17519999999999999</v>
      </c>
      <c r="EJ88" s="231">
        <v>365064.33</v>
      </c>
      <c r="EK88" s="231">
        <v>92273.24</v>
      </c>
      <c r="EL88" s="231">
        <v>161880.79</v>
      </c>
      <c r="EM88" s="231">
        <v>28151</v>
      </c>
      <c r="EN88" s="231">
        <v>619218.36</v>
      </c>
      <c r="EO88" s="231">
        <v>267571.92</v>
      </c>
      <c r="EP88" s="231">
        <v>351646.44</v>
      </c>
      <c r="EQ88" s="229">
        <v>1.3142</v>
      </c>
      <c r="ER88" s="231">
        <v>199372</v>
      </c>
      <c r="ES88" s="231">
        <v>76266</v>
      </c>
      <c r="ET88" s="231">
        <v>529113</v>
      </c>
      <c r="EU88" s="231">
        <v>8713529091</v>
      </c>
      <c r="EV88" s="231">
        <v>804751</v>
      </c>
      <c r="EW88" s="231">
        <v>760014</v>
      </c>
      <c r="EX88" s="231">
        <v>44737</v>
      </c>
      <c r="EY88" s="229">
        <v>5.8900000000000001E-2</v>
      </c>
      <c r="EZ88" s="229">
        <v>1.0610999999999999</v>
      </c>
      <c r="FA88" s="227" t="s">
        <v>567</v>
      </c>
      <c r="FB88" s="161">
        <f t="shared" si="1"/>
        <v>299694675</v>
      </c>
    </row>
    <row r="89" spans="1:158" ht="17.25" hidden="1" thickBot="1" x14ac:dyDescent="0.3">
      <c r="A89" s="226">
        <v>45936</v>
      </c>
      <c r="B89" s="227" t="s">
        <v>172</v>
      </c>
      <c r="C89" s="227" t="s">
        <v>235</v>
      </c>
      <c r="D89" s="228">
        <v>9275</v>
      </c>
      <c r="E89" s="228">
        <v>71.47</v>
      </c>
      <c r="F89" s="228">
        <v>69.430000000000007</v>
      </c>
      <c r="G89" s="228">
        <v>2.04</v>
      </c>
      <c r="H89" s="229">
        <v>2.9399999999999999E-2</v>
      </c>
      <c r="I89" s="228">
        <v>71.09</v>
      </c>
      <c r="J89" s="228">
        <v>69.040000000000006</v>
      </c>
      <c r="K89" s="228">
        <v>2.0499999999999998</v>
      </c>
      <c r="L89" s="229">
        <v>2.9700000000000001E-2</v>
      </c>
      <c r="M89" s="228">
        <v>71.47</v>
      </c>
      <c r="N89" s="228">
        <v>69.430000000000007</v>
      </c>
      <c r="O89" s="228">
        <v>2.04</v>
      </c>
      <c r="P89" s="229">
        <v>2.9399999999999999E-2</v>
      </c>
      <c r="Q89" s="228">
        <v>71.86</v>
      </c>
      <c r="R89" s="228">
        <v>69.849999999999994</v>
      </c>
      <c r="S89" s="228">
        <v>2.0099999999999998</v>
      </c>
      <c r="T89" s="229">
        <v>2.8799999999999999E-2</v>
      </c>
      <c r="U89" s="228">
        <v>72.28</v>
      </c>
      <c r="V89" s="228">
        <v>70.22</v>
      </c>
      <c r="W89" s="228">
        <v>2.06</v>
      </c>
      <c r="X89" s="229">
        <v>2.93E-2</v>
      </c>
      <c r="Y89" s="228">
        <v>0.38</v>
      </c>
      <c r="Z89" s="228">
        <v>0.39</v>
      </c>
      <c r="AA89" s="228">
        <v>-0.01</v>
      </c>
      <c r="AB89" s="229">
        <v>5.3E-3</v>
      </c>
      <c r="AC89" s="228">
        <v>0.38</v>
      </c>
      <c r="AD89" s="228">
        <v>0.39</v>
      </c>
      <c r="AE89" s="228">
        <v>-0.01</v>
      </c>
      <c r="AF89" s="229">
        <v>5.3E-3</v>
      </c>
      <c r="AG89" s="228">
        <v>0.77</v>
      </c>
      <c r="AH89" s="228">
        <v>0.81</v>
      </c>
      <c r="AI89" s="228">
        <v>-0.04</v>
      </c>
      <c r="AJ89" s="229">
        <v>1.0800000000000001E-2</v>
      </c>
      <c r="AK89" s="228">
        <v>1.19</v>
      </c>
      <c r="AL89" s="228">
        <v>1.18</v>
      </c>
      <c r="AM89" s="228">
        <v>0.01</v>
      </c>
      <c r="AN89" s="229">
        <v>1.67E-2</v>
      </c>
      <c r="AO89" s="228">
        <v>70.81</v>
      </c>
      <c r="AP89" s="228">
        <v>71.25</v>
      </c>
      <c r="AQ89" s="228">
        <v>0</v>
      </c>
      <c r="AR89" s="230">
        <v>86656325</v>
      </c>
      <c r="AS89" s="230">
        <v>29633625</v>
      </c>
      <c r="AT89" s="230">
        <v>57022700</v>
      </c>
      <c r="AU89" s="229">
        <v>1.9242999999999999</v>
      </c>
      <c r="AV89" s="230">
        <v>79598050</v>
      </c>
      <c r="AW89" s="230">
        <v>26702725</v>
      </c>
      <c r="AX89" s="230">
        <v>52895325</v>
      </c>
      <c r="AY89" s="229">
        <v>1.9809000000000001</v>
      </c>
      <c r="AZ89" s="230">
        <v>5815425</v>
      </c>
      <c r="BA89" s="230">
        <v>2439325</v>
      </c>
      <c r="BB89" s="230">
        <v>3376100</v>
      </c>
      <c r="BC89" s="229">
        <v>1.3839999999999999</v>
      </c>
      <c r="BD89" s="230">
        <v>1242850</v>
      </c>
      <c r="BE89" s="230">
        <v>491575</v>
      </c>
      <c r="BF89" s="230">
        <v>751275</v>
      </c>
      <c r="BG89" s="229">
        <v>1.5283</v>
      </c>
      <c r="BH89" s="230">
        <v>170279725</v>
      </c>
      <c r="BI89" s="230">
        <v>77038150</v>
      </c>
      <c r="BJ89" s="230">
        <v>93241575</v>
      </c>
      <c r="BK89" s="229">
        <v>1.2102999999999999</v>
      </c>
      <c r="BL89" s="230">
        <v>82482575</v>
      </c>
      <c r="BM89" s="230">
        <v>29809850</v>
      </c>
      <c r="BN89" s="230">
        <v>52672725</v>
      </c>
      <c r="BO89" s="229">
        <v>1.7669999999999999</v>
      </c>
      <c r="BP89" s="230">
        <v>339418625</v>
      </c>
      <c r="BQ89" s="230">
        <v>136481625</v>
      </c>
      <c r="BR89" s="230">
        <v>202937000</v>
      </c>
      <c r="BS89" s="229">
        <v>1.4869000000000001</v>
      </c>
      <c r="BT89" s="230">
        <v>25884731</v>
      </c>
      <c r="BU89" s="230">
        <v>12910773</v>
      </c>
      <c r="BV89" s="230">
        <v>12973958</v>
      </c>
      <c r="BW89" s="229">
        <v>1.0048999999999999</v>
      </c>
      <c r="BX89" s="230">
        <v>405261850</v>
      </c>
      <c r="BY89" s="230">
        <v>412830250</v>
      </c>
      <c r="BZ89" s="230">
        <v>-7568400</v>
      </c>
      <c r="CA89" s="229">
        <v>-1.83E-2</v>
      </c>
      <c r="CB89" s="230">
        <v>384402375</v>
      </c>
      <c r="CC89" s="230">
        <v>391840925</v>
      </c>
      <c r="CD89" s="230">
        <v>-7438550</v>
      </c>
      <c r="CE89" s="229">
        <v>-1.9E-2</v>
      </c>
      <c r="CF89" s="230">
        <v>19700100</v>
      </c>
      <c r="CG89" s="230">
        <v>19829950</v>
      </c>
      <c r="CH89" s="230">
        <v>-129850</v>
      </c>
      <c r="CI89" s="229">
        <v>-6.4999999999999997E-3</v>
      </c>
      <c r="CJ89" s="230">
        <v>1159375</v>
      </c>
      <c r="CK89" s="230">
        <v>1159375</v>
      </c>
      <c r="CL89" s="228">
        <v>0</v>
      </c>
      <c r="CM89" s="229">
        <v>0</v>
      </c>
      <c r="CN89" s="230">
        <v>124628175</v>
      </c>
      <c r="CO89" s="230">
        <v>120788325</v>
      </c>
      <c r="CP89" s="230">
        <v>3839850</v>
      </c>
      <c r="CQ89" s="229">
        <v>3.1800000000000002E-2</v>
      </c>
      <c r="CR89" s="230">
        <v>74339125</v>
      </c>
      <c r="CS89" s="230">
        <v>69488300</v>
      </c>
      <c r="CT89" s="230">
        <v>4850825</v>
      </c>
      <c r="CU89" s="229">
        <v>6.9800000000000001E-2</v>
      </c>
      <c r="CV89" s="230">
        <v>604229150</v>
      </c>
      <c r="CW89" s="230">
        <v>603106875</v>
      </c>
      <c r="CX89" s="230">
        <v>1122275</v>
      </c>
      <c r="CY89" s="229">
        <v>1.9E-3</v>
      </c>
      <c r="CZ89" s="228">
        <v>29.27</v>
      </c>
      <c r="DA89" s="228">
        <v>27.58</v>
      </c>
      <c r="DB89" s="228">
        <v>1.69</v>
      </c>
      <c r="DC89" s="228">
        <v>1.69</v>
      </c>
      <c r="DD89" s="228">
        <v>34.07</v>
      </c>
      <c r="DE89" s="228">
        <v>33.93</v>
      </c>
      <c r="DF89" s="228">
        <v>-4.8</v>
      </c>
      <c r="DG89" s="228">
        <v>0.14000000000000001</v>
      </c>
      <c r="DH89" s="228">
        <v>28.95</v>
      </c>
      <c r="DI89" s="228">
        <v>27.69</v>
      </c>
      <c r="DJ89" s="228">
        <v>1.26</v>
      </c>
      <c r="DK89" s="228">
        <v>1.26</v>
      </c>
      <c r="DL89" s="228">
        <v>29.93</v>
      </c>
      <c r="DM89" s="228">
        <v>27.3</v>
      </c>
      <c r="DN89" s="228">
        <v>2.63</v>
      </c>
      <c r="DO89" s="228">
        <v>2.63</v>
      </c>
      <c r="DP89" s="228">
        <v>0.6</v>
      </c>
      <c r="DQ89" s="228">
        <v>0.57999999999999996</v>
      </c>
      <c r="DR89" s="228">
        <v>0.02</v>
      </c>
      <c r="DS89" s="229">
        <v>3.4500000000000003E-2</v>
      </c>
      <c r="DT89" s="228">
        <v>82</v>
      </c>
      <c r="DU89" s="228">
        <v>70</v>
      </c>
      <c r="DV89" s="228">
        <v>0.48</v>
      </c>
      <c r="DW89" s="228">
        <v>0.39</v>
      </c>
      <c r="DX89" s="228">
        <v>0.09</v>
      </c>
      <c r="DY89" s="229">
        <v>0.23080000000000001</v>
      </c>
      <c r="DZ89" s="229">
        <v>5.1499999999999997E-2</v>
      </c>
      <c r="EA89" s="230">
        <v>20989325</v>
      </c>
      <c r="EB89" s="229">
        <v>5.4999999999999997E-3</v>
      </c>
      <c r="EC89" s="229">
        <v>5.1499999999999997E-2</v>
      </c>
      <c r="ED89" s="228">
        <v>0.44</v>
      </c>
      <c r="EE89" s="229">
        <v>6.1999999999999998E-3</v>
      </c>
      <c r="EF89" s="230">
        <v>10079879</v>
      </c>
      <c r="EG89" s="230">
        <v>6124257</v>
      </c>
      <c r="EH89" s="229">
        <v>0.64590000000000003</v>
      </c>
      <c r="EI89" s="229">
        <v>0.38940000000000002</v>
      </c>
      <c r="EJ89" s="231">
        <v>126335.81</v>
      </c>
      <c r="EK89" s="231">
        <v>57252.91</v>
      </c>
      <c r="EL89" s="231">
        <v>61394.95</v>
      </c>
      <c r="EM89" s="231">
        <v>11678</v>
      </c>
      <c r="EN89" s="231">
        <v>244983.67</v>
      </c>
      <c r="EO89" s="231">
        <v>97765.16</v>
      </c>
      <c r="EP89" s="231">
        <v>147218.51</v>
      </c>
      <c r="EQ89" s="229">
        <v>1.5058</v>
      </c>
      <c r="ER89" s="231">
        <v>93509</v>
      </c>
      <c r="ES89" s="231">
        <v>51327</v>
      </c>
      <c r="ET89" s="231">
        <v>289727</v>
      </c>
      <c r="EU89" s="231">
        <v>761294821</v>
      </c>
      <c r="EV89" s="231">
        <v>434563</v>
      </c>
      <c r="EW89" s="231">
        <v>425149</v>
      </c>
      <c r="EX89" s="231">
        <v>9414</v>
      </c>
      <c r="EY89" s="229">
        <v>2.2100000000000002E-2</v>
      </c>
      <c r="EZ89" s="229">
        <v>0.79369999999999996</v>
      </c>
      <c r="FA89" s="227" t="s">
        <v>556</v>
      </c>
      <c r="FB89" s="161">
        <f t="shared" si="1"/>
        <v>20859475</v>
      </c>
    </row>
    <row r="90" spans="1:158" ht="17.25" hidden="1" thickBot="1" x14ac:dyDescent="0.3">
      <c r="A90" s="226">
        <v>45936</v>
      </c>
      <c r="B90" s="227" t="s">
        <v>161</v>
      </c>
      <c r="C90" s="227" t="s">
        <v>514</v>
      </c>
      <c r="D90" s="228">
        <v>3750</v>
      </c>
      <c r="E90" s="228">
        <v>143.38</v>
      </c>
      <c r="F90" s="228">
        <v>144.55000000000001</v>
      </c>
      <c r="G90" s="228">
        <v>-1.17</v>
      </c>
      <c r="H90" s="229">
        <v>-8.0999999999999996E-3</v>
      </c>
      <c r="I90" s="228">
        <v>142.55000000000001</v>
      </c>
      <c r="J90" s="228">
        <v>143.59</v>
      </c>
      <c r="K90" s="228">
        <v>-1.04</v>
      </c>
      <c r="L90" s="229">
        <v>-7.1999999999999998E-3</v>
      </c>
      <c r="M90" s="228">
        <v>143.38</v>
      </c>
      <c r="N90" s="228">
        <v>144.55000000000001</v>
      </c>
      <c r="O90" s="228">
        <v>-1.17</v>
      </c>
      <c r="P90" s="229">
        <v>-8.0999999999999996E-3</v>
      </c>
      <c r="Q90" s="228">
        <v>144.16</v>
      </c>
      <c r="R90" s="228">
        <v>145.24</v>
      </c>
      <c r="S90" s="228">
        <v>-1.08</v>
      </c>
      <c r="T90" s="229">
        <v>-7.4000000000000003E-3</v>
      </c>
      <c r="U90" s="228">
        <v>144.6</v>
      </c>
      <c r="V90" s="228">
        <v>146.15</v>
      </c>
      <c r="W90" s="228">
        <v>-1.55</v>
      </c>
      <c r="X90" s="229">
        <v>-1.06E-2</v>
      </c>
      <c r="Y90" s="228">
        <v>0.83</v>
      </c>
      <c r="Z90" s="228">
        <v>0.96</v>
      </c>
      <c r="AA90" s="228">
        <v>-0.13</v>
      </c>
      <c r="AB90" s="229">
        <v>5.7999999999999996E-3</v>
      </c>
      <c r="AC90" s="228">
        <v>0.83</v>
      </c>
      <c r="AD90" s="228">
        <v>0.96</v>
      </c>
      <c r="AE90" s="228">
        <v>-0.13</v>
      </c>
      <c r="AF90" s="229">
        <v>5.7999999999999996E-3</v>
      </c>
      <c r="AG90" s="228">
        <v>1.61</v>
      </c>
      <c r="AH90" s="228">
        <v>1.65</v>
      </c>
      <c r="AI90" s="228">
        <v>-0.04</v>
      </c>
      <c r="AJ90" s="229">
        <v>1.1299999999999999E-2</v>
      </c>
      <c r="AK90" s="228">
        <v>2.0499999999999998</v>
      </c>
      <c r="AL90" s="228">
        <v>2.56</v>
      </c>
      <c r="AM90" s="228">
        <v>-0.51</v>
      </c>
      <c r="AN90" s="229">
        <v>1.44E-2</v>
      </c>
      <c r="AO90" s="228">
        <v>143.54</v>
      </c>
      <c r="AP90" s="228">
        <v>144.53</v>
      </c>
      <c r="AQ90" s="228">
        <v>0</v>
      </c>
      <c r="AR90" s="230">
        <v>5032500</v>
      </c>
      <c r="AS90" s="230">
        <v>10410000</v>
      </c>
      <c r="AT90" s="230">
        <v>-5377500</v>
      </c>
      <c r="AU90" s="229">
        <v>-0.51659999999999995</v>
      </c>
      <c r="AV90" s="230">
        <v>4327500</v>
      </c>
      <c r="AW90" s="230">
        <v>8617500</v>
      </c>
      <c r="AX90" s="230">
        <v>-4290000</v>
      </c>
      <c r="AY90" s="229">
        <v>-0.49780000000000002</v>
      </c>
      <c r="AZ90" s="230">
        <v>551250</v>
      </c>
      <c r="BA90" s="230">
        <v>1732500</v>
      </c>
      <c r="BB90" s="230">
        <v>-1181250</v>
      </c>
      <c r="BC90" s="229">
        <v>-0.68179999999999996</v>
      </c>
      <c r="BD90" s="230">
        <v>153750</v>
      </c>
      <c r="BE90" s="230">
        <v>60000</v>
      </c>
      <c r="BF90" s="230">
        <v>93750</v>
      </c>
      <c r="BG90" s="229">
        <v>1.5625</v>
      </c>
      <c r="BH90" s="230">
        <v>17988750</v>
      </c>
      <c r="BI90" s="230">
        <v>38546250</v>
      </c>
      <c r="BJ90" s="230">
        <v>-20557500</v>
      </c>
      <c r="BK90" s="229">
        <v>-0.5333</v>
      </c>
      <c r="BL90" s="230">
        <v>6948750</v>
      </c>
      <c r="BM90" s="230">
        <v>18300000</v>
      </c>
      <c r="BN90" s="230">
        <v>-11351250</v>
      </c>
      <c r="BO90" s="229">
        <v>-0.62029999999999996</v>
      </c>
      <c r="BP90" s="230">
        <v>29970000</v>
      </c>
      <c r="BQ90" s="230">
        <v>67256250</v>
      </c>
      <c r="BR90" s="230">
        <v>-37286250</v>
      </c>
      <c r="BS90" s="229">
        <v>-0.5544</v>
      </c>
      <c r="BT90" s="230">
        <v>2961470</v>
      </c>
      <c r="BU90" s="230">
        <v>7257943</v>
      </c>
      <c r="BV90" s="230">
        <v>-4296473</v>
      </c>
      <c r="BW90" s="229">
        <v>-0.59199999999999997</v>
      </c>
      <c r="BX90" s="230">
        <v>53433750</v>
      </c>
      <c r="BY90" s="230">
        <v>52627500</v>
      </c>
      <c r="BZ90" s="230">
        <v>806250</v>
      </c>
      <c r="CA90" s="229">
        <v>1.5299999999999999E-2</v>
      </c>
      <c r="CB90" s="230">
        <v>50542500</v>
      </c>
      <c r="CC90" s="230">
        <v>50070000</v>
      </c>
      <c r="CD90" s="230">
        <v>472500</v>
      </c>
      <c r="CE90" s="229">
        <v>9.4000000000000004E-3</v>
      </c>
      <c r="CF90" s="230">
        <v>2688750</v>
      </c>
      <c r="CG90" s="230">
        <v>2490000</v>
      </c>
      <c r="CH90" s="230">
        <v>198750</v>
      </c>
      <c r="CI90" s="229">
        <v>7.9799999999999996E-2</v>
      </c>
      <c r="CJ90" s="230">
        <v>202500</v>
      </c>
      <c r="CK90" s="230">
        <v>67500</v>
      </c>
      <c r="CL90" s="230">
        <v>135000</v>
      </c>
      <c r="CM90" s="229">
        <v>2</v>
      </c>
      <c r="CN90" s="230">
        <v>22233750</v>
      </c>
      <c r="CO90" s="230">
        <v>20340000</v>
      </c>
      <c r="CP90" s="230">
        <v>1893750</v>
      </c>
      <c r="CQ90" s="229">
        <v>9.3100000000000002E-2</v>
      </c>
      <c r="CR90" s="230">
        <v>17823750</v>
      </c>
      <c r="CS90" s="230">
        <v>17257500</v>
      </c>
      <c r="CT90" s="230">
        <v>566250</v>
      </c>
      <c r="CU90" s="229">
        <v>3.2800000000000003E-2</v>
      </c>
      <c r="CV90" s="230">
        <v>93491250</v>
      </c>
      <c r="CW90" s="230">
        <v>90225000</v>
      </c>
      <c r="CX90" s="230">
        <v>3266250</v>
      </c>
      <c r="CY90" s="229">
        <v>3.6200000000000003E-2</v>
      </c>
      <c r="CZ90" s="228">
        <v>31.67</v>
      </c>
      <c r="DA90" s="228">
        <v>32.049999999999997</v>
      </c>
      <c r="DB90" s="228">
        <v>-0.38</v>
      </c>
      <c r="DC90" s="228">
        <v>-0.38</v>
      </c>
      <c r="DD90" s="228">
        <v>58.16</v>
      </c>
      <c r="DE90" s="228">
        <v>58.29</v>
      </c>
      <c r="DF90" s="228">
        <v>-26.49</v>
      </c>
      <c r="DG90" s="228">
        <v>-0.13</v>
      </c>
      <c r="DH90" s="228">
        <v>31.44</v>
      </c>
      <c r="DI90" s="228">
        <v>31.66</v>
      </c>
      <c r="DJ90" s="228">
        <v>-0.22</v>
      </c>
      <c r="DK90" s="228">
        <v>-0.22</v>
      </c>
      <c r="DL90" s="228">
        <v>32.270000000000003</v>
      </c>
      <c r="DM90" s="228">
        <v>32.86</v>
      </c>
      <c r="DN90" s="228">
        <v>-0.59</v>
      </c>
      <c r="DO90" s="228">
        <v>-0.59</v>
      </c>
      <c r="DP90" s="228">
        <v>0.8</v>
      </c>
      <c r="DQ90" s="228">
        <v>0.85</v>
      </c>
      <c r="DR90" s="228">
        <v>-0.05</v>
      </c>
      <c r="DS90" s="229">
        <v>-5.8799999999999998E-2</v>
      </c>
      <c r="DT90" s="228">
        <v>150</v>
      </c>
      <c r="DU90" s="228">
        <v>140</v>
      </c>
      <c r="DV90" s="228">
        <v>0.39</v>
      </c>
      <c r="DW90" s="228">
        <v>0.47</v>
      </c>
      <c r="DX90" s="228">
        <v>-0.08</v>
      </c>
      <c r="DY90" s="229">
        <v>-0.17019999999999999</v>
      </c>
      <c r="DZ90" s="229">
        <v>5.4100000000000002E-2</v>
      </c>
      <c r="EA90" s="230">
        <v>2557500</v>
      </c>
      <c r="EB90" s="229">
        <v>5.4000000000000003E-3</v>
      </c>
      <c r="EC90" s="229">
        <v>5.4100000000000002E-2</v>
      </c>
      <c r="ED90" s="228">
        <v>0.99</v>
      </c>
      <c r="EE90" s="229">
        <v>6.8999999999999999E-3</v>
      </c>
      <c r="EF90" s="230">
        <v>1161854</v>
      </c>
      <c r="EG90" s="230">
        <v>3693114</v>
      </c>
      <c r="EH90" s="229">
        <v>-0.68540000000000001</v>
      </c>
      <c r="EI90" s="229">
        <v>0.39229999999999998</v>
      </c>
      <c r="EJ90" s="231">
        <v>27367.51</v>
      </c>
      <c r="EK90" s="231">
        <v>9948.66</v>
      </c>
      <c r="EL90" s="231">
        <v>7230.93</v>
      </c>
      <c r="EM90" s="231">
        <v>5344</v>
      </c>
      <c r="EN90" s="231">
        <v>44547.1</v>
      </c>
      <c r="EO90" s="231">
        <v>99677.27</v>
      </c>
      <c r="EP90" s="231">
        <v>-55130.17</v>
      </c>
      <c r="EQ90" s="229">
        <v>-0.55310000000000004</v>
      </c>
      <c r="ER90" s="231">
        <v>33642</v>
      </c>
      <c r="ES90" s="231">
        <v>25368</v>
      </c>
      <c r="ET90" s="231">
        <v>76637</v>
      </c>
      <c r="EU90" s="231">
        <v>133395043</v>
      </c>
      <c r="EV90" s="231">
        <v>135647</v>
      </c>
      <c r="EW90" s="231">
        <v>131423</v>
      </c>
      <c r="EX90" s="231">
        <v>4224</v>
      </c>
      <c r="EY90" s="229">
        <v>3.2099999999999997E-2</v>
      </c>
      <c r="EZ90" s="229">
        <v>0.70089999999999997</v>
      </c>
      <c r="FA90" s="227" t="s">
        <v>567</v>
      </c>
      <c r="FB90" s="161">
        <f t="shared" si="1"/>
        <v>2891250</v>
      </c>
    </row>
    <row r="91" spans="1:158" ht="17.25" hidden="1" thickBot="1" x14ac:dyDescent="0.3">
      <c r="A91" s="226">
        <v>45936</v>
      </c>
      <c r="B91" s="227" t="s">
        <v>193</v>
      </c>
      <c r="C91" s="227" t="s">
        <v>236</v>
      </c>
      <c r="D91" s="228">
        <v>2750</v>
      </c>
      <c r="E91" s="228">
        <v>209.27</v>
      </c>
      <c r="F91" s="228">
        <v>210.45</v>
      </c>
      <c r="G91" s="228">
        <v>-1.18</v>
      </c>
      <c r="H91" s="229">
        <v>-5.5999999999999999E-3</v>
      </c>
      <c r="I91" s="228">
        <v>208.06</v>
      </c>
      <c r="J91" s="228">
        <v>209.03</v>
      </c>
      <c r="K91" s="228">
        <v>-0.97</v>
      </c>
      <c r="L91" s="229">
        <v>-4.5999999999999999E-3</v>
      </c>
      <c r="M91" s="228">
        <v>209.27</v>
      </c>
      <c r="N91" s="228">
        <v>210.45</v>
      </c>
      <c r="O91" s="228">
        <v>-1.18</v>
      </c>
      <c r="P91" s="229">
        <v>-5.5999999999999999E-3</v>
      </c>
      <c r="Q91" s="228">
        <v>208.55</v>
      </c>
      <c r="R91" s="228">
        <v>210.38</v>
      </c>
      <c r="S91" s="228">
        <v>-1.83</v>
      </c>
      <c r="T91" s="229">
        <v>-8.6999999999999994E-3</v>
      </c>
      <c r="U91" s="228">
        <v>0</v>
      </c>
      <c r="V91" s="228">
        <v>0</v>
      </c>
      <c r="W91" s="228">
        <v>0</v>
      </c>
      <c r="X91" s="229">
        <v>0</v>
      </c>
      <c r="Y91" s="228">
        <v>1.21</v>
      </c>
      <c r="Z91" s="228">
        <v>1.42</v>
      </c>
      <c r="AA91" s="228">
        <v>-0.21</v>
      </c>
      <c r="AB91" s="229">
        <v>5.7999999999999996E-3</v>
      </c>
      <c r="AC91" s="228">
        <v>1.21</v>
      </c>
      <c r="AD91" s="228">
        <v>1.42</v>
      </c>
      <c r="AE91" s="228">
        <v>-0.21</v>
      </c>
      <c r="AF91" s="229">
        <v>5.7999999999999996E-3</v>
      </c>
      <c r="AG91" s="228">
        <v>0.49</v>
      </c>
      <c r="AH91" s="228">
        <v>1.35</v>
      </c>
      <c r="AI91" s="228">
        <v>-0.86</v>
      </c>
      <c r="AJ91" s="229">
        <v>2.3999999999999998E-3</v>
      </c>
      <c r="AK91" s="228">
        <v>0</v>
      </c>
      <c r="AL91" s="228">
        <v>0</v>
      </c>
      <c r="AM91" s="228">
        <v>0</v>
      </c>
      <c r="AN91" s="229">
        <v>0</v>
      </c>
      <c r="AO91" s="228">
        <v>209.04</v>
      </c>
      <c r="AP91" s="228">
        <v>208.26</v>
      </c>
      <c r="AQ91" s="228">
        <v>0</v>
      </c>
      <c r="AR91" s="230">
        <v>3489750</v>
      </c>
      <c r="AS91" s="230">
        <v>4903250</v>
      </c>
      <c r="AT91" s="230">
        <v>-1413500</v>
      </c>
      <c r="AU91" s="229">
        <v>-0.2883</v>
      </c>
      <c r="AV91" s="230">
        <v>3129500</v>
      </c>
      <c r="AW91" s="230">
        <v>4287250</v>
      </c>
      <c r="AX91" s="230">
        <v>-1157750</v>
      </c>
      <c r="AY91" s="229">
        <v>-0.27</v>
      </c>
      <c r="AZ91" s="230">
        <v>360250</v>
      </c>
      <c r="BA91" s="230">
        <v>616000</v>
      </c>
      <c r="BB91" s="230">
        <v>-255750</v>
      </c>
      <c r="BC91" s="229">
        <v>-0.41520000000000001</v>
      </c>
      <c r="BD91" s="228">
        <v>0</v>
      </c>
      <c r="BE91" s="228">
        <v>0</v>
      </c>
      <c r="BF91" s="228">
        <v>0</v>
      </c>
      <c r="BG91" s="229">
        <v>0</v>
      </c>
      <c r="BH91" s="230">
        <v>3993000</v>
      </c>
      <c r="BI91" s="230">
        <v>5898750</v>
      </c>
      <c r="BJ91" s="230">
        <v>-1905750</v>
      </c>
      <c r="BK91" s="229">
        <v>-0.3231</v>
      </c>
      <c r="BL91" s="230">
        <v>1949750</v>
      </c>
      <c r="BM91" s="230">
        <v>3283500</v>
      </c>
      <c r="BN91" s="230">
        <v>-1333750</v>
      </c>
      <c r="BO91" s="229">
        <v>-0.40620000000000001</v>
      </c>
      <c r="BP91" s="230">
        <v>9432500</v>
      </c>
      <c r="BQ91" s="230">
        <v>14085500</v>
      </c>
      <c r="BR91" s="230">
        <v>-4653000</v>
      </c>
      <c r="BS91" s="229">
        <v>-0.33029999999999998</v>
      </c>
      <c r="BT91" s="230">
        <v>1609436</v>
      </c>
      <c r="BU91" s="230">
        <v>2399772</v>
      </c>
      <c r="BV91" s="230">
        <v>-790336</v>
      </c>
      <c r="BW91" s="229">
        <v>-0.32929999999999998</v>
      </c>
      <c r="BX91" s="230">
        <v>15367000</v>
      </c>
      <c r="BY91" s="230">
        <v>14522750</v>
      </c>
      <c r="BZ91" s="230">
        <v>844250</v>
      </c>
      <c r="CA91" s="229">
        <v>5.8099999999999999E-2</v>
      </c>
      <c r="CB91" s="230">
        <v>14286250</v>
      </c>
      <c r="CC91" s="230">
        <v>13527250</v>
      </c>
      <c r="CD91" s="230">
        <v>759000</v>
      </c>
      <c r="CE91" s="229">
        <v>5.6099999999999997E-2</v>
      </c>
      <c r="CF91" s="230">
        <v>1080750</v>
      </c>
      <c r="CG91" s="230">
        <v>995500</v>
      </c>
      <c r="CH91" s="230">
        <v>85250</v>
      </c>
      <c r="CI91" s="229">
        <v>8.5599999999999996E-2</v>
      </c>
      <c r="CJ91" s="228">
        <v>0</v>
      </c>
      <c r="CK91" s="228">
        <v>0</v>
      </c>
      <c r="CL91" s="228">
        <v>0</v>
      </c>
      <c r="CM91" s="229">
        <v>0</v>
      </c>
      <c r="CN91" s="230">
        <v>7463500</v>
      </c>
      <c r="CO91" s="230">
        <v>6872250</v>
      </c>
      <c r="CP91" s="230">
        <v>591250</v>
      </c>
      <c r="CQ91" s="229">
        <v>8.5999999999999993E-2</v>
      </c>
      <c r="CR91" s="230">
        <v>4966500</v>
      </c>
      <c r="CS91" s="230">
        <v>4438500</v>
      </c>
      <c r="CT91" s="230">
        <v>528000</v>
      </c>
      <c r="CU91" s="229">
        <v>0.11899999999999999</v>
      </c>
      <c r="CV91" s="230">
        <v>27797000</v>
      </c>
      <c r="CW91" s="230">
        <v>25833500</v>
      </c>
      <c r="CX91" s="230">
        <v>1963500</v>
      </c>
      <c r="CY91" s="229">
        <v>7.5999999999999998E-2</v>
      </c>
      <c r="CZ91" s="228">
        <v>28.41</v>
      </c>
      <c r="DA91" s="228">
        <v>27.39</v>
      </c>
      <c r="DB91" s="228">
        <v>1.02</v>
      </c>
      <c r="DC91" s="228">
        <v>1.02</v>
      </c>
      <c r="DD91" s="228">
        <v>41.91</v>
      </c>
      <c r="DE91" s="228">
        <v>42.01</v>
      </c>
      <c r="DF91" s="228">
        <v>-13.5</v>
      </c>
      <c r="DG91" s="228">
        <v>-0.1</v>
      </c>
      <c r="DH91" s="228">
        <v>28.22</v>
      </c>
      <c r="DI91" s="228">
        <v>27.12</v>
      </c>
      <c r="DJ91" s="228">
        <v>1.1000000000000001</v>
      </c>
      <c r="DK91" s="228">
        <v>1.1000000000000001</v>
      </c>
      <c r="DL91" s="228">
        <v>28.8</v>
      </c>
      <c r="DM91" s="228">
        <v>27.88</v>
      </c>
      <c r="DN91" s="228">
        <v>0.92</v>
      </c>
      <c r="DO91" s="228">
        <v>0.92</v>
      </c>
      <c r="DP91" s="228">
        <v>0.67</v>
      </c>
      <c r="DQ91" s="228">
        <v>0.65</v>
      </c>
      <c r="DR91" s="228">
        <v>0.02</v>
      </c>
      <c r="DS91" s="229">
        <v>3.0800000000000001E-2</v>
      </c>
      <c r="DT91" s="228">
        <v>210</v>
      </c>
      <c r="DU91" s="228">
        <v>200</v>
      </c>
      <c r="DV91" s="228">
        <v>0.49</v>
      </c>
      <c r="DW91" s="228">
        <v>0.56000000000000005</v>
      </c>
      <c r="DX91" s="228">
        <v>-7.0000000000000007E-2</v>
      </c>
      <c r="DY91" s="229">
        <v>-0.125</v>
      </c>
      <c r="DZ91" s="229">
        <v>7.0300000000000001E-2</v>
      </c>
      <c r="EA91" s="230">
        <v>995500</v>
      </c>
      <c r="EB91" s="229">
        <v>-3.3999999999999998E-3</v>
      </c>
      <c r="EC91" s="229">
        <v>7.0300000000000001E-2</v>
      </c>
      <c r="ED91" s="228">
        <v>-0.78</v>
      </c>
      <c r="EE91" s="229">
        <v>-3.7000000000000002E-3</v>
      </c>
      <c r="EF91" s="230">
        <v>868077</v>
      </c>
      <c r="EG91" s="230">
        <v>1145615</v>
      </c>
      <c r="EH91" s="229">
        <v>-0.24229999999999999</v>
      </c>
      <c r="EI91" s="229">
        <v>0.53939999999999999</v>
      </c>
      <c r="EJ91" s="231">
        <v>8730.93</v>
      </c>
      <c r="EK91" s="231">
        <v>4126.8500000000004</v>
      </c>
      <c r="EL91" s="231">
        <v>7292.18</v>
      </c>
      <c r="EM91" s="231">
        <v>2922</v>
      </c>
      <c r="EN91" s="231">
        <v>20149.96</v>
      </c>
      <c r="EO91" s="231">
        <v>29925.33</v>
      </c>
      <c r="EP91" s="231">
        <v>-9775.3700000000008</v>
      </c>
      <c r="EQ91" s="229">
        <v>-0.32669999999999999</v>
      </c>
      <c r="ER91" s="231">
        <v>16342</v>
      </c>
      <c r="ES91" s="231">
        <v>10109</v>
      </c>
      <c r="ET91" s="231">
        <v>32151</v>
      </c>
      <c r="EU91" s="231">
        <v>94000476</v>
      </c>
      <c r="EV91" s="231">
        <v>58601</v>
      </c>
      <c r="EW91" s="231">
        <v>54651</v>
      </c>
      <c r="EX91" s="231">
        <v>3950</v>
      </c>
      <c r="EY91" s="229">
        <v>7.2300000000000003E-2</v>
      </c>
      <c r="EZ91" s="229">
        <v>0.29570000000000002</v>
      </c>
      <c r="FA91" s="227" t="s">
        <v>567</v>
      </c>
      <c r="FB91" s="161">
        <f t="shared" si="1"/>
        <v>1080750</v>
      </c>
    </row>
    <row r="92" spans="1:158" ht="17.25" hidden="1" thickBot="1" x14ac:dyDescent="0.3">
      <c r="A92" s="226">
        <v>45936</v>
      </c>
      <c r="B92" s="227" t="s">
        <v>175</v>
      </c>
      <c r="C92" s="227" t="s">
        <v>668</v>
      </c>
      <c r="D92" s="228">
        <v>1650</v>
      </c>
      <c r="E92" s="228">
        <v>472.6</v>
      </c>
      <c r="F92" s="228">
        <v>459.3</v>
      </c>
      <c r="G92" s="228">
        <v>13.3</v>
      </c>
      <c r="H92" s="229">
        <v>2.9000000000000001E-2</v>
      </c>
      <c r="I92" s="228">
        <v>469.5</v>
      </c>
      <c r="J92" s="228">
        <v>457.2</v>
      </c>
      <c r="K92" s="228">
        <v>12.3</v>
      </c>
      <c r="L92" s="229">
        <v>2.69E-2</v>
      </c>
      <c r="M92" s="228">
        <v>472.6</v>
      </c>
      <c r="N92" s="228">
        <v>459.3</v>
      </c>
      <c r="O92" s="228">
        <v>13.3</v>
      </c>
      <c r="P92" s="229">
        <v>2.9000000000000001E-2</v>
      </c>
      <c r="Q92" s="228">
        <v>474.8</v>
      </c>
      <c r="R92" s="228">
        <v>462.85</v>
      </c>
      <c r="S92" s="228">
        <v>11.95</v>
      </c>
      <c r="T92" s="229">
        <v>2.58E-2</v>
      </c>
      <c r="U92" s="228">
        <v>479.15</v>
      </c>
      <c r="V92" s="228">
        <v>464</v>
      </c>
      <c r="W92" s="228">
        <v>15.15</v>
      </c>
      <c r="X92" s="229">
        <v>3.27E-2</v>
      </c>
      <c r="Y92" s="228">
        <v>3.1</v>
      </c>
      <c r="Z92" s="228">
        <v>2.1</v>
      </c>
      <c r="AA92" s="228">
        <v>1</v>
      </c>
      <c r="AB92" s="229">
        <v>6.6E-3</v>
      </c>
      <c r="AC92" s="228">
        <v>3.1</v>
      </c>
      <c r="AD92" s="228">
        <v>2.1</v>
      </c>
      <c r="AE92" s="228">
        <v>1</v>
      </c>
      <c r="AF92" s="229">
        <v>6.6E-3</v>
      </c>
      <c r="AG92" s="228">
        <v>5.3</v>
      </c>
      <c r="AH92" s="228">
        <v>5.65</v>
      </c>
      <c r="AI92" s="228">
        <v>-0.35</v>
      </c>
      <c r="AJ92" s="229">
        <v>1.1299999999999999E-2</v>
      </c>
      <c r="AK92" s="228">
        <v>9.65</v>
      </c>
      <c r="AL92" s="228">
        <v>6.8</v>
      </c>
      <c r="AM92" s="228">
        <v>2.85</v>
      </c>
      <c r="AN92" s="229">
        <v>2.06E-2</v>
      </c>
      <c r="AO92" s="228">
        <v>466.98</v>
      </c>
      <c r="AP92" s="228">
        <v>469.93</v>
      </c>
      <c r="AQ92" s="228">
        <v>0</v>
      </c>
      <c r="AR92" s="230">
        <v>4245450</v>
      </c>
      <c r="AS92" s="230">
        <v>4725600</v>
      </c>
      <c r="AT92" s="230">
        <v>-480150</v>
      </c>
      <c r="AU92" s="229">
        <v>-0.1016</v>
      </c>
      <c r="AV92" s="230">
        <v>4059000</v>
      </c>
      <c r="AW92" s="230">
        <v>4575450</v>
      </c>
      <c r="AX92" s="230">
        <v>-516450</v>
      </c>
      <c r="AY92" s="229">
        <v>-0.1129</v>
      </c>
      <c r="AZ92" s="230">
        <v>168300</v>
      </c>
      <c r="BA92" s="230">
        <v>140250</v>
      </c>
      <c r="BB92" s="230">
        <v>28050</v>
      </c>
      <c r="BC92" s="229">
        <v>0.2</v>
      </c>
      <c r="BD92" s="230">
        <v>18150</v>
      </c>
      <c r="BE92" s="230">
        <v>9900</v>
      </c>
      <c r="BF92" s="230">
        <v>8250</v>
      </c>
      <c r="BG92" s="229">
        <v>0.83330000000000004</v>
      </c>
      <c r="BH92" s="230">
        <v>9711900</v>
      </c>
      <c r="BI92" s="230">
        <v>17407500</v>
      </c>
      <c r="BJ92" s="230">
        <v>-7695600</v>
      </c>
      <c r="BK92" s="229">
        <v>-0.44209999999999999</v>
      </c>
      <c r="BL92" s="230">
        <v>1909050</v>
      </c>
      <c r="BM92" s="230">
        <v>4362600</v>
      </c>
      <c r="BN92" s="230">
        <v>-2453550</v>
      </c>
      <c r="BO92" s="229">
        <v>-0.56240000000000001</v>
      </c>
      <c r="BP92" s="230">
        <v>15866400</v>
      </c>
      <c r="BQ92" s="230">
        <v>26495700</v>
      </c>
      <c r="BR92" s="230">
        <v>-10629300</v>
      </c>
      <c r="BS92" s="229">
        <v>-0.4012</v>
      </c>
      <c r="BT92" s="230">
        <v>1391947</v>
      </c>
      <c r="BU92" s="230">
        <v>2257505</v>
      </c>
      <c r="BV92" s="230">
        <v>-865558</v>
      </c>
      <c r="BW92" s="229">
        <v>-0.38340000000000002</v>
      </c>
      <c r="BX92" s="230">
        <v>15516600</v>
      </c>
      <c r="BY92" s="230">
        <v>15048000</v>
      </c>
      <c r="BZ92" s="230">
        <v>468600</v>
      </c>
      <c r="CA92" s="229">
        <v>3.1099999999999999E-2</v>
      </c>
      <c r="CB92" s="230">
        <v>15318600</v>
      </c>
      <c r="CC92" s="230">
        <v>14876400</v>
      </c>
      <c r="CD92" s="230">
        <v>442200</v>
      </c>
      <c r="CE92" s="229">
        <v>2.9700000000000001E-2</v>
      </c>
      <c r="CF92" s="230">
        <v>173250</v>
      </c>
      <c r="CG92" s="230">
        <v>161700</v>
      </c>
      <c r="CH92" s="230">
        <v>11550</v>
      </c>
      <c r="CI92" s="229">
        <v>7.1400000000000005E-2</v>
      </c>
      <c r="CJ92" s="230">
        <v>24750</v>
      </c>
      <c r="CK92" s="230">
        <v>9900</v>
      </c>
      <c r="CL92" s="230">
        <v>14850</v>
      </c>
      <c r="CM92" s="229">
        <v>1.5</v>
      </c>
      <c r="CN92" s="230">
        <v>3917100</v>
      </c>
      <c r="CO92" s="230">
        <v>3740550</v>
      </c>
      <c r="CP92" s="230">
        <v>176550</v>
      </c>
      <c r="CQ92" s="229">
        <v>4.7199999999999999E-2</v>
      </c>
      <c r="CR92" s="230">
        <v>1800150</v>
      </c>
      <c r="CS92" s="230">
        <v>1707750</v>
      </c>
      <c r="CT92" s="230">
        <v>92400</v>
      </c>
      <c r="CU92" s="229">
        <v>5.4100000000000002E-2</v>
      </c>
      <c r="CV92" s="230">
        <v>21233850</v>
      </c>
      <c r="CW92" s="230">
        <v>20496300</v>
      </c>
      <c r="CX92" s="230">
        <v>737550</v>
      </c>
      <c r="CY92" s="229">
        <v>3.5999999999999997E-2</v>
      </c>
      <c r="CZ92" s="228">
        <v>34.950000000000003</v>
      </c>
      <c r="DA92" s="228">
        <v>34.270000000000003</v>
      </c>
      <c r="DB92" s="228">
        <v>0.68</v>
      </c>
      <c r="DC92" s="228">
        <v>0.68</v>
      </c>
      <c r="DD92" s="228">
        <v>52.96</v>
      </c>
      <c r="DE92" s="228">
        <v>52.95</v>
      </c>
      <c r="DF92" s="228">
        <v>-18.010000000000002</v>
      </c>
      <c r="DG92" s="228">
        <v>0.01</v>
      </c>
      <c r="DH92" s="228">
        <v>34.619999999999997</v>
      </c>
      <c r="DI92" s="228">
        <v>34.159999999999997</v>
      </c>
      <c r="DJ92" s="228">
        <v>0.46</v>
      </c>
      <c r="DK92" s="228">
        <v>0.46</v>
      </c>
      <c r="DL92" s="228">
        <v>36.630000000000003</v>
      </c>
      <c r="DM92" s="228">
        <v>34.71</v>
      </c>
      <c r="DN92" s="228">
        <v>1.92</v>
      </c>
      <c r="DO92" s="228">
        <v>1.92</v>
      </c>
      <c r="DP92" s="228">
        <v>0.46</v>
      </c>
      <c r="DQ92" s="228">
        <v>0.46</v>
      </c>
      <c r="DR92" s="228">
        <v>0</v>
      </c>
      <c r="DS92" s="229">
        <v>0</v>
      </c>
      <c r="DT92" s="228">
        <v>470</v>
      </c>
      <c r="DU92" s="228">
        <v>440</v>
      </c>
      <c r="DV92" s="228">
        <v>0.2</v>
      </c>
      <c r="DW92" s="228">
        <v>0.25</v>
      </c>
      <c r="DX92" s="228">
        <v>-0.05</v>
      </c>
      <c r="DY92" s="229">
        <v>-0.2</v>
      </c>
      <c r="DZ92" s="229">
        <v>1.2800000000000001E-2</v>
      </c>
      <c r="EA92" s="230">
        <v>171600</v>
      </c>
      <c r="EB92" s="229">
        <v>4.7000000000000002E-3</v>
      </c>
      <c r="EC92" s="229">
        <v>1.2800000000000001E-2</v>
      </c>
      <c r="ED92" s="228">
        <v>2.95</v>
      </c>
      <c r="EE92" s="229">
        <v>6.3E-3</v>
      </c>
      <c r="EF92" s="230">
        <v>607910</v>
      </c>
      <c r="EG92" s="230">
        <v>645582</v>
      </c>
      <c r="EH92" s="229">
        <v>-5.8400000000000001E-2</v>
      </c>
      <c r="EI92" s="229">
        <v>0.43669999999999998</v>
      </c>
      <c r="EJ92" s="231">
        <v>47979.87</v>
      </c>
      <c r="EK92" s="231">
        <v>8803.35</v>
      </c>
      <c r="EL92" s="231">
        <v>19831.580000000002</v>
      </c>
      <c r="EM92" s="231">
        <v>4847</v>
      </c>
      <c r="EN92" s="231">
        <v>76614.8</v>
      </c>
      <c r="EO92" s="231">
        <v>126963.44</v>
      </c>
      <c r="EP92" s="231">
        <v>-50348.639999999999</v>
      </c>
      <c r="EQ92" s="229">
        <v>-0.39660000000000001</v>
      </c>
      <c r="ER92" s="231">
        <v>18959</v>
      </c>
      <c r="ES92" s="231">
        <v>7879</v>
      </c>
      <c r="ET92" s="231">
        <v>73337</v>
      </c>
      <c r="EU92" s="231">
        <v>47888370</v>
      </c>
      <c r="EV92" s="231">
        <v>100175</v>
      </c>
      <c r="EW92" s="231">
        <v>94464</v>
      </c>
      <c r="EX92" s="231">
        <v>5711</v>
      </c>
      <c r="EY92" s="229">
        <v>6.0499999999999998E-2</v>
      </c>
      <c r="EZ92" s="229">
        <v>0.44340000000000002</v>
      </c>
      <c r="FA92" s="227" t="s">
        <v>555</v>
      </c>
      <c r="FB92" s="161">
        <f t="shared" si="1"/>
        <v>198000</v>
      </c>
    </row>
    <row r="93" spans="1:158" ht="17.25" hidden="1" thickBot="1" x14ac:dyDescent="0.3">
      <c r="A93" s="226">
        <v>45936</v>
      </c>
      <c r="B93" s="227" t="s">
        <v>206</v>
      </c>
      <c r="C93" s="227" t="s">
        <v>501</v>
      </c>
      <c r="D93" s="228">
        <v>1000</v>
      </c>
      <c r="E93" s="228">
        <v>727.8</v>
      </c>
      <c r="F93" s="228">
        <v>729</v>
      </c>
      <c r="G93" s="228">
        <v>-1.2</v>
      </c>
      <c r="H93" s="229">
        <v>-1.6000000000000001E-3</v>
      </c>
      <c r="I93" s="228">
        <v>723.55</v>
      </c>
      <c r="J93" s="228">
        <v>724.45</v>
      </c>
      <c r="K93" s="228">
        <v>-0.9</v>
      </c>
      <c r="L93" s="229">
        <v>-1.1999999999999999E-3</v>
      </c>
      <c r="M93" s="228">
        <v>727.8</v>
      </c>
      <c r="N93" s="228">
        <v>729</v>
      </c>
      <c r="O93" s="228">
        <v>-1.2</v>
      </c>
      <c r="P93" s="229">
        <v>-1.6000000000000001E-3</v>
      </c>
      <c r="Q93" s="228">
        <v>731.6</v>
      </c>
      <c r="R93" s="228">
        <v>733.85</v>
      </c>
      <c r="S93" s="228">
        <v>-2.25</v>
      </c>
      <c r="T93" s="229">
        <v>-3.0999999999999999E-3</v>
      </c>
      <c r="U93" s="228">
        <v>736.35</v>
      </c>
      <c r="V93" s="228">
        <v>737.6</v>
      </c>
      <c r="W93" s="228">
        <v>-1.25</v>
      </c>
      <c r="X93" s="229">
        <v>-1.6999999999999999E-3</v>
      </c>
      <c r="Y93" s="228">
        <v>4.25</v>
      </c>
      <c r="Z93" s="228">
        <v>4.55</v>
      </c>
      <c r="AA93" s="228">
        <v>-0.3</v>
      </c>
      <c r="AB93" s="229">
        <v>5.8999999999999999E-3</v>
      </c>
      <c r="AC93" s="228">
        <v>4.25</v>
      </c>
      <c r="AD93" s="228">
        <v>4.55</v>
      </c>
      <c r="AE93" s="228">
        <v>-0.3</v>
      </c>
      <c r="AF93" s="229">
        <v>5.8999999999999999E-3</v>
      </c>
      <c r="AG93" s="228">
        <v>8.0500000000000007</v>
      </c>
      <c r="AH93" s="228">
        <v>9.4</v>
      </c>
      <c r="AI93" s="228">
        <v>-1.35</v>
      </c>
      <c r="AJ93" s="229">
        <v>1.11E-2</v>
      </c>
      <c r="AK93" s="228">
        <v>12.8</v>
      </c>
      <c r="AL93" s="228">
        <v>13.15</v>
      </c>
      <c r="AM93" s="228">
        <v>-0.35</v>
      </c>
      <c r="AN93" s="229">
        <v>1.77E-2</v>
      </c>
      <c r="AO93" s="228">
        <v>726.73</v>
      </c>
      <c r="AP93" s="228">
        <v>730.83</v>
      </c>
      <c r="AQ93" s="228">
        <v>0</v>
      </c>
      <c r="AR93" s="230">
        <v>2446000</v>
      </c>
      <c r="AS93" s="230">
        <v>2082000</v>
      </c>
      <c r="AT93" s="230">
        <v>364000</v>
      </c>
      <c r="AU93" s="229">
        <v>0.17480000000000001</v>
      </c>
      <c r="AV93" s="230">
        <v>2235000</v>
      </c>
      <c r="AW93" s="230">
        <v>1919000</v>
      </c>
      <c r="AX93" s="230">
        <v>316000</v>
      </c>
      <c r="AY93" s="229">
        <v>0.16470000000000001</v>
      </c>
      <c r="AZ93" s="230">
        <v>185000</v>
      </c>
      <c r="BA93" s="230">
        <v>153000</v>
      </c>
      <c r="BB93" s="230">
        <v>32000</v>
      </c>
      <c r="BC93" s="229">
        <v>0.2092</v>
      </c>
      <c r="BD93" s="230">
        <v>26000</v>
      </c>
      <c r="BE93" s="230">
        <v>10000</v>
      </c>
      <c r="BF93" s="230">
        <v>16000</v>
      </c>
      <c r="BG93" s="229">
        <v>1.6</v>
      </c>
      <c r="BH93" s="230">
        <v>6919000</v>
      </c>
      <c r="BI93" s="230">
        <v>5342000</v>
      </c>
      <c r="BJ93" s="230">
        <v>1577000</v>
      </c>
      <c r="BK93" s="229">
        <v>0.29520000000000002</v>
      </c>
      <c r="BL93" s="230">
        <v>1496000</v>
      </c>
      <c r="BM93" s="230">
        <v>2083000</v>
      </c>
      <c r="BN93" s="230">
        <v>-587000</v>
      </c>
      <c r="BO93" s="229">
        <v>-0.28179999999999999</v>
      </c>
      <c r="BP93" s="230">
        <v>10861000</v>
      </c>
      <c r="BQ93" s="230">
        <v>9507000</v>
      </c>
      <c r="BR93" s="230">
        <v>1354000</v>
      </c>
      <c r="BS93" s="229">
        <v>0.1424</v>
      </c>
      <c r="BT93" s="230">
        <v>2854504</v>
      </c>
      <c r="BU93" s="230">
        <v>1945218</v>
      </c>
      <c r="BV93" s="230">
        <v>909286</v>
      </c>
      <c r="BW93" s="229">
        <v>0.46739999999999998</v>
      </c>
      <c r="BX93" s="230">
        <v>27953000</v>
      </c>
      <c r="BY93" s="230">
        <v>27100000</v>
      </c>
      <c r="BZ93" s="230">
        <v>853000</v>
      </c>
      <c r="CA93" s="229">
        <v>3.15E-2</v>
      </c>
      <c r="CB93" s="230">
        <v>26923000</v>
      </c>
      <c r="CC93" s="230">
        <v>26155000</v>
      </c>
      <c r="CD93" s="230">
        <v>768000</v>
      </c>
      <c r="CE93" s="229">
        <v>2.9399999999999999E-2</v>
      </c>
      <c r="CF93" s="230">
        <v>994000</v>
      </c>
      <c r="CG93" s="230">
        <v>922000</v>
      </c>
      <c r="CH93" s="230">
        <v>72000</v>
      </c>
      <c r="CI93" s="229">
        <v>7.8100000000000003E-2</v>
      </c>
      <c r="CJ93" s="230">
        <v>36000</v>
      </c>
      <c r="CK93" s="230">
        <v>23000</v>
      </c>
      <c r="CL93" s="230">
        <v>13000</v>
      </c>
      <c r="CM93" s="229">
        <v>0.56520000000000004</v>
      </c>
      <c r="CN93" s="230">
        <v>10982000</v>
      </c>
      <c r="CO93" s="230">
        <v>9941000</v>
      </c>
      <c r="CP93" s="230">
        <v>1041000</v>
      </c>
      <c r="CQ93" s="229">
        <v>0.1047</v>
      </c>
      <c r="CR93" s="230">
        <v>6284000</v>
      </c>
      <c r="CS93" s="230">
        <v>6058000</v>
      </c>
      <c r="CT93" s="230">
        <v>226000</v>
      </c>
      <c r="CU93" s="229">
        <v>3.73E-2</v>
      </c>
      <c r="CV93" s="230">
        <v>45219000</v>
      </c>
      <c r="CW93" s="230">
        <v>43099000</v>
      </c>
      <c r="CX93" s="230">
        <v>2120000</v>
      </c>
      <c r="CY93" s="229">
        <v>4.9200000000000001E-2</v>
      </c>
      <c r="CZ93" s="228">
        <v>24.55</v>
      </c>
      <c r="DA93" s="228">
        <v>23.67</v>
      </c>
      <c r="DB93" s="228">
        <v>0.88</v>
      </c>
      <c r="DC93" s="228">
        <v>0.88</v>
      </c>
      <c r="DD93" s="228">
        <v>36.07</v>
      </c>
      <c r="DE93" s="228">
        <v>36.159999999999997</v>
      </c>
      <c r="DF93" s="228">
        <v>-11.52</v>
      </c>
      <c r="DG93" s="228">
        <v>-0.09</v>
      </c>
      <c r="DH93" s="228">
        <v>24.77</v>
      </c>
      <c r="DI93" s="228">
        <v>23.82</v>
      </c>
      <c r="DJ93" s="228">
        <v>0.95</v>
      </c>
      <c r="DK93" s="228">
        <v>0.95</v>
      </c>
      <c r="DL93" s="228">
        <v>23.53</v>
      </c>
      <c r="DM93" s="228">
        <v>23.3</v>
      </c>
      <c r="DN93" s="228">
        <v>0.23</v>
      </c>
      <c r="DO93" s="228">
        <v>0.23</v>
      </c>
      <c r="DP93" s="228">
        <v>0.56999999999999995</v>
      </c>
      <c r="DQ93" s="228">
        <v>0.61</v>
      </c>
      <c r="DR93" s="228">
        <v>-0.04</v>
      </c>
      <c r="DS93" s="229">
        <v>-6.5600000000000006E-2</v>
      </c>
      <c r="DT93" s="228">
        <v>800</v>
      </c>
      <c r="DU93" s="228">
        <v>720</v>
      </c>
      <c r="DV93" s="228">
        <v>0.22</v>
      </c>
      <c r="DW93" s="228">
        <v>0.39</v>
      </c>
      <c r="DX93" s="228">
        <v>-0.17</v>
      </c>
      <c r="DY93" s="229">
        <v>-0.43590000000000001</v>
      </c>
      <c r="DZ93" s="229">
        <v>3.6799999999999999E-2</v>
      </c>
      <c r="EA93" s="230">
        <v>945000</v>
      </c>
      <c r="EB93" s="229">
        <v>5.1999999999999998E-3</v>
      </c>
      <c r="EC93" s="229">
        <v>3.6799999999999999E-2</v>
      </c>
      <c r="ED93" s="228">
        <v>4.0999999999999996</v>
      </c>
      <c r="EE93" s="229">
        <v>5.5999999999999999E-3</v>
      </c>
      <c r="EF93" s="230">
        <v>2037800</v>
      </c>
      <c r="EG93" s="230">
        <v>1303300</v>
      </c>
      <c r="EH93" s="229">
        <v>0.56359999999999999</v>
      </c>
      <c r="EI93" s="229">
        <v>0.71389999999999998</v>
      </c>
      <c r="EJ93" s="231">
        <v>53074.86</v>
      </c>
      <c r="EK93" s="231">
        <v>10798.64</v>
      </c>
      <c r="EL93" s="231">
        <v>17785.53</v>
      </c>
      <c r="EM93" s="231">
        <v>8080</v>
      </c>
      <c r="EN93" s="231">
        <v>81659.03</v>
      </c>
      <c r="EO93" s="231">
        <v>71002.649999999994</v>
      </c>
      <c r="EP93" s="231">
        <v>10656.38</v>
      </c>
      <c r="EQ93" s="229">
        <v>0.15010000000000001</v>
      </c>
      <c r="ER93" s="231">
        <v>84904</v>
      </c>
      <c r="ES93" s="231">
        <v>45965</v>
      </c>
      <c r="ET93" s="231">
        <v>203483</v>
      </c>
      <c r="EU93" s="231">
        <v>111956321</v>
      </c>
      <c r="EV93" s="231">
        <v>334352</v>
      </c>
      <c r="EW93" s="231">
        <v>318808</v>
      </c>
      <c r="EX93" s="231">
        <v>15544</v>
      </c>
      <c r="EY93" s="229">
        <v>4.8800000000000003E-2</v>
      </c>
      <c r="EZ93" s="229">
        <v>0.40389999999999998</v>
      </c>
      <c r="FA93" s="227" t="s">
        <v>567</v>
      </c>
      <c r="FB93" s="161">
        <f t="shared" si="1"/>
        <v>1030000</v>
      </c>
    </row>
    <row r="94" spans="1:158" ht="17.25" hidden="1" thickBot="1" x14ac:dyDescent="0.3">
      <c r="A94" s="226">
        <v>45936</v>
      </c>
      <c r="B94" s="227" t="s">
        <v>172</v>
      </c>
      <c r="C94" s="227" t="s">
        <v>579</v>
      </c>
      <c r="D94" s="228">
        <v>1000</v>
      </c>
      <c r="E94" s="228">
        <v>759.3</v>
      </c>
      <c r="F94" s="228">
        <v>755.4</v>
      </c>
      <c r="G94" s="228">
        <v>3.9</v>
      </c>
      <c r="H94" s="229">
        <v>5.1999999999999998E-3</v>
      </c>
      <c r="I94" s="228">
        <v>758.05</v>
      </c>
      <c r="J94" s="228">
        <v>765.95</v>
      </c>
      <c r="K94" s="228">
        <v>-7.9</v>
      </c>
      <c r="L94" s="229">
        <v>-1.03E-2</v>
      </c>
      <c r="M94" s="228">
        <v>759.3</v>
      </c>
      <c r="N94" s="228">
        <v>755.4</v>
      </c>
      <c r="O94" s="228">
        <v>3.9</v>
      </c>
      <c r="P94" s="229">
        <v>5.1999999999999998E-3</v>
      </c>
      <c r="Q94" s="228">
        <v>756.45</v>
      </c>
      <c r="R94" s="228">
        <v>752.1</v>
      </c>
      <c r="S94" s="228">
        <v>4.3499999999999996</v>
      </c>
      <c r="T94" s="229">
        <v>5.7999999999999996E-3</v>
      </c>
      <c r="U94" s="228">
        <v>751</v>
      </c>
      <c r="V94" s="228">
        <v>751</v>
      </c>
      <c r="W94" s="228">
        <v>0</v>
      </c>
      <c r="X94" s="229">
        <v>0</v>
      </c>
      <c r="Y94" s="228">
        <v>1.25</v>
      </c>
      <c r="Z94" s="228">
        <v>-10.55</v>
      </c>
      <c r="AA94" s="228">
        <v>11.8</v>
      </c>
      <c r="AB94" s="229">
        <v>1.6000000000000001E-3</v>
      </c>
      <c r="AC94" s="228">
        <v>1.25</v>
      </c>
      <c r="AD94" s="228">
        <v>-10.55</v>
      </c>
      <c r="AE94" s="228">
        <v>11.8</v>
      </c>
      <c r="AF94" s="229">
        <v>1.6000000000000001E-3</v>
      </c>
      <c r="AG94" s="228">
        <v>-1.6</v>
      </c>
      <c r="AH94" s="228">
        <v>-13.85</v>
      </c>
      <c r="AI94" s="228">
        <v>12.25</v>
      </c>
      <c r="AJ94" s="229">
        <v>-2.0999999999999999E-3</v>
      </c>
      <c r="AK94" s="228">
        <v>-7.05</v>
      </c>
      <c r="AL94" s="228">
        <v>-14.95</v>
      </c>
      <c r="AM94" s="228">
        <v>7.9</v>
      </c>
      <c r="AN94" s="229">
        <v>-9.2999999999999992E-3</v>
      </c>
      <c r="AO94" s="228">
        <v>759.75</v>
      </c>
      <c r="AP94" s="228">
        <v>755.41</v>
      </c>
      <c r="AQ94" s="228">
        <v>0</v>
      </c>
      <c r="AR94" s="230">
        <v>2498000</v>
      </c>
      <c r="AS94" s="230">
        <v>3994000</v>
      </c>
      <c r="AT94" s="230">
        <v>-1496000</v>
      </c>
      <c r="AU94" s="229">
        <v>-0.37459999999999999</v>
      </c>
      <c r="AV94" s="230">
        <v>2379000</v>
      </c>
      <c r="AW94" s="230">
        <v>3864000</v>
      </c>
      <c r="AX94" s="230">
        <v>-1485000</v>
      </c>
      <c r="AY94" s="229">
        <v>-0.38429999999999997</v>
      </c>
      <c r="AZ94" s="230">
        <v>115000</v>
      </c>
      <c r="BA94" s="230">
        <v>129000</v>
      </c>
      <c r="BB94" s="230">
        <v>-14000</v>
      </c>
      <c r="BC94" s="229">
        <v>-0.1085</v>
      </c>
      <c r="BD94" s="230">
        <v>4000</v>
      </c>
      <c r="BE94" s="230">
        <v>1000</v>
      </c>
      <c r="BF94" s="230">
        <v>3000</v>
      </c>
      <c r="BG94" s="229">
        <v>3</v>
      </c>
      <c r="BH94" s="230">
        <v>5914000</v>
      </c>
      <c r="BI94" s="230">
        <v>9974000</v>
      </c>
      <c r="BJ94" s="230">
        <v>-4060000</v>
      </c>
      <c r="BK94" s="229">
        <v>-0.40710000000000002</v>
      </c>
      <c r="BL94" s="230">
        <v>2251000</v>
      </c>
      <c r="BM94" s="230">
        <v>3432000</v>
      </c>
      <c r="BN94" s="230">
        <v>-1181000</v>
      </c>
      <c r="BO94" s="229">
        <v>-0.34410000000000002</v>
      </c>
      <c r="BP94" s="230">
        <v>10663000</v>
      </c>
      <c r="BQ94" s="230">
        <v>17400000</v>
      </c>
      <c r="BR94" s="230">
        <v>-6737000</v>
      </c>
      <c r="BS94" s="229">
        <v>-0.38719999999999999</v>
      </c>
      <c r="BT94" s="230">
        <v>2077905</v>
      </c>
      <c r="BU94" s="230">
        <v>2878864</v>
      </c>
      <c r="BV94" s="230">
        <v>-800959</v>
      </c>
      <c r="BW94" s="229">
        <v>-0.2782</v>
      </c>
      <c r="BX94" s="230">
        <v>7653000</v>
      </c>
      <c r="BY94" s="230">
        <v>7521000</v>
      </c>
      <c r="BZ94" s="230">
        <v>132000</v>
      </c>
      <c r="CA94" s="229">
        <v>1.7600000000000001E-2</v>
      </c>
      <c r="CB94" s="230">
        <v>7497000</v>
      </c>
      <c r="CC94" s="230">
        <v>7396000</v>
      </c>
      <c r="CD94" s="230">
        <v>101000</v>
      </c>
      <c r="CE94" s="229">
        <v>1.37E-2</v>
      </c>
      <c r="CF94" s="230">
        <v>150000</v>
      </c>
      <c r="CG94" s="230">
        <v>123000</v>
      </c>
      <c r="CH94" s="230">
        <v>27000</v>
      </c>
      <c r="CI94" s="229">
        <v>0.2195</v>
      </c>
      <c r="CJ94" s="230">
        <v>6000</v>
      </c>
      <c r="CK94" s="230">
        <v>2000</v>
      </c>
      <c r="CL94" s="230">
        <v>4000</v>
      </c>
      <c r="CM94" s="229">
        <v>2</v>
      </c>
      <c r="CN94" s="230">
        <v>2680000</v>
      </c>
      <c r="CO94" s="230">
        <v>2517000</v>
      </c>
      <c r="CP94" s="230">
        <v>163000</v>
      </c>
      <c r="CQ94" s="229">
        <v>6.4799999999999996E-2</v>
      </c>
      <c r="CR94" s="230">
        <v>2389000</v>
      </c>
      <c r="CS94" s="230">
        <v>2278000</v>
      </c>
      <c r="CT94" s="230">
        <v>111000</v>
      </c>
      <c r="CU94" s="229">
        <v>4.87E-2</v>
      </c>
      <c r="CV94" s="230">
        <v>12722000</v>
      </c>
      <c r="CW94" s="230">
        <v>12316000</v>
      </c>
      <c r="CX94" s="230">
        <v>406000</v>
      </c>
      <c r="CY94" s="229">
        <v>3.3000000000000002E-2</v>
      </c>
      <c r="CZ94" s="228">
        <v>28.37</v>
      </c>
      <c r="DA94" s="228">
        <v>28.71</v>
      </c>
      <c r="DB94" s="228">
        <v>-0.34</v>
      </c>
      <c r="DC94" s="228">
        <v>-0.34</v>
      </c>
      <c r="DD94" s="228">
        <v>38.799999999999997</v>
      </c>
      <c r="DE94" s="228">
        <v>38.869999999999997</v>
      </c>
      <c r="DF94" s="228">
        <v>-10.43</v>
      </c>
      <c r="DG94" s="228">
        <v>-7.0000000000000007E-2</v>
      </c>
      <c r="DH94" s="228">
        <v>28.2</v>
      </c>
      <c r="DI94" s="228">
        <v>28.56</v>
      </c>
      <c r="DJ94" s="228">
        <v>-0.36</v>
      </c>
      <c r="DK94" s="228">
        <v>-0.36</v>
      </c>
      <c r="DL94" s="228">
        <v>28.83</v>
      </c>
      <c r="DM94" s="228">
        <v>29.14</v>
      </c>
      <c r="DN94" s="228">
        <v>-0.31</v>
      </c>
      <c r="DO94" s="228">
        <v>-0.31</v>
      </c>
      <c r="DP94" s="228">
        <v>0.89</v>
      </c>
      <c r="DQ94" s="228">
        <v>0.91</v>
      </c>
      <c r="DR94" s="228">
        <v>-0.02</v>
      </c>
      <c r="DS94" s="229">
        <v>-2.1999999999999999E-2</v>
      </c>
      <c r="DT94" s="228">
        <v>770</v>
      </c>
      <c r="DU94" s="228">
        <v>700</v>
      </c>
      <c r="DV94" s="228">
        <v>0.38</v>
      </c>
      <c r="DW94" s="228">
        <v>0.34</v>
      </c>
      <c r="DX94" s="228">
        <v>0.04</v>
      </c>
      <c r="DY94" s="229">
        <v>0.1176</v>
      </c>
      <c r="DZ94" s="229">
        <v>2.0400000000000001E-2</v>
      </c>
      <c r="EA94" s="230">
        <v>125000</v>
      </c>
      <c r="EB94" s="229">
        <v>-3.8E-3</v>
      </c>
      <c r="EC94" s="229">
        <v>2.0400000000000001E-2</v>
      </c>
      <c r="ED94" s="228">
        <v>-4.34</v>
      </c>
      <c r="EE94" s="229">
        <v>-5.7000000000000002E-3</v>
      </c>
      <c r="EF94" s="230">
        <v>846361</v>
      </c>
      <c r="EG94" s="230">
        <v>1068930</v>
      </c>
      <c r="EH94" s="229">
        <v>-0.2082</v>
      </c>
      <c r="EI94" s="229">
        <v>0.4073</v>
      </c>
      <c r="EJ94" s="231">
        <v>47129.88</v>
      </c>
      <c r="EK94" s="231">
        <v>16794.78</v>
      </c>
      <c r="EL94" s="231">
        <v>18973.38</v>
      </c>
      <c r="EM94" s="231">
        <v>4850</v>
      </c>
      <c r="EN94" s="231">
        <v>82898.039999999994</v>
      </c>
      <c r="EO94" s="231">
        <v>133654.39000000001</v>
      </c>
      <c r="EP94" s="231">
        <v>-50756.35</v>
      </c>
      <c r="EQ94" s="229">
        <v>-0.37980000000000003</v>
      </c>
      <c r="ER94" s="231">
        <v>20532</v>
      </c>
      <c r="ES94" s="231">
        <v>16876</v>
      </c>
      <c r="ET94" s="231">
        <v>58104</v>
      </c>
      <c r="EU94" s="231">
        <v>52862157</v>
      </c>
      <c r="EV94" s="231">
        <v>95512</v>
      </c>
      <c r="EW94" s="231">
        <v>92050</v>
      </c>
      <c r="EX94" s="231">
        <v>3462</v>
      </c>
      <c r="EY94" s="229">
        <v>3.7600000000000001E-2</v>
      </c>
      <c r="EZ94" s="229">
        <v>0.2407</v>
      </c>
      <c r="FA94" s="227" t="s">
        <v>555</v>
      </c>
      <c r="FB94" s="161">
        <f t="shared" si="1"/>
        <v>156000</v>
      </c>
    </row>
    <row r="95" spans="1:158" ht="17.25" hidden="1" thickBot="1" x14ac:dyDescent="0.3">
      <c r="A95" s="226">
        <v>45936</v>
      </c>
      <c r="B95" s="227" t="s">
        <v>181</v>
      </c>
      <c r="C95" s="227" t="s">
        <v>570</v>
      </c>
      <c r="D95" s="228">
        <v>1</v>
      </c>
      <c r="E95" s="228">
        <v>10.19</v>
      </c>
      <c r="F95" s="228">
        <v>10.06</v>
      </c>
      <c r="G95" s="228">
        <v>0.13</v>
      </c>
      <c r="H95" s="229">
        <v>1.32E-2</v>
      </c>
      <c r="I95" s="228">
        <v>10.19</v>
      </c>
      <c r="J95" s="228">
        <v>10.06</v>
      </c>
      <c r="K95" s="228">
        <v>0.13</v>
      </c>
      <c r="L95" s="229">
        <v>1.32E-2</v>
      </c>
      <c r="M95" s="228">
        <v>0</v>
      </c>
      <c r="N95" s="228">
        <v>0</v>
      </c>
      <c r="O95" s="228">
        <v>0</v>
      </c>
      <c r="P95" s="229">
        <v>0</v>
      </c>
      <c r="Q95" s="228">
        <v>0</v>
      </c>
      <c r="R95" s="228">
        <v>0</v>
      </c>
      <c r="S95" s="228">
        <v>0</v>
      </c>
      <c r="T95" s="229">
        <v>0</v>
      </c>
      <c r="U95" s="228">
        <v>0</v>
      </c>
      <c r="V95" s="228">
        <v>0</v>
      </c>
      <c r="W95" s="228">
        <v>0</v>
      </c>
      <c r="X95" s="229">
        <v>0</v>
      </c>
      <c r="Y95" s="228">
        <v>0</v>
      </c>
      <c r="Z95" s="228">
        <v>0</v>
      </c>
      <c r="AA95" s="228">
        <v>0</v>
      </c>
      <c r="AB95" s="229">
        <v>0</v>
      </c>
      <c r="AC95" s="228">
        <v>0</v>
      </c>
      <c r="AD95" s="228">
        <v>0</v>
      </c>
      <c r="AE95" s="228">
        <v>0</v>
      </c>
      <c r="AF95" s="229">
        <v>0</v>
      </c>
      <c r="AG95" s="228">
        <v>0</v>
      </c>
      <c r="AH95" s="228">
        <v>0</v>
      </c>
      <c r="AI95" s="228">
        <v>0</v>
      </c>
      <c r="AJ95" s="229">
        <v>0</v>
      </c>
      <c r="AK95" s="228">
        <v>0</v>
      </c>
      <c r="AL95" s="228">
        <v>0</v>
      </c>
      <c r="AM95" s="228">
        <v>0</v>
      </c>
      <c r="AN95" s="229">
        <v>0</v>
      </c>
      <c r="AO95" s="228">
        <v>0</v>
      </c>
      <c r="AP95" s="228">
        <v>0</v>
      </c>
      <c r="AQ95" s="228">
        <v>0</v>
      </c>
      <c r="AR95" s="228">
        <v>0</v>
      </c>
      <c r="AS95" s="228">
        <v>0</v>
      </c>
      <c r="AT95" s="228">
        <v>0</v>
      </c>
      <c r="AU95" s="229">
        <v>0</v>
      </c>
      <c r="AV95" s="228">
        <v>0</v>
      </c>
      <c r="AW95" s="228">
        <v>0</v>
      </c>
      <c r="AX95" s="228">
        <v>0</v>
      </c>
      <c r="AY95" s="229">
        <v>0</v>
      </c>
      <c r="AZ95" s="228">
        <v>0</v>
      </c>
      <c r="BA95" s="228">
        <v>0</v>
      </c>
      <c r="BB95" s="228">
        <v>0</v>
      </c>
      <c r="BC95" s="229">
        <v>0</v>
      </c>
      <c r="BD95" s="228">
        <v>0</v>
      </c>
      <c r="BE95" s="228">
        <v>0</v>
      </c>
      <c r="BF95" s="228">
        <v>0</v>
      </c>
      <c r="BG95" s="229">
        <v>0</v>
      </c>
      <c r="BH95" s="228">
        <v>0</v>
      </c>
      <c r="BI95" s="228">
        <v>0</v>
      </c>
      <c r="BJ95" s="228">
        <v>0</v>
      </c>
      <c r="BK95" s="229">
        <v>0</v>
      </c>
      <c r="BL95" s="228">
        <v>0</v>
      </c>
      <c r="BM95" s="228">
        <v>0</v>
      </c>
      <c r="BN95" s="228">
        <v>0</v>
      </c>
      <c r="BO95" s="229">
        <v>0</v>
      </c>
      <c r="BP95" s="228">
        <v>0</v>
      </c>
      <c r="BQ95" s="228">
        <v>0</v>
      </c>
      <c r="BR95" s="228">
        <v>0</v>
      </c>
      <c r="BS95" s="229">
        <v>0</v>
      </c>
      <c r="BT95" s="228">
        <v>0</v>
      </c>
      <c r="BU95" s="228">
        <v>0</v>
      </c>
      <c r="BV95" s="228">
        <v>0</v>
      </c>
      <c r="BW95" s="229">
        <v>0</v>
      </c>
      <c r="BX95" s="228">
        <v>0</v>
      </c>
      <c r="BY95" s="228">
        <v>0</v>
      </c>
      <c r="BZ95" s="228">
        <v>0</v>
      </c>
      <c r="CA95" s="229">
        <v>0</v>
      </c>
      <c r="CB95" s="228">
        <v>0</v>
      </c>
      <c r="CC95" s="228">
        <v>0</v>
      </c>
      <c r="CD95" s="228">
        <v>0</v>
      </c>
      <c r="CE95" s="229">
        <v>0</v>
      </c>
      <c r="CF95" s="228">
        <v>0</v>
      </c>
      <c r="CG95" s="228">
        <v>0</v>
      </c>
      <c r="CH95" s="228">
        <v>0</v>
      </c>
      <c r="CI95" s="229">
        <v>0</v>
      </c>
      <c r="CJ95" s="228">
        <v>0</v>
      </c>
      <c r="CK95" s="228">
        <v>0</v>
      </c>
      <c r="CL95" s="228">
        <v>0</v>
      </c>
      <c r="CM95" s="229">
        <v>0</v>
      </c>
      <c r="CN95" s="228">
        <v>0</v>
      </c>
      <c r="CO95" s="228">
        <v>0</v>
      </c>
      <c r="CP95" s="228">
        <v>0</v>
      </c>
      <c r="CQ95" s="229">
        <v>0</v>
      </c>
      <c r="CR95" s="228">
        <v>0</v>
      </c>
      <c r="CS95" s="228">
        <v>0</v>
      </c>
      <c r="CT95" s="228">
        <v>0</v>
      </c>
      <c r="CU95" s="229">
        <v>0</v>
      </c>
      <c r="CV95" s="228">
        <v>0</v>
      </c>
      <c r="CW95" s="228">
        <v>0</v>
      </c>
      <c r="CX95" s="228">
        <v>0</v>
      </c>
      <c r="CY95" s="229">
        <v>0</v>
      </c>
      <c r="CZ95" s="228">
        <v>0</v>
      </c>
      <c r="DA95" s="228">
        <v>0</v>
      </c>
      <c r="DB95" s="228">
        <v>0</v>
      </c>
      <c r="DC95" s="228">
        <v>0</v>
      </c>
      <c r="DD95" s="228">
        <v>0</v>
      </c>
      <c r="DE95" s="228">
        <v>0</v>
      </c>
      <c r="DF95" s="228">
        <v>0</v>
      </c>
      <c r="DG95" s="228">
        <v>0</v>
      </c>
      <c r="DH95" s="228">
        <v>0</v>
      </c>
      <c r="DI95" s="228">
        <v>0</v>
      </c>
      <c r="DJ95" s="228">
        <v>0</v>
      </c>
      <c r="DK95" s="228">
        <v>0</v>
      </c>
      <c r="DL95" s="228">
        <v>0</v>
      </c>
      <c r="DM95" s="228">
        <v>0</v>
      </c>
      <c r="DN95" s="228">
        <v>0</v>
      </c>
      <c r="DO95" s="228">
        <v>0</v>
      </c>
      <c r="DP95" s="228">
        <v>0</v>
      </c>
      <c r="DQ95" s="228">
        <v>0</v>
      </c>
      <c r="DR95" s="228">
        <v>0</v>
      </c>
      <c r="DS95" s="229">
        <v>0</v>
      </c>
      <c r="DT95" s="228">
        <v>0</v>
      </c>
      <c r="DU95" s="228">
        <v>0</v>
      </c>
      <c r="DV95" s="228">
        <v>0</v>
      </c>
      <c r="DW95" s="228">
        <v>0</v>
      </c>
      <c r="DX95" s="228">
        <v>0</v>
      </c>
      <c r="DY95" s="229">
        <v>0</v>
      </c>
      <c r="DZ95" s="229">
        <v>0</v>
      </c>
      <c r="EA95" s="228">
        <v>0</v>
      </c>
      <c r="EB95" s="229">
        <v>0</v>
      </c>
      <c r="EC95" s="229">
        <v>0</v>
      </c>
      <c r="ED95" s="228">
        <v>0</v>
      </c>
      <c r="EE95" s="229">
        <v>0</v>
      </c>
      <c r="EF95" s="228">
        <v>0</v>
      </c>
      <c r="EG95" s="228">
        <v>0</v>
      </c>
      <c r="EH95" s="229">
        <v>0</v>
      </c>
      <c r="EI95" s="229">
        <v>0</v>
      </c>
      <c r="EJ95" s="228">
        <v>0</v>
      </c>
      <c r="EK95" s="228">
        <v>0</v>
      </c>
      <c r="EL95" s="228">
        <v>0</v>
      </c>
      <c r="EM95" s="228">
        <v>0</v>
      </c>
      <c r="EN95" s="228">
        <v>0</v>
      </c>
      <c r="EO95" s="228">
        <v>0</v>
      </c>
      <c r="EP95" s="228">
        <v>0</v>
      </c>
      <c r="EQ95" s="229">
        <v>0</v>
      </c>
      <c r="ER95" s="228">
        <v>0</v>
      </c>
      <c r="ES95" s="228">
        <v>0</v>
      </c>
      <c r="ET95" s="228">
        <v>0</v>
      </c>
      <c r="EU95" s="228">
        <v>0</v>
      </c>
      <c r="EV95" s="228">
        <v>0</v>
      </c>
      <c r="EW95" s="228">
        <v>0</v>
      </c>
      <c r="EX95" s="228">
        <v>0</v>
      </c>
      <c r="EY95" s="229">
        <v>0</v>
      </c>
      <c r="EZ95" s="229">
        <v>0</v>
      </c>
      <c r="FA95" s="227" t="s">
        <v>237</v>
      </c>
      <c r="FB95" s="161">
        <f t="shared" si="1"/>
        <v>0</v>
      </c>
    </row>
    <row r="96" spans="1:158" ht="17.25" hidden="1" thickBot="1" x14ac:dyDescent="0.3">
      <c r="A96" s="226">
        <v>45936</v>
      </c>
      <c r="B96" s="227" t="s">
        <v>215</v>
      </c>
      <c r="C96" s="227" t="s">
        <v>238</v>
      </c>
      <c r="D96" s="228">
        <v>150</v>
      </c>
      <c r="E96" s="231">
        <v>5715</v>
      </c>
      <c r="F96" s="231">
        <v>5684.5</v>
      </c>
      <c r="G96" s="228">
        <v>30.5</v>
      </c>
      <c r="H96" s="229">
        <v>5.4000000000000003E-3</v>
      </c>
      <c r="I96" s="231">
        <v>5694.5</v>
      </c>
      <c r="J96" s="231">
        <v>5657</v>
      </c>
      <c r="K96" s="228">
        <v>37.5</v>
      </c>
      <c r="L96" s="229">
        <v>6.6E-3</v>
      </c>
      <c r="M96" s="231">
        <v>5715</v>
      </c>
      <c r="N96" s="231">
        <v>5684.5</v>
      </c>
      <c r="O96" s="228">
        <v>30.5</v>
      </c>
      <c r="P96" s="229">
        <v>5.4000000000000003E-3</v>
      </c>
      <c r="Q96" s="231">
        <v>5735</v>
      </c>
      <c r="R96" s="231">
        <v>5704</v>
      </c>
      <c r="S96" s="228">
        <v>31</v>
      </c>
      <c r="T96" s="229">
        <v>5.4000000000000003E-3</v>
      </c>
      <c r="U96" s="231">
        <v>5764</v>
      </c>
      <c r="V96" s="231">
        <v>5731</v>
      </c>
      <c r="W96" s="228">
        <v>33</v>
      </c>
      <c r="X96" s="229">
        <v>5.7999999999999996E-3</v>
      </c>
      <c r="Y96" s="228">
        <v>20.5</v>
      </c>
      <c r="Z96" s="228">
        <v>27.5</v>
      </c>
      <c r="AA96" s="228">
        <v>-7</v>
      </c>
      <c r="AB96" s="229">
        <v>3.5999999999999999E-3</v>
      </c>
      <c r="AC96" s="228">
        <v>20.5</v>
      </c>
      <c r="AD96" s="228">
        <v>27.5</v>
      </c>
      <c r="AE96" s="228">
        <v>-7</v>
      </c>
      <c r="AF96" s="229">
        <v>3.5999999999999999E-3</v>
      </c>
      <c r="AG96" s="228">
        <v>40.5</v>
      </c>
      <c r="AH96" s="228">
        <v>47</v>
      </c>
      <c r="AI96" s="228">
        <v>-6.5</v>
      </c>
      <c r="AJ96" s="229">
        <v>7.1000000000000004E-3</v>
      </c>
      <c r="AK96" s="228">
        <v>69.5</v>
      </c>
      <c r="AL96" s="228">
        <v>74</v>
      </c>
      <c r="AM96" s="228">
        <v>-4.5</v>
      </c>
      <c r="AN96" s="229">
        <v>1.2200000000000001E-2</v>
      </c>
      <c r="AO96" s="231">
        <v>5681.26</v>
      </c>
      <c r="AP96" s="231">
        <v>5706.21</v>
      </c>
      <c r="AQ96" s="228">
        <v>0</v>
      </c>
      <c r="AR96" s="230">
        <v>674100</v>
      </c>
      <c r="AS96" s="230">
        <v>750000</v>
      </c>
      <c r="AT96" s="230">
        <v>-75900</v>
      </c>
      <c r="AU96" s="229">
        <v>-0.1012</v>
      </c>
      <c r="AV96" s="230">
        <v>645450</v>
      </c>
      <c r="AW96" s="230">
        <v>703200</v>
      </c>
      <c r="AX96" s="230">
        <v>-57750</v>
      </c>
      <c r="AY96" s="229">
        <v>-8.2100000000000006E-2</v>
      </c>
      <c r="AZ96" s="230">
        <v>26250</v>
      </c>
      <c r="BA96" s="230">
        <v>40200</v>
      </c>
      <c r="BB96" s="230">
        <v>-13950</v>
      </c>
      <c r="BC96" s="229">
        <v>-0.34699999999999998</v>
      </c>
      <c r="BD96" s="230">
        <v>2400</v>
      </c>
      <c r="BE96" s="230">
        <v>6600</v>
      </c>
      <c r="BF96" s="230">
        <v>-4200</v>
      </c>
      <c r="BG96" s="229">
        <v>-0.63639999999999997</v>
      </c>
      <c r="BH96" s="230">
        <v>1955100</v>
      </c>
      <c r="BI96" s="230">
        <v>2716050</v>
      </c>
      <c r="BJ96" s="230">
        <v>-760950</v>
      </c>
      <c r="BK96" s="229">
        <v>-0.2802</v>
      </c>
      <c r="BL96" s="230">
        <v>946650</v>
      </c>
      <c r="BM96" s="230">
        <v>893100</v>
      </c>
      <c r="BN96" s="230">
        <v>53550</v>
      </c>
      <c r="BO96" s="229">
        <v>0.06</v>
      </c>
      <c r="BP96" s="230">
        <v>3575850</v>
      </c>
      <c r="BQ96" s="230">
        <v>4359150</v>
      </c>
      <c r="BR96" s="230">
        <v>-783300</v>
      </c>
      <c r="BS96" s="229">
        <v>-0.1797</v>
      </c>
      <c r="BT96" s="230">
        <v>652323</v>
      </c>
      <c r="BU96" s="230">
        <v>873570</v>
      </c>
      <c r="BV96" s="230">
        <v>-221247</v>
      </c>
      <c r="BW96" s="229">
        <v>-0.25330000000000003</v>
      </c>
      <c r="BX96" s="230">
        <v>8198400</v>
      </c>
      <c r="BY96" s="230">
        <v>8290050</v>
      </c>
      <c r="BZ96" s="230">
        <v>-91650</v>
      </c>
      <c r="CA96" s="229">
        <v>-1.11E-2</v>
      </c>
      <c r="CB96" s="230">
        <v>8088300</v>
      </c>
      <c r="CC96" s="230">
        <v>8183250</v>
      </c>
      <c r="CD96" s="230">
        <v>-94950</v>
      </c>
      <c r="CE96" s="229">
        <v>-1.1599999999999999E-2</v>
      </c>
      <c r="CF96" s="230">
        <v>102000</v>
      </c>
      <c r="CG96" s="230">
        <v>99300</v>
      </c>
      <c r="CH96" s="230">
        <v>2700</v>
      </c>
      <c r="CI96" s="229">
        <v>2.7199999999999998E-2</v>
      </c>
      <c r="CJ96" s="230">
        <v>8100</v>
      </c>
      <c r="CK96" s="230">
        <v>7500</v>
      </c>
      <c r="CL96" s="228">
        <v>600</v>
      </c>
      <c r="CM96" s="229">
        <v>0.08</v>
      </c>
      <c r="CN96" s="230">
        <v>1707600</v>
      </c>
      <c r="CO96" s="230">
        <v>1657500</v>
      </c>
      <c r="CP96" s="230">
        <v>50100</v>
      </c>
      <c r="CQ96" s="229">
        <v>3.0200000000000001E-2</v>
      </c>
      <c r="CR96" s="230">
        <v>1222650</v>
      </c>
      <c r="CS96" s="230">
        <v>1182900</v>
      </c>
      <c r="CT96" s="230">
        <v>39750</v>
      </c>
      <c r="CU96" s="229">
        <v>3.3599999999999998E-2</v>
      </c>
      <c r="CV96" s="230">
        <v>11128650</v>
      </c>
      <c r="CW96" s="230">
        <v>11130450</v>
      </c>
      <c r="CX96" s="230">
        <v>-1800</v>
      </c>
      <c r="CY96" s="229">
        <v>-2.0000000000000001E-4</v>
      </c>
      <c r="CZ96" s="228">
        <v>20.41</v>
      </c>
      <c r="DA96" s="228">
        <v>19.829999999999998</v>
      </c>
      <c r="DB96" s="228">
        <v>0.57999999999999996</v>
      </c>
      <c r="DC96" s="228">
        <v>0.57999999999999996</v>
      </c>
      <c r="DD96" s="228">
        <v>33.15</v>
      </c>
      <c r="DE96" s="228">
        <v>33.22</v>
      </c>
      <c r="DF96" s="228">
        <v>-12.74</v>
      </c>
      <c r="DG96" s="228">
        <v>-7.0000000000000007E-2</v>
      </c>
      <c r="DH96" s="228">
        <v>19.82</v>
      </c>
      <c r="DI96" s="228">
        <v>19.559999999999999</v>
      </c>
      <c r="DJ96" s="228">
        <v>0.26</v>
      </c>
      <c r="DK96" s="228">
        <v>0.26</v>
      </c>
      <c r="DL96" s="228">
        <v>21.64</v>
      </c>
      <c r="DM96" s="228">
        <v>20.68</v>
      </c>
      <c r="DN96" s="228">
        <v>0.96</v>
      </c>
      <c r="DO96" s="228">
        <v>0.96</v>
      </c>
      <c r="DP96" s="228">
        <v>0.72</v>
      </c>
      <c r="DQ96" s="228">
        <v>0.71</v>
      </c>
      <c r="DR96" s="228">
        <v>0.01</v>
      </c>
      <c r="DS96" s="229">
        <v>1.41E-2</v>
      </c>
      <c r="DT96" s="231">
        <v>6000</v>
      </c>
      <c r="DU96" s="231">
        <v>5500</v>
      </c>
      <c r="DV96" s="228">
        <v>0.48</v>
      </c>
      <c r="DW96" s="228">
        <v>0.33</v>
      </c>
      <c r="DX96" s="228">
        <v>0.15</v>
      </c>
      <c r="DY96" s="229">
        <v>0.45450000000000002</v>
      </c>
      <c r="DZ96" s="229">
        <v>1.34E-2</v>
      </c>
      <c r="EA96" s="230">
        <v>106800</v>
      </c>
      <c r="EB96" s="229">
        <v>3.5000000000000001E-3</v>
      </c>
      <c r="EC96" s="229">
        <v>1.34E-2</v>
      </c>
      <c r="ED96" s="228">
        <v>24.95</v>
      </c>
      <c r="EE96" s="229">
        <v>4.4000000000000003E-3</v>
      </c>
      <c r="EF96" s="230">
        <v>390617</v>
      </c>
      <c r="EG96" s="230">
        <v>605126</v>
      </c>
      <c r="EH96" s="229">
        <v>-0.35449999999999998</v>
      </c>
      <c r="EI96" s="229">
        <v>0.5988</v>
      </c>
      <c r="EJ96" s="231">
        <v>114800.83</v>
      </c>
      <c r="EK96" s="231">
        <v>52768.52</v>
      </c>
      <c r="EL96" s="231">
        <v>38305.480000000003</v>
      </c>
      <c r="EM96" s="231">
        <v>30814</v>
      </c>
      <c r="EN96" s="231">
        <v>205874.83</v>
      </c>
      <c r="EO96" s="231">
        <v>252088.45</v>
      </c>
      <c r="EP96" s="231">
        <v>-46213.62</v>
      </c>
      <c r="EQ96" s="229">
        <v>-0.18329999999999999</v>
      </c>
      <c r="ER96" s="231">
        <v>100127</v>
      </c>
      <c r="ES96" s="231">
        <v>68671</v>
      </c>
      <c r="ET96" s="231">
        <v>468563</v>
      </c>
      <c r="EU96" s="231">
        <v>32732860</v>
      </c>
      <c r="EV96" s="231">
        <v>637360</v>
      </c>
      <c r="EW96" s="231">
        <v>634887</v>
      </c>
      <c r="EX96" s="231">
        <v>2473</v>
      </c>
      <c r="EY96" s="229">
        <v>3.8999999999999998E-3</v>
      </c>
      <c r="EZ96" s="229">
        <v>0.34</v>
      </c>
      <c r="FA96" s="227" t="s">
        <v>556</v>
      </c>
      <c r="FB96" s="161">
        <f t="shared" si="1"/>
        <v>110100</v>
      </c>
    </row>
    <row r="97" spans="1:158" ht="17.25" hidden="1" thickBot="1" x14ac:dyDescent="0.3">
      <c r="A97" s="226">
        <v>45936</v>
      </c>
      <c r="B97" s="227" t="s">
        <v>172</v>
      </c>
      <c r="C97" s="227" t="s">
        <v>239</v>
      </c>
      <c r="D97" s="228">
        <v>700</v>
      </c>
      <c r="E97" s="228">
        <v>743.8</v>
      </c>
      <c r="F97" s="228">
        <v>752.3</v>
      </c>
      <c r="G97" s="228">
        <v>-8.5</v>
      </c>
      <c r="H97" s="229">
        <v>-1.1299999999999999E-2</v>
      </c>
      <c r="I97" s="228">
        <v>739.3</v>
      </c>
      <c r="J97" s="228">
        <v>747.4</v>
      </c>
      <c r="K97" s="228">
        <v>-8.1</v>
      </c>
      <c r="L97" s="229">
        <v>-1.0800000000000001E-2</v>
      </c>
      <c r="M97" s="228">
        <v>743.8</v>
      </c>
      <c r="N97" s="228">
        <v>752.3</v>
      </c>
      <c r="O97" s="228">
        <v>-8.5</v>
      </c>
      <c r="P97" s="229">
        <v>-1.1299999999999999E-2</v>
      </c>
      <c r="Q97" s="228">
        <v>747.9</v>
      </c>
      <c r="R97" s="228">
        <v>756.35</v>
      </c>
      <c r="S97" s="228">
        <v>-8.4499999999999993</v>
      </c>
      <c r="T97" s="229">
        <v>-1.12E-2</v>
      </c>
      <c r="U97" s="228">
        <v>752.5</v>
      </c>
      <c r="V97" s="228">
        <v>761.75</v>
      </c>
      <c r="W97" s="228">
        <v>-9.25</v>
      </c>
      <c r="X97" s="229">
        <v>-1.21E-2</v>
      </c>
      <c r="Y97" s="228">
        <v>4.5</v>
      </c>
      <c r="Z97" s="228">
        <v>4.9000000000000004</v>
      </c>
      <c r="AA97" s="228">
        <v>-0.4</v>
      </c>
      <c r="AB97" s="229">
        <v>6.1000000000000004E-3</v>
      </c>
      <c r="AC97" s="228">
        <v>4.5</v>
      </c>
      <c r="AD97" s="228">
        <v>4.9000000000000004</v>
      </c>
      <c r="AE97" s="228">
        <v>-0.4</v>
      </c>
      <c r="AF97" s="229">
        <v>6.1000000000000004E-3</v>
      </c>
      <c r="AG97" s="228">
        <v>8.6</v>
      </c>
      <c r="AH97" s="228">
        <v>8.9499999999999993</v>
      </c>
      <c r="AI97" s="228">
        <v>-0.35</v>
      </c>
      <c r="AJ97" s="229">
        <v>1.1599999999999999E-2</v>
      </c>
      <c r="AK97" s="228">
        <v>13.2</v>
      </c>
      <c r="AL97" s="228">
        <v>14.35</v>
      </c>
      <c r="AM97" s="228">
        <v>-1.1499999999999999</v>
      </c>
      <c r="AN97" s="229">
        <v>1.7899999999999999E-2</v>
      </c>
      <c r="AO97" s="228">
        <v>748.42</v>
      </c>
      <c r="AP97" s="228">
        <v>752.85</v>
      </c>
      <c r="AQ97" s="228">
        <v>0</v>
      </c>
      <c r="AR97" s="230">
        <v>8389500</v>
      </c>
      <c r="AS97" s="230">
        <v>6540800</v>
      </c>
      <c r="AT97" s="230">
        <v>1848700</v>
      </c>
      <c r="AU97" s="229">
        <v>0.28260000000000002</v>
      </c>
      <c r="AV97" s="230">
        <v>7915600</v>
      </c>
      <c r="AW97" s="230">
        <v>6230700</v>
      </c>
      <c r="AX97" s="230">
        <v>1684900</v>
      </c>
      <c r="AY97" s="229">
        <v>0.27039999999999997</v>
      </c>
      <c r="AZ97" s="230">
        <v>387100</v>
      </c>
      <c r="BA97" s="230">
        <v>291900</v>
      </c>
      <c r="BB97" s="230">
        <v>95200</v>
      </c>
      <c r="BC97" s="229">
        <v>0.3261</v>
      </c>
      <c r="BD97" s="230">
        <v>86800</v>
      </c>
      <c r="BE97" s="230">
        <v>18200</v>
      </c>
      <c r="BF97" s="230">
        <v>68600</v>
      </c>
      <c r="BG97" s="229">
        <v>3.7692000000000001</v>
      </c>
      <c r="BH97" s="230">
        <v>15244600</v>
      </c>
      <c r="BI97" s="230">
        <v>13335700</v>
      </c>
      <c r="BJ97" s="230">
        <v>1908900</v>
      </c>
      <c r="BK97" s="229">
        <v>0.1431</v>
      </c>
      <c r="BL97" s="230">
        <v>10466400</v>
      </c>
      <c r="BM97" s="230">
        <v>6013700</v>
      </c>
      <c r="BN97" s="230">
        <v>4452700</v>
      </c>
      <c r="BO97" s="229">
        <v>0.74039999999999995</v>
      </c>
      <c r="BP97" s="230">
        <v>34100500</v>
      </c>
      <c r="BQ97" s="230">
        <v>25890200</v>
      </c>
      <c r="BR97" s="230">
        <v>8210300</v>
      </c>
      <c r="BS97" s="229">
        <v>0.31709999999999999</v>
      </c>
      <c r="BT97" s="230">
        <v>5277490</v>
      </c>
      <c r="BU97" s="230">
        <v>4254356</v>
      </c>
      <c r="BV97" s="230">
        <v>1023134</v>
      </c>
      <c r="BW97" s="229">
        <v>0.24049999999999999</v>
      </c>
      <c r="BX97" s="230">
        <v>54534200</v>
      </c>
      <c r="BY97" s="230">
        <v>54355700</v>
      </c>
      <c r="BZ97" s="230">
        <v>178500</v>
      </c>
      <c r="CA97" s="229">
        <v>3.3E-3</v>
      </c>
      <c r="CB97" s="230">
        <v>52994200</v>
      </c>
      <c r="CC97" s="230">
        <v>52908100</v>
      </c>
      <c r="CD97" s="230">
        <v>86100</v>
      </c>
      <c r="CE97" s="229">
        <v>1.6000000000000001E-3</v>
      </c>
      <c r="CF97" s="230">
        <v>1445500</v>
      </c>
      <c r="CG97" s="230">
        <v>1415400</v>
      </c>
      <c r="CH97" s="230">
        <v>30100</v>
      </c>
      <c r="CI97" s="229">
        <v>2.1299999999999999E-2</v>
      </c>
      <c r="CJ97" s="230">
        <v>94500</v>
      </c>
      <c r="CK97" s="230">
        <v>32200</v>
      </c>
      <c r="CL97" s="230">
        <v>62300</v>
      </c>
      <c r="CM97" s="229">
        <v>1.9348000000000001</v>
      </c>
      <c r="CN97" s="230">
        <v>10465700</v>
      </c>
      <c r="CO97" s="230">
        <v>9388400</v>
      </c>
      <c r="CP97" s="230">
        <v>1077300</v>
      </c>
      <c r="CQ97" s="229">
        <v>0.1147</v>
      </c>
      <c r="CR97" s="230">
        <v>10327100</v>
      </c>
      <c r="CS97" s="230">
        <v>10282300</v>
      </c>
      <c r="CT97" s="230">
        <v>44800</v>
      </c>
      <c r="CU97" s="229">
        <v>4.4000000000000003E-3</v>
      </c>
      <c r="CV97" s="230">
        <v>75327000</v>
      </c>
      <c r="CW97" s="230">
        <v>74026400</v>
      </c>
      <c r="CX97" s="230">
        <v>1300600</v>
      </c>
      <c r="CY97" s="229">
        <v>1.7600000000000001E-2</v>
      </c>
      <c r="CZ97" s="228">
        <v>28.97</v>
      </c>
      <c r="DA97" s="228">
        <v>28.26</v>
      </c>
      <c r="DB97" s="228">
        <v>0.71</v>
      </c>
      <c r="DC97" s="228">
        <v>0.71</v>
      </c>
      <c r="DD97" s="228">
        <v>47.94</v>
      </c>
      <c r="DE97" s="228">
        <v>48.03</v>
      </c>
      <c r="DF97" s="228">
        <v>-18.97</v>
      </c>
      <c r="DG97" s="228">
        <v>-0.09</v>
      </c>
      <c r="DH97" s="228">
        <v>28.96</v>
      </c>
      <c r="DI97" s="228">
        <v>28.16</v>
      </c>
      <c r="DJ97" s="228">
        <v>0.8</v>
      </c>
      <c r="DK97" s="228">
        <v>0.8</v>
      </c>
      <c r="DL97" s="228">
        <v>28.98</v>
      </c>
      <c r="DM97" s="228">
        <v>28.49</v>
      </c>
      <c r="DN97" s="228">
        <v>0.49</v>
      </c>
      <c r="DO97" s="228">
        <v>0.49</v>
      </c>
      <c r="DP97" s="228">
        <v>0.99</v>
      </c>
      <c r="DQ97" s="228">
        <v>1.1000000000000001</v>
      </c>
      <c r="DR97" s="228">
        <v>-0.11</v>
      </c>
      <c r="DS97" s="229">
        <v>-0.1</v>
      </c>
      <c r="DT97" s="228">
        <v>750</v>
      </c>
      <c r="DU97" s="228">
        <v>700</v>
      </c>
      <c r="DV97" s="228">
        <v>0.69</v>
      </c>
      <c r="DW97" s="228">
        <v>0.45</v>
      </c>
      <c r="DX97" s="228">
        <v>0.24</v>
      </c>
      <c r="DY97" s="229">
        <v>0.5333</v>
      </c>
      <c r="DZ97" s="229">
        <v>2.8199999999999999E-2</v>
      </c>
      <c r="EA97" s="230">
        <v>1447600</v>
      </c>
      <c r="EB97" s="229">
        <v>5.4999999999999997E-3</v>
      </c>
      <c r="EC97" s="229">
        <v>2.8199999999999999E-2</v>
      </c>
      <c r="ED97" s="228">
        <v>4.43</v>
      </c>
      <c r="EE97" s="229">
        <v>5.8999999999999999E-3</v>
      </c>
      <c r="EF97" s="230">
        <v>2393105</v>
      </c>
      <c r="EG97" s="230">
        <v>2172256</v>
      </c>
      <c r="EH97" s="229">
        <v>0.1017</v>
      </c>
      <c r="EI97" s="229">
        <v>0.45350000000000001</v>
      </c>
      <c r="EJ97" s="231">
        <v>119701.67</v>
      </c>
      <c r="EK97" s="231">
        <v>78022.36</v>
      </c>
      <c r="EL97" s="231">
        <v>62811.75</v>
      </c>
      <c r="EM97" s="231">
        <v>29206</v>
      </c>
      <c r="EN97" s="231">
        <v>260535.78</v>
      </c>
      <c r="EO97" s="231">
        <v>199320.68</v>
      </c>
      <c r="EP97" s="231">
        <v>61215.1</v>
      </c>
      <c r="EQ97" s="229">
        <v>0.30709999999999998</v>
      </c>
      <c r="ER97" s="231">
        <v>81263</v>
      </c>
      <c r="ES97" s="231">
        <v>76252</v>
      </c>
      <c r="ET97" s="231">
        <v>405693</v>
      </c>
      <c r="EU97" s="231">
        <v>93805784</v>
      </c>
      <c r="EV97" s="231">
        <v>563207</v>
      </c>
      <c r="EW97" s="231">
        <v>557832</v>
      </c>
      <c r="EX97" s="231">
        <v>5375</v>
      </c>
      <c r="EY97" s="229">
        <v>9.5999999999999992E-3</v>
      </c>
      <c r="EZ97" s="229">
        <v>0.80300000000000005</v>
      </c>
      <c r="FA97" s="227" t="s">
        <v>567</v>
      </c>
      <c r="FB97" s="161">
        <f t="shared" si="1"/>
        <v>1540000</v>
      </c>
    </row>
    <row r="98" spans="1:158" ht="17.25" hidden="1" thickBot="1" x14ac:dyDescent="0.3">
      <c r="A98" s="226">
        <v>45936</v>
      </c>
      <c r="B98" s="227" t="s">
        <v>188</v>
      </c>
      <c r="C98" s="227" t="s">
        <v>473</v>
      </c>
      <c r="D98" s="228">
        <v>1700</v>
      </c>
      <c r="E98" s="228">
        <v>355.35</v>
      </c>
      <c r="F98" s="228">
        <v>356</v>
      </c>
      <c r="G98" s="228">
        <v>-0.65</v>
      </c>
      <c r="H98" s="229">
        <v>-1.8E-3</v>
      </c>
      <c r="I98" s="228">
        <v>353.65</v>
      </c>
      <c r="J98" s="228">
        <v>353.1</v>
      </c>
      <c r="K98" s="228">
        <v>0.55000000000000004</v>
      </c>
      <c r="L98" s="229">
        <v>1.6000000000000001E-3</v>
      </c>
      <c r="M98" s="228">
        <v>355.35</v>
      </c>
      <c r="N98" s="228">
        <v>356</v>
      </c>
      <c r="O98" s="228">
        <v>-0.65</v>
      </c>
      <c r="P98" s="229">
        <v>-1.8E-3</v>
      </c>
      <c r="Q98" s="228">
        <v>357.15</v>
      </c>
      <c r="R98" s="228">
        <v>358.9</v>
      </c>
      <c r="S98" s="228">
        <v>-1.75</v>
      </c>
      <c r="T98" s="229">
        <v>-4.8999999999999998E-3</v>
      </c>
      <c r="U98" s="228">
        <v>358.8</v>
      </c>
      <c r="V98" s="228">
        <v>360.85</v>
      </c>
      <c r="W98" s="228">
        <v>-2.0499999999999998</v>
      </c>
      <c r="X98" s="229">
        <v>-5.7000000000000002E-3</v>
      </c>
      <c r="Y98" s="228">
        <v>1.7</v>
      </c>
      <c r="Z98" s="228">
        <v>2.9</v>
      </c>
      <c r="AA98" s="228">
        <v>-1.2</v>
      </c>
      <c r="AB98" s="229">
        <v>4.7999999999999996E-3</v>
      </c>
      <c r="AC98" s="228">
        <v>1.7</v>
      </c>
      <c r="AD98" s="228">
        <v>2.9</v>
      </c>
      <c r="AE98" s="228">
        <v>-1.2</v>
      </c>
      <c r="AF98" s="229">
        <v>4.7999999999999996E-3</v>
      </c>
      <c r="AG98" s="228">
        <v>3.5</v>
      </c>
      <c r="AH98" s="228">
        <v>5.8</v>
      </c>
      <c r="AI98" s="228">
        <v>-2.2999999999999998</v>
      </c>
      <c r="AJ98" s="229">
        <v>9.9000000000000008E-3</v>
      </c>
      <c r="AK98" s="228">
        <v>5.15</v>
      </c>
      <c r="AL98" s="228">
        <v>7.75</v>
      </c>
      <c r="AM98" s="228">
        <v>-2.6</v>
      </c>
      <c r="AN98" s="229">
        <v>1.46E-2</v>
      </c>
      <c r="AO98" s="228">
        <v>354.25</v>
      </c>
      <c r="AP98" s="228">
        <v>356.11</v>
      </c>
      <c r="AQ98" s="228">
        <v>0</v>
      </c>
      <c r="AR98" s="230">
        <v>9650900</v>
      </c>
      <c r="AS98" s="230">
        <v>6854400</v>
      </c>
      <c r="AT98" s="230">
        <v>2796500</v>
      </c>
      <c r="AU98" s="229">
        <v>0.40799999999999997</v>
      </c>
      <c r="AV98" s="230">
        <v>9251400</v>
      </c>
      <c r="AW98" s="230">
        <v>6584100</v>
      </c>
      <c r="AX98" s="230">
        <v>2667300</v>
      </c>
      <c r="AY98" s="229">
        <v>0.40510000000000002</v>
      </c>
      <c r="AZ98" s="230">
        <v>331500</v>
      </c>
      <c r="BA98" s="230">
        <v>249900</v>
      </c>
      <c r="BB98" s="230">
        <v>81600</v>
      </c>
      <c r="BC98" s="229">
        <v>0.32650000000000001</v>
      </c>
      <c r="BD98" s="230">
        <v>68000</v>
      </c>
      <c r="BE98" s="230">
        <v>20400</v>
      </c>
      <c r="BF98" s="230">
        <v>47600</v>
      </c>
      <c r="BG98" s="229">
        <v>2.3332999999999999</v>
      </c>
      <c r="BH98" s="230">
        <v>24354200</v>
      </c>
      <c r="BI98" s="230">
        <v>13856700</v>
      </c>
      <c r="BJ98" s="230">
        <v>10497500</v>
      </c>
      <c r="BK98" s="229">
        <v>0.75760000000000005</v>
      </c>
      <c r="BL98" s="230">
        <v>9780100</v>
      </c>
      <c r="BM98" s="230">
        <v>6534800</v>
      </c>
      <c r="BN98" s="230">
        <v>3245300</v>
      </c>
      <c r="BO98" s="229">
        <v>0.49659999999999999</v>
      </c>
      <c r="BP98" s="230">
        <v>43785200</v>
      </c>
      <c r="BQ98" s="230">
        <v>27245900</v>
      </c>
      <c r="BR98" s="230">
        <v>16539300</v>
      </c>
      <c r="BS98" s="229">
        <v>0.60699999999999998</v>
      </c>
      <c r="BT98" s="230">
        <v>3024475</v>
      </c>
      <c r="BU98" s="230">
        <v>2784265</v>
      </c>
      <c r="BV98" s="230">
        <v>240210</v>
      </c>
      <c r="BW98" s="229">
        <v>8.6300000000000002E-2</v>
      </c>
      <c r="BX98" s="230">
        <v>85702100</v>
      </c>
      <c r="BY98" s="230">
        <v>86074400</v>
      </c>
      <c r="BZ98" s="230">
        <v>-372300</v>
      </c>
      <c r="CA98" s="229">
        <v>-4.3E-3</v>
      </c>
      <c r="CB98" s="230">
        <v>84435600</v>
      </c>
      <c r="CC98" s="230">
        <v>84896300</v>
      </c>
      <c r="CD98" s="230">
        <v>-460700</v>
      </c>
      <c r="CE98" s="229">
        <v>-5.4000000000000003E-3</v>
      </c>
      <c r="CF98" s="230">
        <v>1203600</v>
      </c>
      <c r="CG98" s="230">
        <v>1161100</v>
      </c>
      <c r="CH98" s="230">
        <v>42500</v>
      </c>
      <c r="CI98" s="229">
        <v>3.6600000000000001E-2</v>
      </c>
      <c r="CJ98" s="230">
        <v>62900</v>
      </c>
      <c r="CK98" s="230">
        <v>17000</v>
      </c>
      <c r="CL98" s="230">
        <v>45900</v>
      </c>
      <c r="CM98" s="229">
        <v>2.7</v>
      </c>
      <c r="CN98" s="230">
        <v>17198900</v>
      </c>
      <c r="CO98" s="230">
        <v>15701200</v>
      </c>
      <c r="CP98" s="230">
        <v>1497700</v>
      </c>
      <c r="CQ98" s="229">
        <v>9.5399999999999999E-2</v>
      </c>
      <c r="CR98" s="230">
        <v>12002000</v>
      </c>
      <c r="CS98" s="230">
        <v>11577000</v>
      </c>
      <c r="CT98" s="230">
        <v>425000</v>
      </c>
      <c r="CU98" s="229">
        <v>3.6700000000000003E-2</v>
      </c>
      <c r="CV98" s="230">
        <v>114903000</v>
      </c>
      <c r="CW98" s="230">
        <v>113352600</v>
      </c>
      <c r="CX98" s="230">
        <v>1550400</v>
      </c>
      <c r="CY98" s="229">
        <v>1.37E-2</v>
      </c>
      <c r="CZ98" s="228">
        <v>31.28</v>
      </c>
      <c r="DA98" s="228">
        <v>30.3</v>
      </c>
      <c r="DB98" s="228">
        <v>0.98</v>
      </c>
      <c r="DC98" s="228">
        <v>0.98</v>
      </c>
      <c r="DD98" s="228">
        <v>40.200000000000003</v>
      </c>
      <c r="DE98" s="228">
        <v>40.31</v>
      </c>
      <c r="DF98" s="228">
        <v>-8.92</v>
      </c>
      <c r="DG98" s="228">
        <v>-0.11</v>
      </c>
      <c r="DH98" s="228">
        <v>31.04</v>
      </c>
      <c r="DI98" s="228">
        <v>29.92</v>
      </c>
      <c r="DJ98" s="228">
        <v>1.1200000000000001</v>
      </c>
      <c r="DK98" s="228">
        <v>1.1200000000000001</v>
      </c>
      <c r="DL98" s="228">
        <v>31.89</v>
      </c>
      <c r="DM98" s="228">
        <v>31.12</v>
      </c>
      <c r="DN98" s="228">
        <v>0.77</v>
      </c>
      <c r="DO98" s="228">
        <v>0.77</v>
      </c>
      <c r="DP98" s="228">
        <v>0.7</v>
      </c>
      <c r="DQ98" s="228">
        <v>0.74</v>
      </c>
      <c r="DR98" s="228">
        <v>-0.04</v>
      </c>
      <c r="DS98" s="229">
        <v>-5.4100000000000002E-2</v>
      </c>
      <c r="DT98" s="228">
        <v>400</v>
      </c>
      <c r="DU98" s="228">
        <v>340</v>
      </c>
      <c r="DV98" s="228">
        <v>0.4</v>
      </c>
      <c r="DW98" s="228">
        <v>0.47</v>
      </c>
      <c r="DX98" s="228">
        <v>-7.0000000000000007E-2</v>
      </c>
      <c r="DY98" s="229">
        <v>-0.1489</v>
      </c>
      <c r="DZ98" s="229">
        <v>1.4800000000000001E-2</v>
      </c>
      <c r="EA98" s="230">
        <v>1178100</v>
      </c>
      <c r="EB98" s="229">
        <v>5.1000000000000004E-3</v>
      </c>
      <c r="EC98" s="229">
        <v>1.4800000000000001E-2</v>
      </c>
      <c r="ED98" s="228">
        <v>1.86</v>
      </c>
      <c r="EE98" s="229">
        <v>5.3E-3</v>
      </c>
      <c r="EF98" s="230">
        <v>1235803</v>
      </c>
      <c r="EG98" s="230">
        <v>1489710</v>
      </c>
      <c r="EH98" s="229">
        <v>-0.1704</v>
      </c>
      <c r="EI98" s="229">
        <v>0.40860000000000002</v>
      </c>
      <c r="EJ98" s="231">
        <v>90982.16</v>
      </c>
      <c r="EK98" s="231">
        <v>34288.43</v>
      </c>
      <c r="EL98" s="231">
        <v>34196.18</v>
      </c>
      <c r="EM98" s="231">
        <v>13471</v>
      </c>
      <c r="EN98" s="231">
        <v>159466.76999999999</v>
      </c>
      <c r="EO98" s="231">
        <v>98559.02</v>
      </c>
      <c r="EP98" s="231">
        <v>60907.75</v>
      </c>
      <c r="EQ98" s="229">
        <v>0.61799999999999999</v>
      </c>
      <c r="ER98" s="231">
        <v>63857</v>
      </c>
      <c r="ES98" s="231">
        <v>41243</v>
      </c>
      <c r="ET98" s="231">
        <v>304566</v>
      </c>
      <c r="EU98" s="231">
        <v>197705578</v>
      </c>
      <c r="EV98" s="231">
        <v>409666</v>
      </c>
      <c r="EW98" s="231">
        <v>404393</v>
      </c>
      <c r="EX98" s="231">
        <v>5273</v>
      </c>
      <c r="EY98" s="229">
        <v>1.2999999999999999E-2</v>
      </c>
      <c r="EZ98" s="229">
        <v>0.58120000000000005</v>
      </c>
      <c r="FA98" s="227" t="s">
        <v>568</v>
      </c>
      <c r="FB98" s="161">
        <f t="shared" si="1"/>
        <v>1266500</v>
      </c>
    </row>
    <row r="99" spans="1:158" ht="17.25" hidden="1" thickBot="1" x14ac:dyDescent="0.3">
      <c r="A99" s="226">
        <v>45936</v>
      </c>
      <c r="B99" s="227" t="s">
        <v>221</v>
      </c>
      <c r="C99" s="227" t="s">
        <v>240</v>
      </c>
      <c r="D99" s="228">
        <v>400</v>
      </c>
      <c r="E99" s="231">
        <v>1471.1</v>
      </c>
      <c r="F99" s="231">
        <v>1442.3</v>
      </c>
      <c r="G99" s="228">
        <v>28.8</v>
      </c>
      <c r="H99" s="229">
        <v>0.02</v>
      </c>
      <c r="I99" s="231">
        <v>1476</v>
      </c>
      <c r="J99" s="231">
        <v>1446.6</v>
      </c>
      <c r="K99" s="228">
        <v>29.4</v>
      </c>
      <c r="L99" s="229">
        <v>2.0299999999999999E-2</v>
      </c>
      <c r="M99" s="231">
        <v>1471.1</v>
      </c>
      <c r="N99" s="231">
        <v>1442.3</v>
      </c>
      <c r="O99" s="228">
        <v>28.8</v>
      </c>
      <c r="P99" s="229">
        <v>0.02</v>
      </c>
      <c r="Q99" s="231">
        <v>1461.4</v>
      </c>
      <c r="R99" s="231">
        <v>1434.7</v>
      </c>
      <c r="S99" s="228">
        <v>26.7</v>
      </c>
      <c r="T99" s="229">
        <v>1.8599999999999998E-2</v>
      </c>
      <c r="U99" s="231">
        <v>1467.2</v>
      </c>
      <c r="V99" s="231">
        <v>1441</v>
      </c>
      <c r="W99" s="228">
        <v>26.2</v>
      </c>
      <c r="X99" s="229">
        <v>1.8200000000000001E-2</v>
      </c>
      <c r="Y99" s="228">
        <v>-4.9000000000000004</v>
      </c>
      <c r="Z99" s="228">
        <v>-4.3</v>
      </c>
      <c r="AA99" s="228">
        <v>-0.6</v>
      </c>
      <c r="AB99" s="229">
        <v>-3.3E-3</v>
      </c>
      <c r="AC99" s="228">
        <v>-4.9000000000000004</v>
      </c>
      <c r="AD99" s="228">
        <v>-4.3</v>
      </c>
      <c r="AE99" s="228">
        <v>-0.6</v>
      </c>
      <c r="AF99" s="229">
        <v>-3.3E-3</v>
      </c>
      <c r="AG99" s="228">
        <v>-14.6</v>
      </c>
      <c r="AH99" s="228">
        <v>-11.9</v>
      </c>
      <c r="AI99" s="228">
        <v>-2.7</v>
      </c>
      <c r="AJ99" s="229">
        <v>-9.9000000000000008E-3</v>
      </c>
      <c r="AK99" s="228">
        <v>-8.8000000000000007</v>
      </c>
      <c r="AL99" s="228">
        <v>-5.6</v>
      </c>
      <c r="AM99" s="228">
        <v>-3.2</v>
      </c>
      <c r="AN99" s="229">
        <v>-6.0000000000000001E-3</v>
      </c>
      <c r="AO99" s="231">
        <v>1459.66</v>
      </c>
      <c r="AP99" s="231">
        <v>1451.31</v>
      </c>
      <c r="AQ99" s="228">
        <v>0</v>
      </c>
      <c r="AR99" s="230">
        <v>11422400</v>
      </c>
      <c r="AS99" s="230">
        <v>6704400</v>
      </c>
      <c r="AT99" s="230">
        <v>4718000</v>
      </c>
      <c r="AU99" s="229">
        <v>0.70369999999999999</v>
      </c>
      <c r="AV99" s="230">
        <v>10343600</v>
      </c>
      <c r="AW99" s="230">
        <v>6238400</v>
      </c>
      <c r="AX99" s="230">
        <v>4105200</v>
      </c>
      <c r="AY99" s="229">
        <v>0.65810000000000002</v>
      </c>
      <c r="AZ99" s="230">
        <v>1004800</v>
      </c>
      <c r="BA99" s="230">
        <v>371600</v>
      </c>
      <c r="BB99" s="230">
        <v>633200</v>
      </c>
      <c r="BC99" s="229">
        <v>1.704</v>
      </c>
      <c r="BD99" s="230">
        <v>74000</v>
      </c>
      <c r="BE99" s="230">
        <v>94400</v>
      </c>
      <c r="BF99" s="230">
        <v>-20400</v>
      </c>
      <c r="BG99" s="229">
        <v>-0.21609999999999999</v>
      </c>
      <c r="BH99" s="230">
        <v>27276400</v>
      </c>
      <c r="BI99" s="230">
        <v>14551600</v>
      </c>
      <c r="BJ99" s="230">
        <v>12724800</v>
      </c>
      <c r="BK99" s="229">
        <v>0.87450000000000006</v>
      </c>
      <c r="BL99" s="230">
        <v>13668400</v>
      </c>
      <c r="BM99" s="230">
        <v>7626000</v>
      </c>
      <c r="BN99" s="230">
        <v>6042400</v>
      </c>
      <c r="BO99" s="229">
        <v>0.7923</v>
      </c>
      <c r="BP99" s="230">
        <v>52367200</v>
      </c>
      <c r="BQ99" s="230">
        <v>28882000</v>
      </c>
      <c r="BR99" s="230">
        <v>23485200</v>
      </c>
      <c r="BS99" s="229">
        <v>0.81310000000000004</v>
      </c>
      <c r="BT99" s="230">
        <v>4709117</v>
      </c>
      <c r="BU99" s="230">
        <v>7016992</v>
      </c>
      <c r="BV99" s="230">
        <v>-2307875</v>
      </c>
      <c r="BW99" s="229">
        <v>-0.32890000000000003</v>
      </c>
      <c r="BX99" s="230">
        <v>61686000</v>
      </c>
      <c r="BY99" s="230">
        <v>61210000</v>
      </c>
      <c r="BZ99" s="230">
        <v>476000</v>
      </c>
      <c r="CA99" s="229">
        <v>7.7999999999999996E-3</v>
      </c>
      <c r="CB99" s="230">
        <v>41775600</v>
      </c>
      <c r="CC99" s="230">
        <v>41575200</v>
      </c>
      <c r="CD99" s="230">
        <v>200400</v>
      </c>
      <c r="CE99" s="229">
        <v>4.7999999999999996E-3</v>
      </c>
      <c r="CF99" s="230">
        <v>19802400</v>
      </c>
      <c r="CG99" s="230">
        <v>19527600</v>
      </c>
      <c r="CH99" s="230">
        <v>274800</v>
      </c>
      <c r="CI99" s="229">
        <v>1.41E-2</v>
      </c>
      <c r="CJ99" s="230">
        <v>108000</v>
      </c>
      <c r="CK99" s="230">
        <v>107200</v>
      </c>
      <c r="CL99" s="228">
        <v>800</v>
      </c>
      <c r="CM99" s="229">
        <v>7.4999999999999997E-3</v>
      </c>
      <c r="CN99" s="230">
        <v>16860800</v>
      </c>
      <c r="CO99" s="230">
        <v>17142800</v>
      </c>
      <c r="CP99" s="230">
        <v>-282000</v>
      </c>
      <c r="CQ99" s="229">
        <v>-1.6500000000000001E-2</v>
      </c>
      <c r="CR99" s="230">
        <v>14902400</v>
      </c>
      <c r="CS99" s="230">
        <v>15046800</v>
      </c>
      <c r="CT99" s="230">
        <v>-144400</v>
      </c>
      <c r="CU99" s="229">
        <v>-9.5999999999999992E-3</v>
      </c>
      <c r="CV99" s="230">
        <v>93449200</v>
      </c>
      <c r="CW99" s="230">
        <v>93399600</v>
      </c>
      <c r="CX99" s="230">
        <v>49600</v>
      </c>
      <c r="CY99" s="229">
        <v>5.0000000000000001E-4</v>
      </c>
      <c r="CZ99" s="228">
        <v>27.34</v>
      </c>
      <c r="DA99" s="228">
        <v>27.19</v>
      </c>
      <c r="DB99" s="228">
        <v>0.15</v>
      </c>
      <c r="DC99" s="228">
        <v>0.15</v>
      </c>
      <c r="DD99" s="228">
        <v>29.51</v>
      </c>
      <c r="DE99" s="228">
        <v>29.45</v>
      </c>
      <c r="DF99" s="228">
        <v>-2.17</v>
      </c>
      <c r="DG99" s="228">
        <v>0.06</v>
      </c>
      <c r="DH99" s="228">
        <v>27</v>
      </c>
      <c r="DI99" s="228">
        <v>27.22</v>
      </c>
      <c r="DJ99" s="228">
        <v>-0.22</v>
      </c>
      <c r="DK99" s="228">
        <v>-0.22</v>
      </c>
      <c r="DL99" s="228">
        <v>28.03</v>
      </c>
      <c r="DM99" s="228">
        <v>27.14</v>
      </c>
      <c r="DN99" s="228">
        <v>0.89</v>
      </c>
      <c r="DO99" s="228">
        <v>0.89</v>
      </c>
      <c r="DP99" s="228">
        <v>0.88</v>
      </c>
      <c r="DQ99" s="228">
        <v>0.88</v>
      </c>
      <c r="DR99" s="228">
        <v>0</v>
      </c>
      <c r="DS99" s="229">
        <v>0</v>
      </c>
      <c r="DT99" s="231">
        <v>1500</v>
      </c>
      <c r="DU99" s="231">
        <v>1500</v>
      </c>
      <c r="DV99" s="228">
        <v>0.5</v>
      </c>
      <c r="DW99" s="228">
        <v>0.52</v>
      </c>
      <c r="DX99" s="228">
        <v>-0.02</v>
      </c>
      <c r="DY99" s="229">
        <v>-3.85E-2</v>
      </c>
      <c r="DZ99" s="229">
        <v>0.32279999999999998</v>
      </c>
      <c r="EA99" s="230">
        <v>19634800</v>
      </c>
      <c r="EB99" s="229">
        <v>-6.6E-3</v>
      </c>
      <c r="EC99" s="229">
        <v>0.32279999999999998</v>
      </c>
      <c r="ED99" s="228">
        <v>-8.35</v>
      </c>
      <c r="EE99" s="229">
        <v>-5.7000000000000002E-3</v>
      </c>
      <c r="EF99" s="230">
        <v>2687853</v>
      </c>
      <c r="EG99" s="230">
        <v>4550091</v>
      </c>
      <c r="EH99" s="229">
        <v>-0.4093</v>
      </c>
      <c r="EI99" s="229">
        <v>0.57079999999999997</v>
      </c>
      <c r="EJ99" s="231">
        <v>418752.61</v>
      </c>
      <c r="EK99" s="231">
        <v>195669.1</v>
      </c>
      <c r="EL99" s="231">
        <v>166640.17000000001</v>
      </c>
      <c r="EM99" s="231">
        <v>51269</v>
      </c>
      <c r="EN99" s="231">
        <v>781061.88</v>
      </c>
      <c r="EO99" s="231">
        <v>426265.99</v>
      </c>
      <c r="EP99" s="231">
        <v>354795.89</v>
      </c>
      <c r="EQ99" s="229">
        <v>0.83230000000000004</v>
      </c>
      <c r="ER99" s="231">
        <v>259108</v>
      </c>
      <c r="ES99" s="231">
        <v>213734</v>
      </c>
      <c r="ET99" s="231">
        <v>905538</v>
      </c>
      <c r="EU99" s="231">
        <v>341789333</v>
      </c>
      <c r="EV99" s="231">
        <v>1378380</v>
      </c>
      <c r="EW99" s="231">
        <v>1359509</v>
      </c>
      <c r="EX99" s="231">
        <v>18871</v>
      </c>
      <c r="EY99" s="229">
        <v>1.3899999999999999E-2</v>
      </c>
      <c r="EZ99" s="229">
        <v>0.27339999999999998</v>
      </c>
      <c r="FA99" s="227" t="s">
        <v>555</v>
      </c>
      <c r="FB99" s="161">
        <f t="shared" si="1"/>
        <v>19910400</v>
      </c>
    </row>
    <row r="100" spans="1:158" ht="17.25" hidden="1" thickBot="1" x14ac:dyDescent="0.3">
      <c r="A100" s="226">
        <v>45936</v>
      </c>
      <c r="B100" s="227" t="s">
        <v>161</v>
      </c>
      <c r="C100" s="227" t="s">
        <v>671</v>
      </c>
      <c r="D100" s="228">
        <v>3272</v>
      </c>
      <c r="E100" s="228">
        <v>140.16</v>
      </c>
      <c r="F100" s="228">
        <v>142.43</v>
      </c>
      <c r="G100" s="228">
        <v>-2.27</v>
      </c>
      <c r="H100" s="229">
        <v>-1.5900000000000001E-2</v>
      </c>
      <c r="I100" s="228">
        <v>139.38</v>
      </c>
      <c r="J100" s="228">
        <v>141.37</v>
      </c>
      <c r="K100" s="228">
        <v>-1.99</v>
      </c>
      <c r="L100" s="229">
        <v>-1.41E-2</v>
      </c>
      <c r="M100" s="228">
        <v>140.16</v>
      </c>
      <c r="N100" s="228">
        <v>142.43</v>
      </c>
      <c r="O100" s="228">
        <v>-2.27</v>
      </c>
      <c r="P100" s="229">
        <v>-1.5900000000000001E-2</v>
      </c>
      <c r="Q100" s="228">
        <v>140.99</v>
      </c>
      <c r="R100" s="228">
        <v>143.31</v>
      </c>
      <c r="S100" s="228">
        <v>-2.3199999999999998</v>
      </c>
      <c r="T100" s="229">
        <v>-1.6199999999999999E-2</v>
      </c>
      <c r="U100" s="228">
        <v>141.63</v>
      </c>
      <c r="V100" s="228">
        <v>143.82</v>
      </c>
      <c r="W100" s="228">
        <v>-2.19</v>
      </c>
      <c r="X100" s="229">
        <v>-1.52E-2</v>
      </c>
      <c r="Y100" s="228">
        <v>0.78</v>
      </c>
      <c r="Z100" s="228">
        <v>1.06</v>
      </c>
      <c r="AA100" s="228">
        <v>-0.28000000000000003</v>
      </c>
      <c r="AB100" s="229">
        <v>5.5999999999999999E-3</v>
      </c>
      <c r="AC100" s="228">
        <v>0.78</v>
      </c>
      <c r="AD100" s="228">
        <v>1.06</v>
      </c>
      <c r="AE100" s="228">
        <v>-0.28000000000000003</v>
      </c>
      <c r="AF100" s="229">
        <v>5.5999999999999999E-3</v>
      </c>
      <c r="AG100" s="228">
        <v>1.61</v>
      </c>
      <c r="AH100" s="228">
        <v>1.94</v>
      </c>
      <c r="AI100" s="228">
        <v>-0.33</v>
      </c>
      <c r="AJ100" s="229">
        <v>1.1599999999999999E-2</v>
      </c>
      <c r="AK100" s="228">
        <v>2.25</v>
      </c>
      <c r="AL100" s="228">
        <v>2.4500000000000002</v>
      </c>
      <c r="AM100" s="228">
        <v>-0.2</v>
      </c>
      <c r="AN100" s="229">
        <v>1.61E-2</v>
      </c>
      <c r="AO100" s="228">
        <v>140.78</v>
      </c>
      <c r="AP100" s="228">
        <v>141.46</v>
      </c>
      <c r="AQ100" s="228">
        <v>0</v>
      </c>
      <c r="AR100" s="230">
        <v>4018016</v>
      </c>
      <c r="AS100" s="230">
        <v>4780392</v>
      </c>
      <c r="AT100" s="230">
        <v>-762376</v>
      </c>
      <c r="AU100" s="229">
        <v>-0.1595</v>
      </c>
      <c r="AV100" s="230">
        <v>3687544</v>
      </c>
      <c r="AW100" s="230">
        <v>4544808</v>
      </c>
      <c r="AX100" s="230">
        <v>-857264</v>
      </c>
      <c r="AY100" s="229">
        <v>-0.18859999999999999</v>
      </c>
      <c r="AZ100" s="230">
        <v>287936</v>
      </c>
      <c r="BA100" s="230">
        <v>222496</v>
      </c>
      <c r="BB100" s="230">
        <v>65440</v>
      </c>
      <c r="BC100" s="229">
        <v>0.29409999999999997</v>
      </c>
      <c r="BD100" s="230">
        <v>42536</v>
      </c>
      <c r="BE100" s="230">
        <v>13088</v>
      </c>
      <c r="BF100" s="230">
        <v>29448</v>
      </c>
      <c r="BG100" s="229">
        <v>2.25</v>
      </c>
      <c r="BH100" s="230">
        <v>6547272</v>
      </c>
      <c r="BI100" s="230">
        <v>6907192</v>
      </c>
      <c r="BJ100" s="230">
        <v>-359920</v>
      </c>
      <c r="BK100" s="229">
        <v>-5.21E-2</v>
      </c>
      <c r="BL100" s="230">
        <v>2205328</v>
      </c>
      <c r="BM100" s="230">
        <v>1073216</v>
      </c>
      <c r="BN100" s="230">
        <v>1132112</v>
      </c>
      <c r="BO100" s="229">
        <v>1.0548999999999999</v>
      </c>
      <c r="BP100" s="230">
        <v>12770616</v>
      </c>
      <c r="BQ100" s="230">
        <v>12760800</v>
      </c>
      <c r="BR100" s="230">
        <v>9816</v>
      </c>
      <c r="BS100" s="229">
        <v>8.0000000000000004E-4</v>
      </c>
      <c r="BT100" s="230">
        <v>3845522</v>
      </c>
      <c r="BU100" s="230">
        <v>4343597</v>
      </c>
      <c r="BV100" s="230">
        <v>-498075</v>
      </c>
      <c r="BW100" s="229">
        <v>-0.1147</v>
      </c>
      <c r="BX100" s="230">
        <v>48857504</v>
      </c>
      <c r="BY100" s="230">
        <v>47777744</v>
      </c>
      <c r="BZ100" s="230">
        <v>1079760</v>
      </c>
      <c r="CA100" s="229">
        <v>2.2599999999999999E-2</v>
      </c>
      <c r="CB100" s="230">
        <v>47440728</v>
      </c>
      <c r="CC100" s="230">
        <v>46537656</v>
      </c>
      <c r="CD100" s="230">
        <v>903072</v>
      </c>
      <c r="CE100" s="229">
        <v>1.9400000000000001E-2</v>
      </c>
      <c r="CF100" s="230">
        <v>1344792</v>
      </c>
      <c r="CG100" s="230">
        <v>1204096</v>
      </c>
      <c r="CH100" s="230">
        <v>140696</v>
      </c>
      <c r="CI100" s="229">
        <v>0.1168</v>
      </c>
      <c r="CJ100" s="230">
        <v>71984</v>
      </c>
      <c r="CK100" s="230">
        <v>35992</v>
      </c>
      <c r="CL100" s="230">
        <v>35992</v>
      </c>
      <c r="CM100" s="229">
        <v>1</v>
      </c>
      <c r="CN100" s="230">
        <v>13559168</v>
      </c>
      <c r="CO100" s="230">
        <v>11726848</v>
      </c>
      <c r="CP100" s="230">
        <v>1832320</v>
      </c>
      <c r="CQ100" s="229">
        <v>0.15629999999999999</v>
      </c>
      <c r="CR100" s="230">
        <v>7505968</v>
      </c>
      <c r="CS100" s="230">
        <v>6871200</v>
      </c>
      <c r="CT100" s="230">
        <v>634768</v>
      </c>
      <c r="CU100" s="229">
        <v>9.2399999999999996E-2</v>
      </c>
      <c r="CV100" s="230">
        <v>69922640</v>
      </c>
      <c r="CW100" s="230">
        <v>66375792</v>
      </c>
      <c r="CX100" s="230">
        <v>3546848</v>
      </c>
      <c r="CY100" s="229">
        <v>5.3400000000000003E-2</v>
      </c>
      <c r="CZ100" s="228">
        <v>36.31</v>
      </c>
      <c r="DA100" s="228">
        <v>34.229999999999997</v>
      </c>
      <c r="DB100" s="228">
        <v>2.08</v>
      </c>
      <c r="DC100" s="228">
        <v>2.08</v>
      </c>
      <c r="DD100" s="228">
        <v>57.47</v>
      </c>
      <c r="DE100" s="228">
        <v>57.58</v>
      </c>
      <c r="DF100" s="228">
        <v>-21.16</v>
      </c>
      <c r="DG100" s="228">
        <v>-0.11</v>
      </c>
      <c r="DH100" s="228">
        <v>36.630000000000003</v>
      </c>
      <c r="DI100" s="228">
        <v>34.340000000000003</v>
      </c>
      <c r="DJ100" s="228">
        <v>2.29</v>
      </c>
      <c r="DK100" s="228">
        <v>2.29</v>
      </c>
      <c r="DL100" s="228">
        <v>35.380000000000003</v>
      </c>
      <c r="DM100" s="228">
        <v>33.57</v>
      </c>
      <c r="DN100" s="228">
        <v>1.81</v>
      </c>
      <c r="DO100" s="228">
        <v>1.81</v>
      </c>
      <c r="DP100" s="228">
        <v>0.55000000000000004</v>
      </c>
      <c r="DQ100" s="228">
        <v>0.59</v>
      </c>
      <c r="DR100" s="228">
        <v>-0.04</v>
      </c>
      <c r="DS100" s="229">
        <v>-6.7799999999999999E-2</v>
      </c>
      <c r="DT100" s="228">
        <v>150</v>
      </c>
      <c r="DU100" s="228">
        <v>140</v>
      </c>
      <c r="DV100" s="228">
        <v>0.34</v>
      </c>
      <c r="DW100" s="228">
        <v>0.16</v>
      </c>
      <c r="DX100" s="228">
        <v>0.18</v>
      </c>
      <c r="DY100" s="229">
        <v>1.125</v>
      </c>
      <c r="DZ100" s="229">
        <v>2.9000000000000001E-2</v>
      </c>
      <c r="EA100" s="230">
        <v>1240088</v>
      </c>
      <c r="EB100" s="229">
        <v>5.8999999999999999E-3</v>
      </c>
      <c r="EC100" s="229">
        <v>2.9000000000000001E-2</v>
      </c>
      <c r="ED100" s="228">
        <v>0.68</v>
      </c>
      <c r="EE100" s="229">
        <v>4.7999999999999996E-3</v>
      </c>
      <c r="EF100" s="230">
        <v>1915911</v>
      </c>
      <c r="EG100" s="230">
        <v>2244027</v>
      </c>
      <c r="EH100" s="229">
        <v>-0.1462</v>
      </c>
      <c r="EI100" s="229">
        <v>0.49819999999999998</v>
      </c>
      <c r="EJ100" s="231">
        <v>9889.89</v>
      </c>
      <c r="EK100" s="231">
        <v>3134.42</v>
      </c>
      <c r="EL100" s="231">
        <v>5658.94</v>
      </c>
      <c r="EM100" s="231">
        <v>5310</v>
      </c>
      <c r="EN100" s="231">
        <v>18683.25</v>
      </c>
      <c r="EO100" s="231">
        <v>18968.89</v>
      </c>
      <c r="EP100" s="228">
        <v>-285.64</v>
      </c>
      <c r="EQ100" s="229">
        <v>-1.5100000000000001E-2</v>
      </c>
      <c r="ER100" s="231">
        <v>20575</v>
      </c>
      <c r="ES100" s="231">
        <v>10629</v>
      </c>
      <c r="ET100" s="231">
        <v>68491</v>
      </c>
      <c r="EU100" s="231">
        <v>144708707</v>
      </c>
      <c r="EV100" s="231">
        <v>99694</v>
      </c>
      <c r="EW100" s="231">
        <v>95681</v>
      </c>
      <c r="EX100" s="231">
        <v>4013</v>
      </c>
      <c r="EY100" s="229">
        <v>4.19E-2</v>
      </c>
      <c r="EZ100" s="229">
        <v>0.48320000000000002</v>
      </c>
      <c r="FA100" s="227" t="s">
        <v>567</v>
      </c>
      <c r="FB100" s="161">
        <f t="shared" si="1"/>
        <v>1416776</v>
      </c>
    </row>
    <row r="101" spans="1:158" ht="17.25" hidden="1" thickBot="1" x14ac:dyDescent="0.3">
      <c r="A101" s="226">
        <v>45936</v>
      </c>
      <c r="B101" s="227" t="s">
        <v>193</v>
      </c>
      <c r="C101" s="227" t="s">
        <v>241</v>
      </c>
      <c r="D101" s="228">
        <v>4875</v>
      </c>
      <c r="E101" s="228">
        <v>155.72</v>
      </c>
      <c r="F101" s="228">
        <v>151.32</v>
      </c>
      <c r="G101" s="228">
        <v>4.4000000000000004</v>
      </c>
      <c r="H101" s="229">
        <v>2.9100000000000001E-2</v>
      </c>
      <c r="I101" s="228">
        <v>154.84</v>
      </c>
      <c r="J101" s="228">
        <v>150.38999999999999</v>
      </c>
      <c r="K101" s="228">
        <v>4.45</v>
      </c>
      <c r="L101" s="229">
        <v>2.9600000000000001E-2</v>
      </c>
      <c r="M101" s="228">
        <v>155.72</v>
      </c>
      <c r="N101" s="228">
        <v>151.32</v>
      </c>
      <c r="O101" s="228">
        <v>4.4000000000000004</v>
      </c>
      <c r="P101" s="229">
        <v>2.9100000000000001E-2</v>
      </c>
      <c r="Q101" s="228">
        <v>156.29</v>
      </c>
      <c r="R101" s="228">
        <v>151.9</v>
      </c>
      <c r="S101" s="228">
        <v>4.3899999999999997</v>
      </c>
      <c r="T101" s="229">
        <v>2.8899999999999999E-2</v>
      </c>
      <c r="U101" s="228">
        <v>157.26</v>
      </c>
      <c r="V101" s="228">
        <v>152.86000000000001</v>
      </c>
      <c r="W101" s="228">
        <v>4.4000000000000004</v>
      </c>
      <c r="X101" s="229">
        <v>2.8799999999999999E-2</v>
      </c>
      <c r="Y101" s="228">
        <v>0.88</v>
      </c>
      <c r="Z101" s="228">
        <v>0.93</v>
      </c>
      <c r="AA101" s="228">
        <v>-0.05</v>
      </c>
      <c r="AB101" s="229">
        <v>5.7000000000000002E-3</v>
      </c>
      <c r="AC101" s="228">
        <v>0.88</v>
      </c>
      <c r="AD101" s="228">
        <v>0.93</v>
      </c>
      <c r="AE101" s="228">
        <v>-0.05</v>
      </c>
      <c r="AF101" s="229">
        <v>5.7000000000000002E-3</v>
      </c>
      <c r="AG101" s="228">
        <v>1.45</v>
      </c>
      <c r="AH101" s="228">
        <v>1.51</v>
      </c>
      <c r="AI101" s="228">
        <v>-0.06</v>
      </c>
      <c r="AJ101" s="229">
        <v>9.4000000000000004E-3</v>
      </c>
      <c r="AK101" s="228">
        <v>2.42</v>
      </c>
      <c r="AL101" s="228">
        <v>2.4700000000000002</v>
      </c>
      <c r="AM101" s="228">
        <v>-0.05</v>
      </c>
      <c r="AN101" s="229">
        <v>1.5599999999999999E-2</v>
      </c>
      <c r="AO101" s="228">
        <v>154.15</v>
      </c>
      <c r="AP101" s="228">
        <v>154.56</v>
      </c>
      <c r="AQ101" s="228">
        <v>0</v>
      </c>
      <c r="AR101" s="230">
        <v>28275000</v>
      </c>
      <c r="AS101" s="230">
        <v>12065625</v>
      </c>
      <c r="AT101" s="230">
        <v>16209375</v>
      </c>
      <c r="AU101" s="229">
        <v>1.3433999999999999</v>
      </c>
      <c r="AV101" s="230">
        <v>26490750</v>
      </c>
      <c r="AW101" s="230">
        <v>10949250</v>
      </c>
      <c r="AX101" s="230">
        <v>15541500</v>
      </c>
      <c r="AY101" s="229">
        <v>1.4194</v>
      </c>
      <c r="AZ101" s="230">
        <v>1496625</v>
      </c>
      <c r="BA101" s="230">
        <v>970125</v>
      </c>
      <c r="BB101" s="230">
        <v>526500</v>
      </c>
      <c r="BC101" s="229">
        <v>0.54269999999999996</v>
      </c>
      <c r="BD101" s="230">
        <v>287625</v>
      </c>
      <c r="BE101" s="230">
        <v>146250</v>
      </c>
      <c r="BF101" s="230">
        <v>141375</v>
      </c>
      <c r="BG101" s="229">
        <v>0.9667</v>
      </c>
      <c r="BH101" s="230">
        <v>88101000</v>
      </c>
      <c r="BI101" s="230">
        <v>35041500</v>
      </c>
      <c r="BJ101" s="230">
        <v>53059500</v>
      </c>
      <c r="BK101" s="229">
        <v>1.5142</v>
      </c>
      <c r="BL101" s="230">
        <v>42329625</v>
      </c>
      <c r="BM101" s="230">
        <v>16731000</v>
      </c>
      <c r="BN101" s="230">
        <v>25598625</v>
      </c>
      <c r="BO101" s="229">
        <v>1.53</v>
      </c>
      <c r="BP101" s="230">
        <v>158705625</v>
      </c>
      <c r="BQ101" s="230">
        <v>63838125</v>
      </c>
      <c r="BR101" s="230">
        <v>94867500</v>
      </c>
      <c r="BS101" s="229">
        <v>1.4861</v>
      </c>
      <c r="BT101" s="230">
        <v>20534851</v>
      </c>
      <c r="BU101" s="230">
        <v>6527332</v>
      </c>
      <c r="BV101" s="230">
        <v>14007519</v>
      </c>
      <c r="BW101" s="229">
        <v>2.1459999999999999</v>
      </c>
      <c r="BX101" s="230">
        <v>89446500</v>
      </c>
      <c r="BY101" s="230">
        <v>84917625</v>
      </c>
      <c r="BZ101" s="230">
        <v>4528875</v>
      </c>
      <c r="CA101" s="229">
        <v>5.33E-2</v>
      </c>
      <c r="CB101" s="230">
        <v>86814000</v>
      </c>
      <c r="CC101" s="230">
        <v>82499625</v>
      </c>
      <c r="CD101" s="230">
        <v>4314375</v>
      </c>
      <c r="CE101" s="229">
        <v>5.2299999999999999E-2</v>
      </c>
      <c r="CF101" s="230">
        <v>2481375</v>
      </c>
      <c r="CG101" s="230">
        <v>2310750</v>
      </c>
      <c r="CH101" s="230">
        <v>170625</v>
      </c>
      <c r="CI101" s="229">
        <v>7.3800000000000004E-2</v>
      </c>
      <c r="CJ101" s="230">
        <v>151125</v>
      </c>
      <c r="CK101" s="230">
        <v>107250</v>
      </c>
      <c r="CL101" s="230">
        <v>43875</v>
      </c>
      <c r="CM101" s="229">
        <v>0.40910000000000002</v>
      </c>
      <c r="CN101" s="230">
        <v>31697250</v>
      </c>
      <c r="CO101" s="230">
        <v>29615625</v>
      </c>
      <c r="CP101" s="230">
        <v>2081625</v>
      </c>
      <c r="CQ101" s="229">
        <v>7.0300000000000001E-2</v>
      </c>
      <c r="CR101" s="230">
        <v>23487750</v>
      </c>
      <c r="CS101" s="230">
        <v>19514625</v>
      </c>
      <c r="CT101" s="230">
        <v>3973125</v>
      </c>
      <c r="CU101" s="229">
        <v>0.2036</v>
      </c>
      <c r="CV101" s="230">
        <v>144631500</v>
      </c>
      <c r="CW101" s="230">
        <v>134047875</v>
      </c>
      <c r="CX101" s="230">
        <v>10583625</v>
      </c>
      <c r="CY101" s="229">
        <v>7.9000000000000001E-2</v>
      </c>
      <c r="CZ101" s="228">
        <v>23.35</v>
      </c>
      <c r="DA101" s="228">
        <v>22.17</v>
      </c>
      <c r="DB101" s="228">
        <v>1.18</v>
      </c>
      <c r="DC101" s="228">
        <v>1.18</v>
      </c>
      <c r="DD101" s="228">
        <v>32.42</v>
      </c>
      <c r="DE101" s="228">
        <v>32.270000000000003</v>
      </c>
      <c r="DF101" s="228">
        <v>-9.07</v>
      </c>
      <c r="DG101" s="228">
        <v>0.15</v>
      </c>
      <c r="DH101" s="228">
        <v>23.1</v>
      </c>
      <c r="DI101" s="228">
        <v>22.19</v>
      </c>
      <c r="DJ101" s="228">
        <v>0.91</v>
      </c>
      <c r="DK101" s="228">
        <v>0.91</v>
      </c>
      <c r="DL101" s="228">
        <v>23.85</v>
      </c>
      <c r="DM101" s="228">
        <v>22.14</v>
      </c>
      <c r="DN101" s="228">
        <v>1.71</v>
      </c>
      <c r="DO101" s="228">
        <v>1.71</v>
      </c>
      <c r="DP101" s="228">
        <v>0.74</v>
      </c>
      <c r="DQ101" s="228">
        <v>0.66</v>
      </c>
      <c r="DR101" s="228">
        <v>0.08</v>
      </c>
      <c r="DS101" s="229">
        <v>0.1212</v>
      </c>
      <c r="DT101" s="228">
        <v>150</v>
      </c>
      <c r="DU101" s="228">
        <v>150</v>
      </c>
      <c r="DV101" s="228">
        <v>0.48</v>
      </c>
      <c r="DW101" s="228">
        <v>0.48</v>
      </c>
      <c r="DX101" s="228">
        <v>0</v>
      </c>
      <c r="DY101" s="229">
        <v>0</v>
      </c>
      <c r="DZ101" s="229">
        <v>2.9399999999999999E-2</v>
      </c>
      <c r="EA101" s="230">
        <v>2418000</v>
      </c>
      <c r="EB101" s="229">
        <v>3.7000000000000002E-3</v>
      </c>
      <c r="EC101" s="229">
        <v>2.9399999999999999E-2</v>
      </c>
      <c r="ED101" s="228">
        <v>0.41</v>
      </c>
      <c r="EE101" s="229">
        <v>2.7000000000000001E-3</v>
      </c>
      <c r="EF101" s="230">
        <v>10872278</v>
      </c>
      <c r="EG101" s="230">
        <v>3116081</v>
      </c>
      <c r="EH101" s="229">
        <v>2.4891000000000001</v>
      </c>
      <c r="EI101" s="229">
        <v>0.52949999999999997</v>
      </c>
      <c r="EJ101" s="231">
        <v>140005.04</v>
      </c>
      <c r="EK101" s="231">
        <v>64178.1</v>
      </c>
      <c r="EL101" s="231">
        <v>43597.120000000003</v>
      </c>
      <c r="EM101" s="231">
        <v>6320</v>
      </c>
      <c r="EN101" s="231">
        <v>247780.26</v>
      </c>
      <c r="EO101" s="231">
        <v>98185.06</v>
      </c>
      <c r="EP101" s="231">
        <v>149595.20000000001</v>
      </c>
      <c r="EQ101" s="229">
        <v>1.5236000000000001</v>
      </c>
      <c r="ER101" s="231">
        <v>49159</v>
      </c>
      <c r="ES101" s="231">
        <v>34570</v>
      </c>
      <c r="ET101" s="231">
        <v>139303</v>
      </c>
      <c r="EU101" s="231">
        <v>684903861</v>
      </c>
      <c r="EV101" s="231">
        <v>223032</v>
      </c>
      <c r="EW101" s="231">
        <v>202575</v>
      </c>
      <c r="EX101" s="231">
        <v>20457</v>
      </c>
      <c r="EY101" s="229">
        <v>0.10100000000000001</v>
      </c>
      <c r="EZ101" s="229">
        <v>0.2112</v>
      </c>
      <c r="FA101" s="227" t="s">
        <v>555</v>
      </c>
      <c r="FB101" s="161">
        <f t="shared" si="1"/>
        <v>2632500</v>
      </c>
    </row>
    <row r="102" spans="1:158" ht="17.25" hidden="1" thickBot="1" x14ac:dyDescent="0.3">
      <c r="A102" s="226">
        <v>45936</v>
      </c>
      <c r="B102" s="227" t="s">
        <v>215</v>
      </c>
      <c r="C102" s="227" t="s">
        <v>490</v>
      </c>
      <c r="D102" s="228">
        <v>875</v>
      </c>
      <c r="E102" s="228">
        <v>714.1</v>
      </c>
      <c r="F102" s="228">
        <v>711.75</v>
      </c>
      <c r="G102" s="228">
        <v>2.35</v>
      </c>
      <c r="H102" s="229">
        <v>3.3E-3</v>
      </c>
      <c r="I102" s="228">
        <v>710.25</v>
      </c>
      <c r="J102" s="228">
        <v>707.5</v>
      </c>
      <c r="K102" s="228">
        <v>2.75</v>
      </c>
      <c r="L102" s="229">
        <v>3.8999999999999998E-3</v>
      </c>
      <c r="M102" s="228">
        <v>714.1</v>
      </c>
      <c r="N102" s="228">
        <v>711.75</v>
      </c>
      <c r="O102" s="228">
        <v>2.35</v>
      </c>
      <c r="P102" s="229">
        <v>3.3E-3</v>
      </c>
      <c r="Q102" s="228">
        <v>715.4</v>
      </c>
      <c r="R102" s="228">
        <v>712.65</v>
      </c>
      <c r="S102" s="228">
        <v>2.75</v>
      </c>
      <c r="T102" s="229">
        <v>3.8999999999999998E-3</v>
      </c>
      <c r="U102" s="228">
        <v>719.85</v>
      </c>
      <c r="V102" s="228">
        <v>717.6</v>
      </c>
      <c r="W102" s="228">
        <v>2.25</v>
      </c>
      <c r="X102" s="229">
        <v>3.0999999999999999E-3</v>
      </c>
      <c r="Y102" s="228">
        <v>3.85</v>
      </c>
      <c r="Z102" s="228">
        <v>4.25</v>
      </c>
      <c r="AA102" s="228">
        <v>-0.4</v>
      </c>
      <c r="AB102" s="229">
        <v>5.4000000000000003E-3</v>
      </c>
      <c r="AC102" s="228">
        <v>3.85</v>
      </c>
      <c r="AD102" s="228">
        <v>4.25</v>
      </c>
      <c r="AE102" s="228">
        <v>-0.4</v>
      </c>
      <c r="AF102" s="229">
        <v>5.4000000000000003E-3</v>
      </c>
      <c r="AG102" s="228">
        <v>5.15</v>
      </c>
      <c r="AH102" s="228">
        <v>5.15</v>
      </c>
      <c r="AI102" s="228">
        <v>0</v>
      </c>
      <c r="AJ102" s="229">
        <v>7.3000000000000001E-3</v>
      </c>
      <c r="AK102" s="228">
        <v>9.6</v>
      </c>
      <c r="AL102" s="228">
        <v>10.1</v>
      </c>
      <c r="AM102" s="228">
        <v>-0.5</v>
      </c>
      <c r="AN102" s="229">
        <v>1.35E-2</v>
      </c>
      <c r="AO102" s="228">
        <v>711.76</v>
      </c>
      <c r="AP102" s="228">
        <v>713.24</v>
      </c>
      <c r="AQ102" s="228">
        <v>0</v>
      </c>
      <c r="AR102" s="230">
        <v>1175125</v>
      </c>
      <c r="AS102" s="230">
        <v>1216250</v>
      </c>
      <c r="AT102" s="230">
        <v>-41125</v>
      </c>
      <c r="AU102" s="229">
        <v>-3.3799999999999997E-2</v>
      </c>
      <c r="AV102" s="230">
        <v>891625</v>
      </c>
      <c r="AW102" s="230">
        <v>952000</v>
      </c>
      <c r="AX102" s="230">
        <v>-60375</v>
      </c>
      <c r="AY102" s="229">
        <v>-6.3399999999999998E-2</v>
      </c>
      <c r="AZ102" s="230">
        <v>266875</v>
      </c>
      <c r="BA102" s="230">
        <v>231875</v>
      </c>
      <c r="BB102" s="230">
        <v>35000</v>
      </c>
      <c r="BC102" s="229">
        <v>0.15090000000000001</v>
      </c>
      <c r="BD102" s="230">
        <v>16625</v>
      </c>
      <c r="BE102" s="230">
        <v>32375</v>
      </c>
      <c r="BF102" s="230">
        <v>-15750</v>
      </c>
      <c r="BG102" s="229">
        <v>-0.48649999999999999</v>
      </c>
      <c r="BH102" s="230">
        <v>3042375</v>
      </c>
      <c r="BI102" s="230">
        <v>3052000</v>
      </c>
      <c r="BJ102" s="230">
        <v>-9625</v>
      </c>
      <c r="BK102" s="229">
        <v>-3.2000000000000002E-3</v>
      </c>
      <c r="BL102" s="230">
        <v>1048250</v>
      </c>
      <c r="BM102" s="230">
        <v>1092000</v>
      </c>
      <c r="BN102" s="230">
        <v>-43750</v>
      </c>
      <c r="BO102" s="229">
        <v>-4.0099999999999997E-2</v>
      </c>
      <c r="BP102" s="230">
        <v>5265750</v>
      </c>
      <c r="BQ102" s="230">
        <v>5360250</v>
      </c>
      <c r="BR102" s="230">
        <v>-94500</v>
      </c>
      <c r="BS102" s="229">
        <v>-1.7600000000000001E-2</v>
      </c>
      <c r="BT102" s="230">
        <v>572059</v>
      </c>
      <c r="BU102" s="230">
        <v>605668</v>
      </c>
      <c r="BV102" s="230">
        <v>-33609</v>
      </c>
      <c r="BW102" s="229">
        <v>-5.5500000000000001E-2</v>
      </c>
      <c r="BX102" s="230">
        <v>15572375</v>
      </c>
      <c r="BY102" s="230">
        <v>15338750</v>
      </c>
      <c r="BZ102" s="230">
        <v>233625</v>
      </c>
      <c r="CA102" s="229">
        <v>1.52E-2</v>
      </c>
      <c r="CB102" s="230">
        <v>14120750</v>
      </c>
      <c r="CC102" s="230">
        <v>14031500</v>
      </c>
      <c r="CD102" s="230">
        <v>89250</v>
      </c>
      <c r="CE102" s="229">
        <v>6.4000000000000003E-3</v>
      </c>
      <c r="CF102" s="230">
        <v>1408750</v>
      </c>
      <c r="CG102" s="230">
        <v>1276625</v>
      </c>
      <c r="CH102" s="230">
        <v>132125</v>
      </c>
      <c r="CI102" s="229">
        <v>0.10349999999999999</v>
      </c>
      <c r="CJ102" s="230">
        <v>42875</v>
      </c>
      <c r="CK102" s="230">
        <v>30625</v>
      </c>
      <c r="CL102" s="230">
        <v>12250</v>
      </c>
      <c r="CM102" s="229">
        <v>0.4</v>
      </c>
      <c r="CN102" s="230">
        <v>5333125</v>
      </c>
      <c r="CO102" s="230">
        <v>4944625</v>
      </c>
      <c r="CP102" s="230">
        <v>388500</v>
      </c>
      <c r="CQ102" s="229">
        <v>7.8600000000000003E-2</v>
      </c>
      <c r="CR102" s="230">
        <v>4075750</v>
      </c>
      <c r="CS102" s="230">
        <v>3900750</v>
      </c>
      <c r="CT102" s="230">
        <v>175000</v>
      </c>
      <c r="CU102" s="229">
        <v>4.4900000000000002E-2</v>
      </c>
      <c r="CV102" s="230">
        <v>24981250</v>
      </c>
      <c r="CW102" s="230">
        <v>24184125</v>
      </c>
      <c r="CX102" s="230">
        <v>797125</v>
      </c>
      <c r="CY102" s="229">
        <v>3.3000000000000002E-2</v>
      </c>
      <c r="CZ102" s="228">
        <v>20.16</v>
      </c>
      <c r="DA102" s="228">
        <v>20.079999999999998</v>
      </c>
      <c r="DB102" s="228">
        <v>0.08</v>
      </c>
      <c r="DC102" s="228">
        <v>0.08</v>
      </c>
      <c r="DD102" s="228">
        <v>31.43</v>
      </c>
      <c r="DE102" s="228">
        <v>31.5</v>
      </c>
      <c r="DF102" s="228">
        <v>-11.27</v>
      </c>
      <c r="DG102" s="228">
        <v>-7.0000000000000007E-2</v>
      </c>
      <c r="DH102" s="228">
        <v>20.37</v>
      </c>
      <c r="DI102" s="228">
        <v>20.37</v>
      </c>
      <c r="DJ102" s="228">
        <v>0</v>
      </c>
      <c r="DK102" s="228">
        <v>0</v>
      </c>
      <c r="DL102" s="228">
        <v>19.559999999999999</v>
      </c>
      <c r="DM102" s="228">
        <v>19.25</v>
      </c>
      <c r="DN102" s="228">
        <v>0.31</v>
      </c>
      <c r="DO102" s="228">
        <v>0.31</v>
      </c>
      <c r="DP102" s="228">
        <v>0.76</v>
      </c>
      <c r="DQ102" s="228">
        <v>0.79</v>
      </c>
      <c r="DR102" s="228">
        <v>-0.03</v>
      </c>
      <c r="DS102" s="229">
        <v>-3.7999999999999999E-2</v>
      </c>
      <c r="DT102" s="228">
        <v>800</v>
      </c>
      <c r="DU102" s="228">
        <v>700</v>
      </c>
      <c r="DV102" s="228">
        <v>0.34</v>
      </c>
      <c r="DW102" s="228">
        <v>0.36</v>
      </c>
      <c r="DX102" s="228">
        <v>-0.02</v>
      </c>
      <c r="DY102" s="229">
        <v>-5.5599999999999997E-2</v>
      </c>
      <c r="DZ102" s="229">
        <v>9.3200000000000005E-2</v>
      </c>
      <c r="EA102" s="230">
        <v>1307250</v>
      </c>
      <c r="EB102" s="229">
        <v>1.8E-3</v>
      </c>
      <c r="EC102" s="229">
        <v>9.3200000000000005E-2</v>
      </c>
      <c r="ED102" s="228">
        <v>1.48</v>
      </c>
      <c r="EE102" s="229">
        <v>2.0999999999999999E-3</v>
      </c>
      <c r="EF102" s="230">
        <v>285162</v>
      </c>
      <c r="EG102" s="230">
        <v>324208</v>
      </c>
      <c r="EH102" s="229">
        <v>-0.12039999999999999</v>
      </c>
      <c r="EI102" s="229">
        <v>0.4985</v>
      </c>
      <c r="EJ102" s="231">
        <v>22472.85</v>
      </c>
      <c r="EK102" s="231">
        <v>7458.49</v>
      </c>
      <c r="EL102" s="231">
        <v>8369.0400000000009</v>
      </c>
      <c r="EM102" s="231">
        <v>6271</v>
      </c>
      <c r="EN102" s="231">
        <v>38300.379999999997</v>
      </c>
      <c r="EO102" s="231">
        <v>39125.83</v>
      </c>
      <c r="EP102" s="228">
        <v>-825.45</v>
      </c>
      <c r="EQ102" s="229">
        <v>-2.1100000000000001E-2</v>
      </c>
      <c r="ER102" s="231">
        <v>39839</v>
      </c>
      <c r="ES102" s="231">
        <v>29200</v>
      </c>
      <c r="ET102" s="231">
        <v>111223</v>
      </c>
      <c r="EU102" s="231">
        <v>30082783</v>
      </c>
      <c r="EV102" s="231">
        <v>180262</v>
      </c>
      <c r="EW102" s="231">
        <v>174134</v>
      </c>
      <c r="EX102" s="231">
        <v>6128</v>
      </c>
      <c r="EY102" s="229">
        <v>3.5200000000000002E-2</v>
      </c>
      <c r="EZ102" s="229">
        <v>0.83040000000000003</v>
      </c>
      <c r="FA102" s="227" t="s">
        <v>555</v>
      </c>
      <c r="FB102" s="161">
        <f t="shared" si="1"/>
        <v>1451625</v>
      </c>
    </row>
    <row r="103" spans="1:158" ht="17.25" hidden="1" thickBot="1" x14ac:dyDescent="0.3">
      <c r="A103" s="226">
        <v>45936</v>
      </c>
      <c r="B103" s="227" t="s">
        <v>175</v>
      </c>
      <c r="C103" s="227" t="s">
        <v>666</v>
      </c>
      <c r="D103" s="228">
        <v>3450</v>
      </c>
      <c r="E103" s="228">
        <v>150.94999999999999</v>
      </c>
      <c r="F103" s="228">
        <v>154.52000000000001</v>
      </c>
      <c r="G103" s="228">
        <v>-3.57</v>
      </c>
      <c r="H103" s="229">
        <v>-2.3099999999999999E-2</v>
      </c>
      <c r="I103" s="228">
        <v>151.16</v>
      </c>
      <c r="J103" s="228">
        <v>154.09</v>
      </c>
      <c r="K103" s="228">
        <v>-2.93</v>
      </c>
      <c r="L103" s="229">
        <v>-1.9E-2</v>
      </c>
      <c r="M103" s="228">
        <v>150.94999999999999</v>
      </c>
      <c r="N103" s="228">
        <v>154.52000000000001</v>
      </c>
      <c r="O103" s="228">
        <v>-3.57</v>
      </c>
      <c r="P103" s="229">
        <v>-2.3099999999999999E-2</v>
      </c>
      <c r="Q103" s="228">
        <v>150.32</v>
      </c>
      <c r="R103" s="228">
        <v>153.91999999999999</v>
      </c>
      <c r="S103" s="228">
        <v>-3.6</v>
      </c>
      <c r="T103" s="229">
        <v>-2.3400000000000001E-2</v>
      </c>
      <c r="U103" s="228">
        <v>150.06</v>
      </c>
      <c r="V103" s="228">
        <v>153.69</v>
      </c>
      <c r="W103" s="228">
        <v>-3.63</v>
      </c>
      <c r="X103" s="229">
        <v>-2.3599999999999999E-2</v>
      </c>
      <c r="Y103" s="228">
        <v>-0.21</v>
      </c>
      <c r="Z103" s="228">
        <v>0.43</v>
      </c>
      <c r="AA103" s="228">
        <v>-0.64</v>
      </c>
      <c r="AB103" s="229">
        <v>-1.4E-3</v>
      </c>
      <c r="AC103" s="228">
        <v>-0.21</v>
      </c>
      <c r="AD103" s="228">
        <v>0.43</v>
      </c>
      <c r="AE103" s="228">
        <v>-0.64</v>
      </c>
      <c r="AF103" s="229">
        <v>-1.4E-3</v>
      </c>
      <c r="AG103" s="228">
        <v>-0.84</v>
      </c>
      <c r="AH103" s="228">
        <v>-0.17</v>
      </c>
      <c r="AI103" s="228">
        <v>-0.67</v>
      </c>
      <c r="AJ103" s="229">
        <v>-5.5999999999999999E-3</v>
      </c>
      <c r="AK103" s="228">
        <v>-1.1000000000000001</v>
      </c>
      <c r="AL103" s="228">
        <v>-0.4</v>
      </c>
      <c r="AM103" s="228">
        <v>-0.7</v>
      </c>
      <c r="AN103" s="229">
        <v>-7.3000000000000001E-3</v>
      </c>
      <c r="AO103" s="228">
        <v>151.31</v>
      </c>
      <c r="AP103" s="228">
        <v>150.38999999999999</v>
      </c>
      <c r="AQ103" s="228">
        <v>0</v>
      </c>
      <c r="AR103" s="230">
        <v>10874400</v>
      </c>
      <c r="AS103" s="230">
        <v>12785700</v>
      </c>
      <c r="AT103" s="230">
        <v>-1911300</v>
      </c>
      <c r="AU103" s="229">
        <v>-0.14949999999999999</v>
      </c>
      <c r="AV103" s="230">
        <v>8483550</v>
      </c>
      <c r="AW103" s="230">
        <v>11750700</v>
      </c>
      <c r="AX103" s="230">
        <v>-3267150</v>
      </c>
      <c r="AY103" s="229">
        <v>-0.27800000000000002</v>
      </c>
      <c r="AZ103" s="230">
        <v>2038950</v>
      </c>
      <c r="BA103" s="230">
        <v>821100</v>
      </c>
      <c r="BB103" s="230">
        <v>1217850</v>
      </c>
      <c r="BC103" s="229">
        <v>1.4832000000000001</v>
      </c>
      <c r="BD103" s="230">
        <v>351900</v>
      </c>
      <c r="BE103" s="230">
        <v>213900</v>
      </c>
      <c r="BF103" s="230">
        <v>138000</v>
      </c>
      <c r="BG103" s="229">
        <v>0.6452</v>
      </c>
      <c r="BH103" s="230">
        <v>29345700</v>
      </c>
      <c r="BI103" s="230">
        <v>45926400</v>
      </c>
      <c r="BJ103" s="230">
        <v>-16580700</v>
      </c>
      <c r="BK103" s="229">
        <v>-0.36099999999999999</v>
      </c>
      <c r="BL103" s="230">
        <v>7783200</v>
      </c>
      <c r="BM103" s="230">
        <v>12892650</v>
      </c>
      <c r="BN103" s="230">
        <v>-5109450</v>
      </c>
      <c r="BO103" s="229">
        <v>-0.39629999999999999</v>
      </c>
      <c r="BP103" s="230">
        <v>48003300</v>
      </c>
      <c r="BQ103" s="230">
        <v>71604750</v>
      </c>
      <c r="BR103" s="230">
        <v>-23601450</v>
      </c>
      <c r="BS103" s="229">
        <v>-0.3296</v>
      </c>
      <c r="BT103" s="230">
        <v>7212088</v>
      </c>
      <c r="BU103" s="230">
        <v>10687109</v>
      </c>
      <c r="BV103" s="230">
        <v>-3475021</v>
      </c>
      <c r="BW103" s="229">
        <v>-0.32519999999999999</v>
      </c>
      <c r="BX103" s="230">
        <v>42835200</v>
      </c>
      <c r="BY103" s="230">
        <v>39454200</v>
      </c>
      <c r="BZ103" s="230">
        <v>3381000</v>
      </c>
      <c r="CA103" s="229">
        <v>8.5699999999999998E-2</v>
      </c>
      <c r="CB103" s="230">
        <v>37743000</v>
      </c>
      <c r="CC103" s="230">
        <v>35390100</v>
      </c>
      <c r="CD103" s="230">
        <v>2352900</v>
      </c>
      <c r="CE103" s="229">
        <v>6.6500000000000004E-2</v>
      </c>
      <c r="CF103" s="230">
        <v>4554000</v>
      </c>
      <c r="CG103" s="230">
        <v>3726000</v>
      </c>
      <c r="CH103" s="230">
        <v>828000</v>
      </c>
      <c r="CI103" s="229">
        <v>0.22220000000000001</v>
      </c>
      <c r="CJ103" s="230">
        <v>538200</v>
      </c>
      <c r="CK103" s="230">
        <v>338100</v>
      </c>
      <c r="CL103" s="230">
        <v>200100</v>
      </c>
      <c r="CM103" s="229">
        <v>0.59179999999999999</v>
      </c>
      <c r="CN103" s="230">
        <v>27938100</v>
      </c>
      <c r="CO103" s="230">
        <v>23235750</v>
      </c>
      <c r="CP103" s="230">
        <v>4702350</v>
      </c>
      <c r="CQ103" s="229">
        <v>0.2024</v>
      </c>
      <c r="CR103" s="230">
        <v>11633400</v>
      </c>
      <c r="CS103" s="230">
        <v>9853200</v>
      </c>
      <c r="CT103" s="230">
        <v>1780200</v>
      </c>
      <c r="CU103" s="229">
        <v>0.1807</v>
      </c>
      <c r="CV103" s="230">
        <v>82406700</v>
      </c>
      <c r="CW103" s="230">
        <v>72543150</v>
      </c>
      <c r="CX103" s="230">
        <v>9863550</v>
      </c>
      <c r="CY103" s="229">
        <v>0.13600000000000001</v>
      </c>
      <c r="CZ103" s="228">
        <v>38</v>
      </c>
      <c r="DA103" s="228">
        <v>35.590000000000003</v>
      </c>
      <c r="DB103" s="228">
        <v>2.41</v>
      </c>
      <c r="DC103" s="228">
        <v>2.41</v>
      </c>
      <c r="DD103" s="228">
        <v>53.04</v>
      </c>
      <c r="DE103" s="228">
        <v>53.08</v>
      </c>
      <c r="DF103" s="228">
        <v>-15.04</v>
      </c>
      <c r="DG103" s="228">
        <v>-0.04</v>
      </c>
      <c r="DH103" s="228">
        <v>38.39</v>
      </c>
      <c r="DI103" s="228">
        <v>35.61</v>
      </c>
      <c r="DJ103" s="228">
        <v>2.78</v>
      </c>
      <c r="DK103" s="228">
        <v>2.78</v>
      </c>
      <c r="DL103" s="228">
        <v>36.549999999999997</v>
      </c>
      <c r="DM103" s="228">
        <v>35.51</v>
      </c>
      <c r="DN103" s="228">
        <v>1.04</v>
      </c>
      <c r="DO103" s="228">
        <v>1.04</v>
      </c>
      <c r="DP103" s="228">
        <v>0.42</v>
      </c>
      <c r="DQ103" s="228">
        <v>0.42</v>
      </c>
      <c r="DR103" s="228">
        <v>0</v>
      </c>
      <c r="DS103" s="229">
        <v>0</v>
      </c>
      <c r="DT103" s="228">
        <v>160</v>
      </c>
      <c r="DU103" s="228">
        <v>150</v>
      </c>
      <c r="DV103" s="228">
        <v>0.27</v>
      </c>
      <c r="DW103" s="228">
        <v>0.28000000000000003</v>
      </c>
      <c r="DX103" s="228">
        <v>-0.01</v>
      </c>
      <c r="DY103" s="229">
        <v>-3.5700000000000003E-2</v>
      </c>
      <c r="DZ103" s="229">
        <v>0.11890000000000001</v>
      </c>
      <c r="EA103" s="230">
        <v>4064100</v>
      </c>
      <c r="EB103" s="229">
        <v>-4.1999999999999997E-3</v>
      </c>
      <c r="EC103" s="229">
        <v>0.11890000000000001</v>
      </c>
      <c r="ED103" s="228">
        <v>-0.92</v>
      </c>
      <c r="EE103" s="229">
        <v>-6.1000000000000004E-3</v>
      </c>
      <c r="EF103" s="230">
        <v>2475727</v>
      </c>
      <c r="EG103" s="230">
        <v>2886411</v>
      </c>
      <c r="EH103" s="229">
        <v>-0.14230000000000001</v>
      </c>
      <c r="EI103" s="229">
        <v>0.34329999999999999</v>
      </c>
      <c r="EJ103" s="231">
        <v>47880.13</v>
      </c>
      <c r="EK103" s="231">
        <v>11948.03</v>
      </c>
      <c r="EL103" s="231">
        <v>16432.52</v>
      </c>
      <c r="EM103" s="231">
        <v>6248</v>
      </c>
      <c r="EN103" s="231">
        <v>76260.679999999993</v>
      </c>
      <c r="EO103" s="231">
        <v>114974.2</v>
      </c>
      <c r="EP103" s="231">
        <v>-38713.519999999997</v>
      </c>
      <c r="EQ103" s="229">
        <v>-0.3367</v>
      </c>
      <c r="ER103" s="231">
        <v>45326</v>
      </c>
      <c r="ES103" s="231">
        <v>17470</v>
      </c>
      <c r="ET103" s="231">
        <v>64626</v>
      </c>
      <c r="EU103" s="231">
        <v>119011160</v>
      </c>
      <c r="EV103" s="231">
        <v>127422</v>
      </c>
      <c r="EW103" s="231">
        <v>113615</v>
      </c>
      <c r="EX103" s="231">
        <v>13807</v>
      </c>
      <c r="EY103" s="229">
        <v>0.1215</v>
      </c>
      <c r="EZ103" s="229">
        <v>0.69240000000000002</v>
      </c>
      <c r="FA103" s="227" t="s">
        <v>567</v>
      </c>
      <c r="FB103" s="161">
        <f t="shared" si="1"/>
        <v>5092200</v>
      </c>
    </row>
    <row r="104" spans="1:158" ht="17.25" hidden="1" thickBot="1" x14ac:dyDescent="0.3">
      <c r="A104" s="226">
        <v>45936</v>
      </c>
      <c r="B104" s="227" t="s">
        <v>215</v>
      </c>
      <c r="C104" s="227" t="s">
        <v>593</v>
      </c>
      <c r="D104" s="228">
        <v>4250</v>
      </c>
      <c r="E104" s="228">
        <v>126.01</v>
      </c>
      <c r="F104" s="228">
        <v>126.69</v>
      </c>
      <c r="G104" s="228">
        <v>-0.68</v>
      </c>
      <c r="H104" s="229">
        <v>-5.4000000000000003E-3</v>
      </c>
      <c r="I104" s="228">
        <v>125.24</v>
      </c>
      <c r="J104" s="228">
        <v>125.85</v>
      </c>
      <c r="K104" s="228">
        <v>-0.61</v>
      </c>
      <c r="L104" s="229">
        <v>-4.7999999999999996E-3</v>
      </c>
      <c r="M104" s="228">
        <v>126.01</v>
      </c>
      <c r="N104" s="228">
        <v>126.69</v>
      </c>
      <c r="O104" s="228">
        <v>-0.68</v>
      </c>
      <c r="P104" s="229">
        <v>-5.4000000000000003E-3</v>
      </c>
      <c r="Q104" s="228">
        <v>126.06</v>
      </c>
      <c r="R104" s="228">
        <v>126.8</v>
      </c>
      <c r="S104" s="228">
        <v>-0.74</v>
      </c>
      <c r="T104" s="229">
        <v>-5.7999999999999996E-3</v>
      </c>
      <c r="U104" s="228">
        <v>126.23</v>
      </c>
      <c r="V104" s="228">
        <v>126.82</v>
      </c>
      <c r="W104" s="228">
        <v>-0.59</v>
      </c>
      <c r="X104" s="229">
        <v>-4.7000000000000002E-3</v>
      </c>
      <c r="Y104" s="228">
        <v>0.77</v>
      </c>
      <c r="Z104" s="228">
        <v>0.84</v>
      </c>
      <c r="AA104" s="228">
        <v>-7.0000000000000007E-2</v>
      </c>
      <c r="AB104" s="229">
        <v>6.1000000000000004E-3</v>
      </c>
      <c r="AC104" s="228">
        <v>0.77</v>
      </c>
      <c r="AD104" s="228">
        <v>0.84</v>
      </c>
      <c r="AE104" s="228">
        <v>-7.0000000000000007E-2</v>
      </c>
      <c r="AF104" s="229">
        <v>6.1000000000000004E-3</v>
      </c>
      <c r="AG104" s="228">
        <v>0.82</v>
      </c>
      <c r="AH104" s="228">
        <v>0.95</v>
      </c>
      <c r="AI104" s="228">
        <v>-0.13</v>
      </c>
      <c r="AJ104" s="229">
        <v>6.4999999999999997E-3</v>
      </c>
      <c r="AK104" s="228">
        <v>0.99</v>
      </c>
      <c r="AL104" s="228">
        <v>0.97</v>
      </c>
      <c r="AM104" s="228">
        <v>0.02</v>
      </c>
      <c r="AN104" s="229">
        <v>7.9000000000000008E-3</v>
      </c>
      <c r="AO104" s="228">
        <v>125.87</v>
      </c>
      <c r="AP104" s="228">
        <v>125.93</v>
      </c>
      <c r="AQ104" s="228">
        <v>0</v>
      </c>
      <c r="AR104" s="230">
        <v>4092750</v>
      </c>
      <c r="AS104" s="230">
        <v>4071500</v>
      </c>
      <c r="AT104" s="230">
        <v>21250</v>
      </c>
      <c r="AU104" s="229">
        <v>5.1999999999999998E-3</v>
      </c>
      <c r="AV104" s="230">
        <v>3540250</v>
      </c>
      <c r="AW104" s="230">
        <v>3608250</v>
      </c>
      <c r="AX104" s="230">
        <v>-68000</v>
      </c>
      <c r="AY104" s="229">
        <v>-1.8800000000000001E-2</v>
      </c>
      <c r="AZ104" s="230">
        <v>497250</v>
      </c>
      <c r="BA104" s="230">
        <v>408000</v>
      </c>
      <c r="BB104" s="230">
        <v>89250</v>
      </c>
      <c r="BC104" s="229">
        <v>0.21879999999999999</v>
      </c>
      <c r="BD104" s="230">
        <v>55250</v>
      </c>
      <c r="BE104" s="230">
        <v>55250</v>
      </c>
      <c r="BF104" s="228">
        <v>0</v>
      </c>
      <c r="BG104" s="229">
        <v>0</v>
      </c>
      <c r="BH104" s="230">
        <v>8138750</v>
      </c>
      <c r="BI104" s="230">
        <v>9269250</v>
      </c>
      <c r="BJ104" s="230">
        <v>-1130500</v>
      </c>
      <c r="BK104" s="229">
        <v>-0.122</v>
      </c>
      <c r="BL104" s="230">
        <v>2486250</v>
      </c>
      <c r="BM104" s="230">
        <v>3213000</v>
      </c>
      <c r="BN104" s="230">
        <v>-726750</v>
      </c>
      <c r="BO104" s="229">
        <v>-0.22620000000000001</v>
      </c>
      <c r="BP104" s="230">
        <v>14717750</v>
      </c>
      <c r="BQ104" s="230">
        <v>16553750</v>
      </c>
      <c r="BR104" s="230">
        <v>-1836000</v>
      </c>
      <c r="BS104" s="229">
        <v>-0.1109</v>
      </c>
      <c r="BT104" s="230">
        <v>5914966</v>
      </c>
      <c r="BU104" s="230">
        <v>6907838</v>
      </c>
      <c r="BV104" s="230">
        <v>-992872</v>
      </c>
      <c r="BW104" s="229">
        <v>-0.14369999999999999</v>
      </c>
      <c r="BX104" s="230">
        <v>39979750</v>
      </c>
      <c r="BY104" s="230">
        <v>39036250</v>
      </c>
      <c r="BZ104" s="230">
        <v>943500</v>
      </c>
      <c r="CA104" s="229">
        <v>2.4199999999999999E-2</v>
      </c>
      <c r="CB104" s="230">
        <v>36048500</v>
      </c>
      <c r="CC104" s="230">
        <v>35364250</v>
      </c>
      <c r="CD104" s="230">
        <v>684250</v>
      </c>
      <c r="CE104" s="229">
        <v>1.9300000000000001E-2</v>
      </c>
      <c r="CF104" s="230">
        <v>3799500</v>
      </c>
      <c r="CG104" s="230">
        <v>3574250</v>
      </c>
      <c r="CH104" s="230">
        <v>225250</v>
      </c>
      <c r="CI104" s="229">
        <v>6.3E-2</v>
      </c>
      <c r="CJ104" s="230">
        <v>131750</v>
      </c>
      <c r="CK104" s="230">
        <v>97750</v>
      </c>
      <c r="CL104" s="230">
        <v>34000</v>
      </c>
      <c r="CM104" s="229">
        <v>0.3478</v>
      </c>
      <c r="CN104" s="230">
        <v>18049750</v>
      </c>
      <c r="CO104" s="230">
        <v>16847000</v>
      </c>
      <c r="CP104" s="230">
        <v>1202750</v>
      </c>
      <c r="CQ104" s="229">
        <v>7.1400000000000005E-2</v>
      </c>
      <c r="CR104" s="230">
        <v>9838750</v>
      </c>
      <c r="CS104" s="230">
        <v>9430750</v>
      </c>
      <c r="CT104" s="230">
        <v>408000</v>
      </c>
      <c r="CU104" s="229">
        <v>4.3299999999999998E-2</v>
      </c>
      <c r="CV104" s="230">
        <v>67868250</v>
      </c>
      <c r="CW104" s="230">
        <v>65314000</v>
      </c>
      <c r="CX104" s="230">
        <v>2554250</v>
      </c>
      <c r="CY104" s="229">
        <v>3.9100000000000003E-2</v>
      </c>
      <c r="CZ104" s="228">
        <v>30.41</v>
      </c>
      <c r="DA104" s="228">
        <v>29.5</v>
      </c>
      <c r="DB104" s="228">
        <v>0.91</v>
      </c>
      <c r="DC104" s="228">
        <v>0.91</v>
      </c>
      <c r="DD104" s="228">
        <v>48.24</v>
      </c>
      <c r="DE104" s="228">
        <v>48.36</v>
      </c>
      <c r="DF104" s="228">
        <v>-17.829999999999998</v>
      </c>
      <c r="DG104" s="228">
        <v>-0.12</v>
      </c>
      <c r="DH104" s="228">
        <v>30.59</v>
      </c>
      <c r="DI104" s="228">
        <v>29.74</v>
      </c>
      <c r="DJ104" s="228">
        <v>0.85</v>
      </c>
      <c r="DK104" s="228">
        <v>0.85</v>
      </c>
      <c r="DL104" s="228">
        <v>29.85</v>
      </c>
      <c r="DM104" s="228">
        <v>28.81</v>
      </c>
      <c r="DN104" s="228">
        <v>1.04</v>
      </c>
      <c r="DO104" s="228">
        <v>1.04</v>
      </c>
      <c r="DP104" s="228">
        <v>0.55000000000000004</v>
      </c>
      <c r="DQ104" s="228">
        <v>0.56000000000000005</v>
      </c>
      <c r="DR104" s="228">
        <v>-0.01</v>
      </c>
      <c r="DS104" s="229">
        <v>-1.7899999999999999E-2</v>
      </c>
      <c r="DT104" s="228">
        <v>130</v>
      </c>
      <c r="DU104" s="228">
        <v>130</v>
      </c>
      <c r="DV104" s="228">
        <v>0.31</v>
      </c>
      <c r="DW104" s="228">
        <v>0.35</v>
      </c>
      <c r="DX104" s="228">
        <v>-0.04</v>
      </c>
      <c r="DY104" s="229">
        <v>-0.1143</v>
      </c>
      <c r="DZ104" s="229">
        <v>9.8299999999999998E-2</v>
      </c>
      <c r="EA104" s="230">
        <v>3672000</v>
      </c>
      <c r="EB104" s="229">
        <v>4.0000000000000002E-4</v>
      </c>
      <c r="EC104" s="229">
        <v>9.8299999999999998E-2</v>
      </c>
      <c r="ED104" s="228">
        <v>0.06</v>
      </c>
      <c r="EE104" s="229">
        <v>5.0000000000000001E-4</v>
      </c>
      <c r="EF104" s="230">
        <v>2695720</v>
      </c>
      <c r="EG104" s="230">
        <v>2600318</v>
      </c>
      <c r="EH104" s="229">
        <v>3.6700000000000003E-2</v>
      </c>
      <c r="EI104" s="229">
        <v>0.45569999999999999</v>
      </c>
      <c r="EJ104" s="231">
        <v>10880.02</v>
      </c>
      <c r="EK104" s="231">
        <v>3080.22</v>
      </c>
      <c r="EL104" s="231">
        <v>5152.05</v>
      </c>
      <c r="EM104" s="231">
        <v>4212</v>
      </c>
      <c r="EN104" s="231">
        <v>19112.29</v>
      </c>
      <c r="EO104" s="231">
        <v>21583.46</v>
      </c>
      <c r="EP104" s="231">
        <v>-2471.17</v>
      </c>
      <c r="EQ104" s="229">
        <v>-0.1145</v>
      </c>
      <c r="ER104" s="231">
        <v>24071</v>
      </c>
      <c r="ES104" s="231">
        <v>12188</v>
      </c>
      <c r="ET104" s="231">
        <v>50381</v>
      </c>
      <c r="EU104" s="231">
        <v>226853356</v>
      </c>
      <c r="EV104" s="231">
        <v>86640</v>
      </c>
      <c r="EW104" s="231">
        <v>83645</v>
      </c>
      <c r="EX104" s="231">
        <v>2995</v>
      </c>
      <c r="EY104" s="229">
        <v>3.5799999999999998E-2</v>
      </c>
      <c r="EZ104" s="229">
        <v>0.29920000000000002</v>
      </c>
      <c r="FA104" s="227" t="s">
        <v>567</v>
      </c>
      <c r="FB104" s="161">
        <f t="shared" si="1"/>
        <v>3931250</v>
      </c>
    </row>
    <row r="105" spans="1:158" ht="17.25" hidden="1" thickBot="1" x14ac:dyDescent="0.3">
      <c r="A105" s="226">
        <v>45936</v>
      </c>
      <c r="B105" s="227" t="s">
        <v>168</v>
      </c>
      <c r="C105" s="227" t="s">
        <v>242</v>
      </c>
      <c r="D105" s="228">
        <v>1600</v>
      </c>
      <c r="E105" s="228">
        <v>403.15</v>
      </c>
      <c r="F105" s="228">
        <v>406.15</v>
      </c>
      <c r="G105" s="228">
        <v>-3</v>
      </c>
      <c r="H105" s="229">
        <v>-7.4000000000000003E-3</v>
      </c>
      <c r="I105" s="228">
        <v>400.75</v>
      </c>
      <c r="J105" s="228">
        <v>404.3</v>
      </c>
      <c r="K105" s="228">
        <v>-3.55</v>
      </c>
      <c r="L105" s="229">
        <v>-8.8000000000000005E-3</v>
      </c>
      <c r="M105" s="228">
        <v>403.15</v>
      </c>
      <c r="N105" s="228">
        <v>406.15</v>
      </c>
      <c r="O105" s="228">
        <v>-3</v>
      </c>
      <c r="P105" s="229">
        <v>-7.4000000000000003E-3</v>
      </c>
      <c r="Q105" s="228">
        <v>405.35</v>
      </c>
      <c r="R105" s="228">
        <v>408.4</v>
      </c>
      <c r="S105" s="228">
        <v>-3.05</v>
      </c>
      <c r="T105" s="229">
        <v>-7.4999999999999997E-3</v>
      </c>
      <c r="U105" s="228">
        <v>407.85</v>
      </c>
      <c r="V105" s="228">
        <v>410.65</v>
      </c>
      <c r="W105" s="228">
        <v>-2.8</v>
      </c>
      <c r="X105" s="229">
        <v>-6.7999999999999996E-3</v>
      </c>
      <c r="Y105" s="228">
        <v>2.4</v>
      </c>
      <c r="Z105" s="228">
        <v>1.85</v>
      </c>
      <c r="AA105" s="228">
        <v>0.55000000000000004</v>
      </c>
      <c r="AB105" s="229">
        <v>6.0000000000000001E-3</v>
      </c>
      <c r="AC105" s="228">
        <v>2.4</v>
      </c>
      <c r="AD105" s="228">
        <v>1.85</v>
      </c>
      <c r="AE105" s="228">
        <v>0.55000000000000004</v>
      </c>
      <c r="AF105" s="229">
        <v>6.0000000000000001E-3</v>
      </c>
      <c r="AG105" s="228">
        <v>4.5999999999999996</v>
      </c>
      <c r="AH105" s="228">
        <v>4.0999999999999996</v>
      </c>
      <c r="AI105" s="228">
        <v>0.5</v>
      </c>
      <c r="AJ105" s="229">
        <v>1.15E-2</v>
      </c>
      <c r="AK105" s="228">
        <v>7.1</v>
      </c>
      <c r="AL105" s="228">
        <v>6.35</v>
      </c>
      <c r="AM105" s="228">
        <v>0.75</v>
      </c>
      <c r="AN105" s="229">
        <v>1.77E-2</v>
      </c>
      <c r="AO105" s="228">
        <v>403.15</v>
      </c>
      <c r="AP105" s="228">
        <v>405.25</v>
      </c>
      <c r="AQ105" s="228">
        <v>0</v>
      </c>
      <c r="AR105" s="230">
        <v>14840000</v>
      </c>
      <c r="AS105" s="230">
        <v>12305600</v>
      </c>
      <c r="AT105" s="230">
        <v>2534400</v>
      </c>
      <c r="AU105" s="229">
        <v>0.20599999999999999</v>
      </c>
      <c r="AV105" s="230">
        <v>13752000</v>
      </c>
      <c r="AW105" s="230">
        <v>11884800</v>
      </c>
      <c r="AX105" s="230">
        <v>1867200</v>
      </c>
      <c r="AY105" s="229">
        <v>0.15709999999999999</v>
      </c>
      <c r="AZ105" s="230">
        <v>908800</v>
      </c>
      <c r="BA105" s="230">
        <v>316800</v>
      </c>
      <c r="BB105" s="230">
        <v>592000</v>
      </c>
      <c r="BC105" s="229">
        <v>1.8687</v>
      </c>
      <c r="BD105" s="230">
        <v>179200</v>
      </c>
      <c r="BE105" s="230">
        <v>104000</v>
      </c>
      <c r="BF105" s="230">
        <v>75200</v>
      </c>
      <c r="BG105" s="229">
        <v>0.72309999999999997</v>
      </c>
      <c r="BH105" s="230">
        <v>37512000</v>
      </c>
      <c r="BI105" s="230">
        <v>39908800</v>
      </c>
      <c r="BJ105" s="230">
        <v>-2396800</v>
      </c>
      <c r="BK105" s="229">
        <v>-6.0100000000000001E-2</v>
      </c>
      <c r="BL105" s="230">
        <v>20060800</v>
      </c>
      <c r="BM105" s="230">
        <v>23555200</v>
      </c>
      <c r="BN105" s="230">
        <v>-3494400</v>
      </c>
      <c r="BO105" s="229">
        <v>-0.14829999999999999</v>
      </c>
      <c r="BP105" s="230">
        <v>72412800</v>
      </c>
      <c r="BQ105" s="230">
        <v>75769600</v>
      </c>
      <c r="BR105" s="230">
        <v>-3356800</v>
      </c>
      <c r="BS105" s="229">
        <v>-4.4299999999999999E-2</v>
      </c>
      <c r="BT105" s="230">
        <v>14517298</v>
      </c>
      <c r="BU105" s="230">
        <v>17617068</v>
      </c>
      <c r="BV105" s="230">
        <v>-3099770</v>
      </c>
      <c r="BW105" s="229">
        <v>-0.17599999999999999</v>
      </c>
      <c r="BX105" s="230">
        <v>114969600</v>
      </c>
      <c r="BY105" s="230">
        <v>110142400</v>
      </c>
      <c r="BZ105" s="230">
        <v>4827200</v>
      </c>
      <c r="CA105" s="229">
        <v>4.3799999999999999E-2</v>
      </c>
      <c r="CB105" s="230">
        <v>110899200</v>
      </c>
      <c r="CC105" s="230">
        <v>106704000</v>
      </c>
      <c r="CD105" s="230">
        <v>4195200</v>
      </c>
      <c r="CE105" s="229">
        <v>3.9300000000000002E-2</v>
      </c>
      <c r="CF105" s="230">
        <v>3846400</v>
      </c>
      <c r="CG105" s="230">
        <v>3360000</v>
      </c>
      <c r="CH105" s="230">
        <v>486400</v>
      </c>
      <c r="CI105" s="229">
        <v>0.14480000000000001</v>
      </c>
      <c r="CJ105" s="230">
        <v>224000</v>
      </c>
      <c r="CK105" s="230">
        <v>78400</v>
      </c>
      <c r="CL105" s="230">
        <v>145600</v>
      </c>
      <c r="CM105" s="229">
        <v>1.8571</v>
      </c>
      <c r="CN105" s="230">
        <v>40446400</v>
      </c>
      <c r="CO105" s="230">
        <v>35262400</v>
      </c>
      <c r="CP105" s="230">
        <v>5184000</v>
      </c>
      <c r="CQ105" s="229">
        <v>0.14699999999999999</v>
      </c>
      <c r="CR105" s="230">
        <v>28292800</v>
      </c>
      <c r="CS105" s="230">
        <v>24728000</v>
      </c>
      <c r="CT105" s="230">
        <v>3564800</v>
      </c>
      <c r="CU105" s="229">
        <v>0.14419999999999999</v>
      </c>
      <c r="CV105" s="230">
        <v>183708800</v>
      </c>
      <c r="CW105" s="230">
        <v>170132800</v>
      </c>
      <c r="CX105" s="230">
        <v>13576000</v>
      </c>
      <c r="CY105" s="229">
        <v>7.9799999999999996E-2</v>
      </c>
      <c r="CZ105" s="228">
        <v>15.61</v>
      </c>
      <c r="DA105" s="228">
        <v>14.28</v>
      </c>
      <c r="DB105" s="228">
        <v>1.33</v>
      </c>
      <c r="DC105" s="228">
        <v>1.33</v>
      </c>
      <c r="DD105" s="228">
        <v>19.86</v>
      </c>
      <c r="DE105" s="228">
        <v>19.87</v>
      </c>
      <c r="DF105" s="228">
        <v>-4.25</v>
      </c>
      <c r="DG105" s="228">
        <v>-0.01</v>
      </c>
      <c r="DH105" s="228">
        <v>15.75</v>
      </c>
      <c r="DI105" s="228">
        <v>14.16</v>
      </c>
      <c r="DJ105" s="228">
        <v>1.59</v>
      </c>
      <c r="DK105" s="228">
        <v>1.59</v>
      </c>
      <c r="DL105" s="228">
        <v>15.33</v>
      </c>
      <c r="DM105" s="228">
        <v>14.49</v>
      </c>
      <c r="DN105" s="228">
        <v>0.84</v>
      </c>
      <c r="DO105" s="228">
        <v>0.84</v>
      </c>
      <c r="DP105" s="228">
        <v>0.7</v>
      </c>
      <c r="DQ105" s="228">
        <v>0.7</v>
      </c>
      <c r="DR105" s="228">
        <v>0</v>
      </c>
      <c r="DS105" s="229">
        <v>0</v>
      </c>
      <c r="DT105" s="228">
        <v>410</v>
      </c>
      <c r="DU105" s="228">
        <v>400</v>
      </c>
      <c r="DV105" s="228">
        <v>0.53</v>
      </c>
      <c r="DW105" s="228">
        <v>0.59</v>
      </c>
      <c r="DX105" s="228">
        <v>-0.06</v>
      </c>
      <c r="DY105" s="229">
        <v>-0.1017</v>
      </c>
      <c r="DZ105" s="229">
        <v>3.5400000000000001E-2</v>
      </c>
      <c r="EA105" s="230">
        <v>3438400</v>
      </c>
      <c r="EB105" s="229">
        <v>5.4999999999999997E-3</v>
      </c>
      <c r="EC105" s="229">
        <v>3.5400000000000001E-2</v>
      </c>
      <c r="ED105" s="228">
        <v>2.1</v>
      </c>
      <c r="EE105" s="229">
        <v>5.1999999999999998E-3</v>
      </c>
      <c r="EF105" s="230">
        <v>10931239</v>
      </c>
      <c r="EG105" s="230">
        <v>13838444</v>
      </c>
      <c r="EH105" s="229">
        <v>-0.21010000000000001</v>
      </c>
      <c r="EI105" s="229">
        <v>0.753</v>
      </c>
      <c r="EJ105" s="231">
        <v>155681.07999999999</v>
      </c>
      <c r="EK105" s="231">
        <v>81055.320000000007</v>
      </c>
      <c r="EL105" s="231">
        <v>59855.07</v>
      </c>
      <c r="EM105" s="231">
        <v>22765</v>
      </c>
      <c r="EN105" s="231">
        <v>296591.46999999997</v>
      </c>
      <c r="EO105" s="231">
        <v>311101.32</v>
      </c>
      <c r="EP105" s="231">
        <v>-14509.85</v>
      </c>
      <c r="EQ105" s="229">
        <v>-4.6600000000000003E-2</v>
      </c>
      <c r="ER105" s="231">
        <v>168467</v>
      </c>
      <c r="ES105" s="231">
        <v>113448</v>
      </c>
      <c r="ET105" s="231">
        <v>463595</v>
      </c>
      <c r="EU105" s="231">
        <v>1251412841</v>
      </c>
      <c r="EV105" s="231">
        <v>745509</v>
      </c>
      <c r="EW105" s="231">
        <v>693943</v>
      </c>
      <c r="EX105" s="231">
        <v>51566</v>
      </c>
      <c r="EY105" s="229">
        <v>7.4300000000000005E-2</v>
      </c>
      <c r="EZ105" s="229">
        <v>0.14680000000000001</v>
      </c>
      <c r="FA105" s="227" t="s">
        <v>567</v>
      </c>
      <c r="FB105" s="161">
        <f t="shared" si="1"/>
        <v>4070400</v>
      </c>
    </row>
    <row r="106" spans="1:158" ht="17.25" hidden="1" thickBot="1" x14ac:dyDescent="0.3">
      <c r="A106" s="226">
        <v>45936</v>
      </c>
      <c r="B106" s="227" t="s">
        <v>227</v>
      </c>
      <c r="C106" s="227" t="s">
        <v>243</v>
      </c>
      <c r="D106" s="228">
        <v>625</v>
      </c>
      <c r="E106" s="231">
        <v>1059.3</v>
      </c>
      <c r="F106" s="231">
        <v>1080.2</v>
      </c>
      <c r="G106" s="228">
        <v>-20.9</v>
      </c>
      <c r="H106" s="229">
        <v>-1.9300000000000001E-2</v>
      </c>
      <c r="I106" s="231">
        <v>1055.9000000000001</v>
      </c>
      <c r="J106" s="231">
        <v>1076.5</v>
      </c>
      <c r="K106" s="228">
        <v>-20.6</v>
      </c>
      <c r="L106" s="229">
        <v>-1.9099999999999999E-2</v>
      </c>
      <c r="M106" s="231">
        <v>1059.3</v>
      </c>
      <c r="N106" s="231">
        <v>1080.2</v>
      </c>
      <c r="O106" s="228">
        <v>-20.9</v>
      </c>
      <c r="P106" s="229">
        <v>-1.9300000000000001E-2</v>
      </c>
      <c r="Q106" s="231">
        <v>1065.5</v>
      </c>
      <c r="R106" s="231">
        <v>1084.5</v>
      </c>
      <c r="S106" s="228">
        <v>-19</v>
      </c>
      <c r="T106" s="229">
        <v>-1.7500000000000002E-2</v>
      </c>
      <c r="U106" s="231">
        <v>1073.7</v>
      </c>
      <c r="V106" s="231">
        <v>1090.5999999999999</v>
      </c>
      <c r="W106" s="228">
        <v>-16.899999999999999</v>
      </c>
      <c r="X106" s="229">
        <v>-1.55E-2</v>
      </c>
      <c r="Y106" s="228">
        <v>3.4</v>
      </c>
      <c r="Z106" s="228">
        <v>3.7</v>
      </c>
      <c r="AA106" s="228">
        <v>-0.3</v>
      </c>
      <c r="AB106" s="229">
        <v>3.2000000000000002E-3</v>
      </c>
      <c r="AC106" s="228">
        <v>3.4</v>
      </c>
      <c r="AD106" s="228">
        <v>3.7</v>
      </c>
      <c r="AE106" s="228">
        <v>-0.3</v>
      </c>
      <c r="AF106" s="229">
        <v>3.2000000000000002E-3</v>
      </c>
      <c r="AG106" s="228">
        <v>9.6</v>
      </c>
      <c r="AH106" s="228">
        <v>8</v>
      </c>
      <c r="AI106" s="228">
        <v>1.6</v>
      </c>
      <c r="AJ106" s="229">
        <v>9.1000000000000004E-3</v>
      </c>
      <c r="AK106" s="228">
        <v>17.8</v>
      </c>
      <c r="AL106" s="228">
        <v>14.1</v>
      </c>
      <c r="AM106" s="228">
        <v>3.7</v>
      </c>
      <c r="AN106" s="229">
        <v>1.6899999999999998E-2</v>
      </c>
      <c r="AO106" s="231">
        <v>1057.26</v>
      </c>
      <c r="AP106" s="231">
        <v>1062.77</v>
      </c>
      <c r="AQ106" s="228">
        <v>0</v>
      </c>
      <c r="AR106" s="230">
        <v>3813750</v>
      </c>
      <c r="AS106" s="230">
        <v>4055000</v>
      </c>
      <c r="AT106" s="230">
        <v>-241250</v>
      </c>
      <c r="AU106" s="229">
        <v>-5.9499999999999997E-2</v>
      </c>
      <c r="AV106" s="230">
        <v>3725000</v>
      </c>
      <c r="AW106" s="230">
        <v>3930000</v>
      </c>
      <c r="AX106" s="230">
        <v>-205000</v>
      </c>
      <c r="AY106" s="229">
        <v>-5.2200000000000003E-2</v>
      </c>
      <c r="AZ106" s="230">
        <v>72500</v>
      </c>
      <c r="BA106" s="230">
        <v>103125</v>
      </c>
      <c r="BB106" s="230">
        <v>-30625</v>
      </c>
      <c r="BC106" s="229">
        <v>-0.29699999999999999</v>
      </c>
      <c r="BD106" s="230">
        <v>16250</v>
      </c>
      <c r="BE106" s="230">
        <v>21875</v>
      </c>
      <c r="BF106" s="230">
        <v>-5625</v>
      </c>
      <c r="BG106" s="229">
        <v>-0.2571</v>
      </c>
      <c r="BH106" s="230">
        <v>11200000</v>
      </c>
      <c r="BI106" s="230">
        <v>12799375</v>
      </c>
      <c r="BJ106" s="230">
        <v>-1599375</v>
      </c>
      <c r="BK106" s="229">
        <v>-0.125</v>
      </c>
      <c r="BL106" s="230">
        <v>6116875</v>
      </c>
      <c r="BM106" s="230">
        <v>4027500</v>
      </c>
      <c r="BN106" s="230">
        <v>2089375</v>
      </c>
      <c r="BO106" s="229">
        <v>0.51880000000000004</v>
      </c>
      <c r="BP106" s="230">
        <v>21130625</v>
      </c>
      <c r="BQ106" s="230">
        <v>20881875</v>
      </c>
      <c r="BR106" s="230">
        <v>248750</v>
      </c>
      <c r="BS106" s="229">
        <v>1.1900000000000001E-2</v>
      </c>
      <c r="BT106" s="230">
        <v>2350652</v>
      </c>
      <c r="BU106" s="230">
        <v>2069799</v>
      </c>
      <c r="BV106" s="230">
        <v>280853</v>
      </c>
      <c r="BW106" s="229">
        <v>0.13569999999999999</v>
      </c>
      <c r="BX106" s="230">
        <v>12415625</v>
      </c>
      <c r="BY106" s="230">
        <v>12326875</v>
      </c>
      <c r="BZ106" s="230">
        <v>88750</v>
      </c>
      <c r="CA106" s="229">
        <v>7.1999999999999998E-3</v>
      </c>
      <c r="CB106" s="230">
        <v>12285625</v>
      </c>
      <c r="CC106" s="230">
        <v>12210000</v>
      </c>
      <c r="CD106" s="230">
        <v>75625</v>
      </c>
      <c r="CE106" s="229">
        <v>6.1999999999999998E-3</v>
      </c>
      <c r="CF106" s="230">
        <v>107500</v>
      </c>
      <c r="CG106" s="230">
        <v>105000</v>
      </c>
      <c r="CH106" s="230">
        <v>2500</v>
      </c>
      <c r="CI106" s="229">
        <v>2.3800000000000002E-2</v>
      </c>
      <c r="CJ106" s="230">
        <v>22500</v>
      </c>
      <c r="CK106" s="230">
        <v>11875</v>
      </c>
      <c r="CL106" s="230">
        <v>10625</v>
      </c>
      <c r="CM106" s="229">
        <v>0.89470000000000005</v>
      </c>
      <c r="CN106" s="230">
        <v>4150625</v>
      </c>
      <c r="CO106" s="230">
        <v>3189375</v>
      </c>
      <c r="CP106" s="230">
        <v>961250</v>
      </c>
      <c r="CQ106" s="229">
        <v>0.3014</v>
      </c>
      <c r="CR106" s="230">
        <v>2836875</v>
      </c>
      <c r="CS106" s="230">
        <v>2534375</v>
      </c>
      <c r="CT106" s="230">
        <v>302500</v>
      </c>
      <c r="CU106" s="229">
        <v>0.11940000000000001</v>
      </c>
      <c r="CV106" s="230">
        <v>19403125</v>
      </c>
      <c r="CW106" s="230">
        <v>18050625</v>
      </c>
      <c r="CX106" s="230">
        <v>1352500</v>
      </c>
      <c r="CY106" s="229">
        <v>7.4899999999999994E-2</v>
      </c>
      <c r="CZ106" s="228">
        <v>27.02</v>
      </c>
      <c r="DA106" s="228">
        <v>25.36</v>
      </c>
      <c r="DB106" s="228">
        <v>1.66</v>
      </c>
      <c r="DC106" s="228">
        <v>1.66</v>
      </c>
      <c r="DD106" s="228">
        <v>36.299999999999997</v>
      </c>
      <c r="DE106" s="228">
        <v>36.299999999999997</v>
      </c>
      <c r="DF106" s="228">
        <v>-9.2799999999999994</v>
      </c>
      <c r="DG106" s="228">
        <v>0</v>
      </c>
      <c r="DH106" s="228">
        <v>27.19</v>
      </c>
      <c r="DI106" s="228">
        <v>25.36</v>
      </c>
      <c r="DJ106" s="228">
        <v>1.83</v>
      </c>
      <c r="DK106" s="228">
        <v>1.83</v>
      </c>
      <c r="DL106" s="228">
        <v>26.72</v>
      </c>
      <c r="DM106" s="228">
        <v>25.36</v>
      </c>
      <c r="DN106" s="228">
        <v>1.36</v>
      </c>
      <c r="DO106" s="228">
        <v>1.36</v>
      </c>
      <c r="DP106" s="228">
        <v>0.68</v>
      </c>
      <c r="DQ106" s="228">
        <v>0.79</v>
      </c>
      <c r="DR106" s="228">
        <v>-0.11</v>
      </c>
      <c r="DS106" s="229">
        <v>-0.13919999999999999</v>
      </c>
      <c r="DT106" s="231">
        <v>1100</v>
      </c>
      <c r="DU106" s="231">
        <v>1000</v>
      </c>
      <c r="DV106" s="228">
        <v>0.55000000000000004</v>
      </c>
      <c r="DW106" s="228">
        <v>0.31</v>
      </c>
      <c r="DX106" s="228">
        <v>0.24</v>
      </c>
      <c r="DY106" s="229">
        <v>0.7742</v>
      </c>
      <c r="DZ106" s="229">
        <v>1.0500000000000001E-2</v>
      </c>
      <c r="EA106" s="230">
        <v>116875</v>
      </c>
      <c r="EB106" s="229">
        <v>5.8999999999999999E-3</v>
      </c>
      <c r="EC106" s="229">
        <v>1.0500000000000001E-2</v>
      </c>
      <c r="ED106" s="228">
        <v>5.51</v>
      </c>
      <c r="EE106" s="229">
        <v>5.1999999999999998E-3</v>
      </c>
      <c r="EF106" s="230">
        <v>1079598</v>
      </c>
      <c r="EG106" s="230">
        <v>1015899</v>
      </c>
      <c r="EH106" s="229">
        <v>6.2700000000000006E-2</v>
      </c>
      <c r="EI106" s="229">
        <v>0.45929999999999999</v>
      </c>
      <c r="EJ106" s="231">
        <v>124151.17</v>
      </c>
      <c r="EK106" s="231">
        <v>64219.17</v>
      </c>
      <c r="EL106" s="231">
        <v>40326.47</v>
      </c>
      <c r="EM106" s="231">
        <v>8424</v>
      </c>
      <c r="EN106" s="231">
        <v>228696.81</v>
      </c>
      <c r="EO106" s="231">
        <v>230419.34</v>
      </c>
      <c r="EP106" s="231">
        <v>-1722.53</v>
      </c>
      <c r="EQ106" s="229">
        <v>-7.4999999999999997E-3</v>
      </c>
      <c r="ER106" s="231">
        <v>45750</v>
      </c>
      <c r="ES106" s="231">
        <v>29026</v>
      </c>
      <c r="ET106" s="231">
        <v>131529</v>
      </c>
      <c r="EU106" s="231">
        <v>54776702</v>
      </c>
      <c r="EV106" s="231">
        <v>206304</v>
      </c>
      <c r="EW106" s="231">
        <v>194476</v>
      </c>
      <c r="EX106" s="231">
        <v>11828</v>
      </c>
      <c r="EY106" s="229">
        <v>6.08E-2</v>
      </c>
      <c r="EZ106" s="229">
        <v>0.35420000000000001</v>
      </c>
      <c r="FA106" s="227" t="s">
        <v>567</v>
      </c>
      <c r="FB106" s="161">
        <f t="shared" si="1"/>
        <v>130000</v>
      </c>
    </row>
    <row r="107" spans="1:158" ht="17.25" hidden="1" thickBot="1" x14ac:dyDescent="0.3">
      <c r="A107" s="226">
        <v>45936</v>
      </c>
      <c r="B107" s="227" t="s">
        <v>175</v>
      </c>
      <c r="C107" s="227" t="s">
        <v>571</v>
      </c>
      <c r="D107" s="228">
        <v>2350</v>
      </c>
      <c r="E107" s="228">
        <v>308.05</v>
      </c>
      <c r="F107" s="228">
        <v>303.2</v>
      </c>
      <c r="G107" s="228">
        <v>4.8499999999999996</v>
      </c>
      <c r="H107" s="229">
        <v>1.6E-2</v>
      </c>
      <c r="I107" s="228">
        <v>306.25</v>
      </c>
      <c r="J107" s="228">
        <v>301.7</v>
      </c>
      <c r="K107" s="228">
        <v>4.55</v>
      </c>
      <c r="L107" s="229">
        <v>1.5100000000000001E-2</v>
      </c>
      <c r="M107" s="228">
        <v>308.05</v>
      </c>
      <c r="N107" s="228">
        <v>303.2</v>
      </c>
      <c r="O107" s="228">
        <v>4.8499999999999996</v>
      </c>
      <c r="P107" s="229">
        <v>1.6E-2</v>
      </c>
      <c r="Q107" s="228">
        <v>309.64999999999998</v>
      </c>
      <c r="R107" s="228">
        <v>304.75</v>
      </c>
      <c r="S107" s="228">
        <v>4.9000000000000004</v>
      </c>
      <c r="T107" s="229">
        <v>1.61E-2</v>
      </c>
      <c r="U107" s="228">
        <v>311.7</v>
      </c>
      <c r="V107" s="228">
        <v>306.75</v>
      </c>
      <c r="W107" s="228">
        <v>4.95</v>
      </c>
      <c r="X107" s="229">
        <v>1.61E-2</v>
      </c>
      <c r="Y107" s="228">
        <v>1.8</v>
      </c>
      <c r="Z107" s="228">
        <v>1.5</v>
      </c>
      <c r="AA107" s="228">
        <v>0.3</v>
      </c>
      <c r="AB107" s="229">
        <v>5.8999999999999999E-3</v>
      </c>
      <c r="AC107" s="228">
        <v>1.8</v>
      </c>
      <c r="AD107" s="228">
        <v>1.5</v>
      </c>
      <c r="AE107" s="228">
        <v>0.3</v>
      </c>
      <c r="AF107" s="229">
        <v>5.8999999999999999E-3</v>
      </c>
      <c r="AG107" s="228">
        <v>3.4</v>
      </c>
      <c r="AH107" s="228">
        <v>3.05</v>
      </c>
      <c r="AI107" s="228">
        <v>0.35</v>
      </c>
      <c r="AJ107" s="229">
        <v>1.11E-2</v>
      </c>
      <c r="AK107" s="228">
        <v>5.45</v>
      </c>
      <c r="AL107" s="228">
        <v>5.05</v>
      </c>
      <c r="AM107" s="228">
        <v>0.4</v>
      </c>
      <c r="AN107" s="229">
        <v>1.78E-2</v>
      </c>
      <c r="AO107" s="228">
        <v>306.20999999999998</v>
      </c>
      <c r="AP107" s="228">
        <v>307.52999999999997</v>
      </c>
      <c r="AQ107" s="228">
        <v>0</v>
      </c>
      <c r="AR107" s="230">
        <v>18604950</v>
      </c>
      <c r="AS107" s="230">
        <v>11959150</v>
      </c>
      <c r="AT107" s="230">
        <v>6645800</v>
      </c>
      <c r="AU107" s="229">
        <v>0.55569999999999997</v>
      </c>
      <c r="AV107" s="230">
        <v>16797800</v>
      </c>
      <c r="AW107" s="230">
        <v>10807650</v>
      </c>
      <c r="AX107" s="230">
        <v>5990150</v>
      </c>
      <c r="AY107" s="229">
        <v>0.55430000000000001</v>
      </c>
      <c r="AZ107" s="230">
        <v>1560400</v>
      </c>
      <c r="BA107" s="230">
        <v>921200</v>
      </c>
      <c r="BB107" s="230">
        <v>639200</v>
      </c>
      <c r="BC107" s="229">
        <v>0.69389999999999996</v>
      </c>
      <c r="BD107" s="230">
        <v>246750</v>
      </c>
      <c r="BE107" s="230">
        <v>230300</v>
      </c>
      <c r="BF107" s="230">
        <v>16450</v>
      </c>
      <c r="BG107" s="229">
        <v>7.1400000000000005E-2</v>
      </c>
      <c r="BH107" s="230">
        <v>57144950</v>
      </c>
      <c r="BI107" s="230">
        <v>37207550</v>
      </c>
      <c r="BJ107" s="230">
        <v>19937400</v>
      </c>
      <c r="BK107" s="229">
        <v>0.53580000000000005</v>
      </c>
      <c r="BL107" s="230">
        <v>21763350</v>
      </c>
      <c r="BM107" s="230">
        <v>16515800</v>
      </c>
      <c r="BN107" s="230">
        <v>5247550</v>
      </c>
      <c r="BO107" s="229">
        <v>0.31769999999999998</v>
      </c>
      <c r="BP107" s="230">
        <v>97513250</v>
      </c>
      <c r="BQ107" s="230">
        <v>65682500</v>
      </c>
      <c r="BR107" s="230">
        <v>31830750</v>
      </c>
      <c r="BS107" s="229">
        <v>0.48459999999999998</v>
      </c>
      <c r="BT107" s="230">
        <v>9970853</v>
      </c>
      <c r="BU107" s="230">
        <v>9464501</v>
      </c>
      <c r="BV107" s="230">
        <v>506352</v>
      </c>
      <c r="BW107" s="229">
        <v>5.3499999999999999E-2</v>
      </c>
      <c r="BX107" s="230">
        <v>138184700</v>
      </c>
      <c r="BY107" s="230">
        <v>138457300</v>
      </c>
      <c r="BZ107" s="230">
        <v>-272600</v>
      </c>
      <c r="CA107" s="229">
        <v>-2E-3</v>
      </c>
      <c r="CB107" s="230">
        <v>130925550</v>
      </c>
      <c r="CC107" s="230">
        <v>131520100</v>
      </c>
      <c r="CD107" s="230">
        <v>-594550</v>
      </c>
      <c r="CE107" s="229">
        <v>-4.4999999999999997E-3</v>
      </c>
      <c r="CF107" s="230">
        <v>6857300</v>
      </c>
      <c r="CG107" s="230">
        <v>6655200</v>
      </c>
      <c r="CH107" s="230">
        <v>202100</v>
      </c>
      <c r="CI107" s="229">
        <v>3.04E-2</v>
      </c>
      <c r="CJ107" s="230">
        <v>401850</v>
      </c>
      <c r="CK107" s="230">
        <v>282000</v>
      </c>
      <c r="CL107" s="230">
        <v>119850</v>
      </c>
      <c r="CM107" s="229">
        <v>0.42499999999999999</v>
      </c>
      <c r="CN107" s="230">
        <v>46983550</v>
      </c>
      <c r="CO107" s="230">
        <v>47383050</v>
      </c>
      <c r="CP107" s="230">
        <v>-399500</v>
      </c>
      <c r="CQ107" s="229">
        <v>-8.3999999999999995E-3</v>
      </c>
      <c r="CR107" s="230">
        <v>35900950</v>
      </c>
      <c r="CS107" s="230">
        <v>35691800</v>
      </c>
      <c r="CT107" s="230">
        <v>209150</v>
      </c>
      <c r="CU107" s="229">
        <v>5.8999999999999999E-3</v>
      </c>
      <c r="CV107" s="230">
        <v>221069200</v>
      </c>
      <c r="CW107" s="230">
        <v>221532150</v>
      </c>
      <c r="CX107" s="230">
        <v>-462950</v>
      </c>
      <c r="CY107" s="229">
        <v>-2.0999999999999999E-3</v>
      </c>
      <c r="CZ107" s="228">
        <v>25.71</v>
      </c>
      <c r="DA107" s="228">
        <v>25.24</v>
      </c>
      <c r="DB107" s="228">
        <v>0.47</v>
      </c>
      <c r="DC107" s="228">
        <v>0.47</v>
      </c>
      <c r="DD107" s="228">
        <v>36.56</v>
      </c>
      <c r="DE107" s="228">
        <v>36.590000000000003</v>
      </c>
      <c r="DF107" s="228">
        <v>-10.85</v>
      </c>
      <c r="DG107" s="228">
        <v>-0.03</v>
      </c>
      <c r="DH107" s="228">
        <v>25.6</v>
      </c>
      <c r="DI107" s="228">
        <v>25.34</v>
      </c>
      <c r="DJ107" s="228">
        <v>0.26</v>
      </c>
      <c r="DK107" s="228">
        <v>0.26</v>
      </c>
      <c r="DL107" s="228">
        <v>26.01</v>
      </c>
      <c r="DM107" s="228">
        <v>25.01</v>
      </c>
      <c r="DN107" s="228">
        <v>1</v>
      </c>
      <c r="DO107" s="228">
        <v>1</v>
      </c>
      <c r="DP107" s="228">
        <v>0.76</v>
      </c>
      <c r="DQ107" s="228">
        <v>0.75</v>
      </c>
      <c r="DR107" s="228">
        <v>0.01</v>
      </c>
      <c r="DS107" s="229">
        <v>1.3299999999999999E-2</v>
      </c>
      <c r="DT107" s="228">
        <v>320</v>
      </c>
      <c r="DU107" s="228">
        <v>300</v>
      </c>
      <c r="DV107" s="228">
        <v>0.38</v>
      </c>
      <c r="DW107" s="228">
        <v>0.44</v>
      </c>
      <c r="DX107" s="228">
        <v>-0.06</v>
      </c>
      <c r="DY107" s="229">
        <v>-0.13639999999999999</v>
      </c>
      <c r="DZ107" s="229">
        <v>5.2499999999999998E-2</v>
      </c>
      <c r="EA107" s="230">
        <v>6937200</v>
      </c>
      <c r="EB107" s="229">
        <v>5.1999999999999998E-3</v>
      </c>
      <c r="EC107" s="229">
        <v>5.2499999999999998E-2</v>
      </c>
      <c r="ED107" s="228">
        <v>1.32</v>
      </c>
      <c r="EE107" s="229">
        <v>4.3E-3</v>
      </c>
      <c r="EF107" s="230">
        <v>4798226</v>
      </c>
      <c r="EG107" s="230">
        <v>4947701</v>
      </c>
      <c r="EH107" s="229">
        <v>-3.0200000000000001E-2</v>
      </c>
      <c r="EI107" s="229">
        <v>0.48120000000000002</v>
      </c>
      <c r="EJ107" s="231">
        <v>182973.33</v>
      </c>
      <c r="EK107" s="231">
        <v>65755.89</v>
      </c>
      <c r="EL107" s="231">
        <v>57000.24</v>
      </c>
      <c r="EM107" s="231">
        <v>17590</v>
      </c>
      <c r="EN107" s="231">
        <v>305729.46000000002</v>
      </c>
      <c r="EO107" s="231">
        <v>204190.34</v>
      </c>
      <c r="EP107" s="231">
        <v>101539.12</v>
      </c>
      <c r="EQ107" s="229">
        <v>0.49730000000000002</v>
      </c>
      <c r="ER107" s="231">
        <v>151509</v>
      </c>
      <c r="ES107" s="231">
        <v>109693</v>
      </c>
      <c r="ET107" s="231">
        <v>425802</v>
      </c>
      <c r="EU107" s="231">
        <v>446457456</v>
      </c>
      <c r="EV107" s="231">
        <v>687005</v>
      </c>
      <c r="EW107" s="231">
        <v>681552</v>
      </c>
      <c r="EX107" s="231">
        <v>5453</v>
      </c>
      <c r="EY107" s="229">
        <v>8.0000000000000002E-3</v>
      </c>
      <c r="EZ107" s="229">
        <v>0.49519999999999997</v>
      </c>
      <c r="FA107" s="227" t="s">
        <v>556</v>
      </c>
      <c r="FB107" s="161">
        <f t="shared" si="1"/>
        <v>7259150</v>
      </c>
    </row>
    <row r="108" spans="1:158" ht="17.25" hidden="1" thickBot="1" x14ac:dyDescent="0.3">
      <c r="A108" s="226">
        <v>45936</v>
      </c>
      <c r="B108" s="227" t="s">
        <v>161</v>
      </c>
      <c r="C108" s="227" t="s">
        <v>581</v>
      </c>
      <c r="D108" s="228">
        <v>1000</v>
      </c>
      <c r="E108" s="228">
        <v>543.29999999999995</v>
      </c>
      <c r="F108" s="228">
        <v>543.4</v>
      </c>
      <c r="G108" s="228">
        <v>-0.1</v>
      </c>
      <c r="H108" s="229">
        <v>-2.0000000000000001E-4</v>
      </c>
      <c r="I108" s="228">
        <v>541</v>
      </c>
      <c r="J108" s="228">
        <v>539.9</v>
      </c>
      <c r="K108" s="228">
        <v>1.1000000000000001</v>
      </c>
      <c r="L108" s="229">
        <v>2E-3</v>
      </c>
      <c r="M108" s="228">
        <v>543.29999999999995</v>
      </c>
      <c r="N108" s="228">
        <v>543.4</v>
      </c>
      <c r="O108" s="228">
        <v>-0.1</v>
      </c>
      <c r="P108" s="229">
        <v>-2.0000000000000001E-4</v>
      </c>
      <c r="Q108" s="228">
        <v>546.29999999999995</v>
      </c>
      <c r="R108" s="228">
        <v>546.70000000000005</v>
      </c>
      <c r="S108" s="228">
        <v>-0.4</v>
      </c>
      <c r="T108" s="229">
        <v>-6.9999999999999999E-4</v>
      </c>
      <c r="U108" s="228">
        <v>547.85</v>
      </c>
      <c r="V108" s="228">
        <v>545</v>
      </c>
      <c r="W108" s="228">
        <v>2.85</v>
      </c>
      <c r="X108" s="229">
        <v>5.1999999999999998E-3</v>
      </c>
      <c r="Y108" s="228">
        <v>2.2999999999999998</v>
      </c>
      <c r="Z108" s="228">
        <v>3.5</v>
      </c>
      <c r="AA108" s="228">
        <v>-1.2</v>
      </c>
      <c r="AB108" s="229">
        <v>4.3E-3</v>
      </c>
      <c r="AC108" s="228">
        <v>2.2999999999999998</v>
      </c>
      <c r="AD108" s="228">
        <v>3.5</v>
      </c>
      <c r="AE108" s="228">
        <v>-1.2</v>
      </c>
      <c r="AF108" s="229">
        <v>4.3E-3</v>
      </c>
      <c r="AG108" s="228">
        <v>5.3</v>
      </c>
      <c r="AH108" s="228">
        <v>6.8</v>
      </c>
      <c r="AI108" s="228">
        <v>-1.5</v>
      </c>
      <c r="AJ108" s="229">
        <v>9.7999999999999997E-3</v>
      </c>
      <c r="AK108" s="228">
        <v>6.85</v>
      </c>
      <c r="AL108" s="228">
        <v>5.0999999999999996</v>
      </c>
      <c r="AM108" s="228">
        <v>1.75</v>
      </c>
      <c r="AN108" s="229">
        <v>1.2699999999999999E-2</v>
      </c>
      <c r="AO108" s="228">
        <v>542.05999999999995</v>
      </c>
      <c r="AP108" s="228">
        <v>545.35</v>
      </c>
      <c r="AQ108" s="228">
        <v>0</v>
      </c>
      <c r="AR108" s="230">
        <v>2059000</v>
      </c>
      <c r="AS108" s="230">
        <v>1801000</v>
      </c>
      <c r="AT108" s="230">
        <v>258000</v>
      </c>
      <c r="AU108" s="229">
        <v>0.14330000000000001</v>
      </c>
      <c r="AV108" s="230">
        <v>1988000</v>
      </c>
      <c r="AW108" s="230">
        <v>1753000</v>
      </c>
      <c r="AX108" s="230">
        <v>235000</v>
      </c>
      <c r="AY108" s="229">
        <v>0.1341</v>
      </c>
      <c r="AZ108" s="230">
        <v>68000</v>
      </c>
      <c r="BA108" s="230">
        <v>47000</v>
      </c>
      <c r="BB108" s="230">
        <v>21000</v>
      </c>
      <c r="BC108" s="229">
        <v>0.44679999999999997</v>
      </c>
      <c r="BD108" s="230">
        <v>3000</v>
      </c>
      <c r="BE108" s="230">
        <v>1000</v>
      </c>
      <c r="BF108" s="230">
        <v>2000</v>
      </c>
      <c r="BG108" s="229">
        <v>2</v>
      </c>
      <c r="BH108" s="230">
        <v>4237000</v>
      </c>
      <c r="BI108" s="230">
        <v>4846000</v>
      </c>
      <c r="BJ108" s="230">
        <v>-609000</v>
      </c>
      <c r="BK108" s="229">
        <v>-0.12570000000000001</v>
      </c>
      <c r="BL108" s="230">
        <v>1662000</v>
      </c>
      <c r="BM108" s="230">
        <v>1501000</v>
      </c>
      <c r="BN108" s="230">
        <v>161000</v>
      </c>
      <c r="BO108" s="229">
        <v>0.10730000000000001</v>
      </c>
      <c r="BP108" s="230">
        <v>7958000</v>
      </c>
      <c r="BQ108" s="230">
        <v>8148000</v>
      </c>
      <c r="BR108" s="230">
        <v>-190000</v>
      </c>
      <c r="BS108" s="229">
        <v>-2.3300000000000001E-2</v>
      </c>
      <c r="BT108" s="230">
        <v>1975789</v>
      </c>
      <c r="BU108" s="230">
        <v>1936763</v>
      </c>
      <c r="BV108" s="230">
        <v>39026</v>
      </c>
      <c r="BW108" s="229">
        <v>2.0199999999999999E-2</v>
      </c>
      <c r="BX108" s="230">
        <v>39034000</v>
      </c>
      <c r="BY108" s="230">
        <v>38847000</v>
      </c>
      <c r="BZ108" s="230">
        <v>187000</v>
      </c>
      <c r="CA108" s="229">
        <v>4.7999999999999996E-3</v>
      </c>
      <c r="CB108" s="230">
        <v>38797000</v>
      </c>
      <c r="CC108" s="230">
        <v>38618000</v>
      </c>
      <c r="CD108" s="230">
        <v>179000</v>
      </c>
      <c r="CE108" s="229">
        <v>4.5999999999999999E-3</v>
      </c>
      <c r="CF108" s="230">
        <v>232000</v>
      </c>
      <c r="CG108" s="230">
        <v>227000</v>
      </c>
      <c r="CH108" s="230">
        <v>5000</v>
      </c>
      <c r="CI108" s="229">
        <v>2.1999999999999999E-2</v>
      </c>
      <c r="CJ108" s="230">
        <v>5000</v>
      </c>
      <c r="CK108" s="230">
        <v>2000</v>
      </c>
      <c r="CL108" s="230">
        <v>3000</v>
      </c>
      <c r="CM108" s="229">
        <v>1.5</v>
      </c>
      <c r="CN108" s="230">
        <v>4829000</v>
      </c>
      <c r="CO108" s="230">
        <v>4367000</v>
      </c>
      <c r="CP108" s="230">
        <v>462000</v>
      </c>
      <c r="CQ108" s="229">
        <v>0.10580000000000001</v>
      </c>
      <c r="CR108" s="230">
        <v>3157000</v>
      </c>
      <c r="CS108" s="230">
        <v>3077000</v>
      </c>
      <c r="CT108" s="230">
        <v>80000</v>
      </c>
      <c r="CU108" s="229">
        <v>2.5999999999999999E-2</v>
      </c>
      <c r="CV108" s="230">
        <v>47020000</v>
      </c>
      <c r="CW108" s="230">
        <v>46291000</v>
      </c>
      <c r="CX108" s="230">
        <v>729000</v>
      </c>
      <c r="CY108" s="229">
        <v>1.5699999999999999E-2</v>
      </c>
      <c r="CZ108" s="228">
        <v>27.64</v>
      </c>
      <c r="DA108" s="228">
        <v>27.39</v>
      </c>
      <c r="DB108" s="228">
        <v>0.25</v>
      </c>
      <c r="DC108" s="228">
        <v>0.25</v>
      </c>
      <c r="DD108" s="228">
        <v>45.89</v>
      </c>
      <c r="DE108" s="228">
        <v>46.01</v>
      </c>
      <c r="DF108" s="228">
        <v>-18.25</v>
      </c>
      <c r="DG108" s="228">
        <v>-0.12</v>
      </c>
      <c r="DH108" s="228">
        <v>27.56</v>
      </c>
      <c r="DI108" s="228">
        <v>27.32</v>
      </c>
      <c r="DJ108" s="228">
        <v>0.24</v>
      </c>
      <c r="DK108" s="228">
        <v>0.24</v>
      </c>
      <c r="DL108" s="228">
        <v>27.86</v>
      </c>
      <c r="DM108" s="228">
        <v>27.59</v>
      </c>
      <c r="DN108" s="228">
        <v>0.27</v>
      </c>
      <c r="DO108" s="228">
        <v>0.27</v>
      </c>
      <c r="DP108" s="228">
        <v>0.65</v>
      </c>
      <c r="DQ108" s="228">
        <v>0.7</v>
      </c>
      <c r="DR108" s="228">
        <v>-0.05</v>
      </c>
      <c r="DS108" s="229">
        <v>-7.1400000000000005E-2</v>
      </c>
      <c r="DT108" s="228">
        <v>550</v>
      </c>
      <c r="DU108" s="228">
        <v>530</v>
      </c>
      <c r="DV108" s="228">
        <v>0.39</v>
      </c>
      <c r="DW108" s="228">
        <v>0.31</v>
      </c>
      <c r="DX108" s="228">
        <v>0.08</v>
      </c>
      <c r="DY108" s="229">
        <v>0.2581</v>
      </c>
      <c r="DZ108" s="229">
        <v>6.1000000000000004E-3</v>
      </c>
      <c r="EA108" s="230">
        <v>229000</v>
      </c>
      <c r="EB108" s="229">
        <v>5.4999999999999997E-3</v>
      </c>
      <c r="EC108" s="229">
        <v>6.1000000000000004E-3</v>
      </c>
      <c r="ED108" s="228">
        <v>3.29</v>
      </c>
      <c r="EE108" s="229">
        <v>6.1000000000000004E-3</v>
      </c>
      <c r="EF108" s="230">
        <v>1152225</v>
      </c>
      <c r="EG108" s="230">
        <v>1235583</v>
      </c>
      <c r="EH108" s="229">
        <v>-6.7500000000000004E-2</v>
      </c>
      <c r="EI108" s="229">
        <v>0.58320000000000005</v>
      </c>
      <c r="EJ108" s="231">
        <v>23908.32</v>
      </c>
      <c r="EK108" s="231">
        <v>9005.7000000000007</v>
      </c>
      <c r="EL108" s="231">
        <v>11163.48</v>
      </c>
      <c r="EM108" s="231">
        <v>9869</v>
      </c>
      <c r="EN108" s="231">
        <v>44077.5</v>
      </c>
      <c r="EO108" s="231">
        <v>45303.46</v>
      </c>
      <c r="EP108" s="231">
        <v>-1225.96</v>
      </c>
      <c r="EQ108" s="229">
        <v>-2.7099999999999999E-2</v>
      </c>
      <c r="ER108" s="231">
        <v>26806</v>
      </c>
      <c r="ES108" s="231">
        <v>16671</v>
      </c>
      <c r="ET108" s="231">
        <v>212079</v>
      </c>
      <c r="EU108" s="231">
        <v>80203755</v>
      </c>
      <c r="EV108" s="231">
        <v>255556</v>
      </c>
      <c r="EW108" s="231">
        <v>251601</v>
      </c>
      <c r="EX108" s="231">
        <v>3955</v>
      </c>
      <c r="EY108" s="229">
        <v>1.5699999999999999E-2</v>
      </c>
      <c r="EZ108" s="229">
        <v>0.58630000000000004</v>
      </c>
      <c r="FA108" s="227" t="s">
        <v>567</v>
      </c>
      <c r="FB108" s="161">
        <f t="shared" si="1"/>
        <v>237000</v>
      </c>
    </row>
    <row r="109" spans="1:158" ht="17.25" hidden="1" thickBot="1" x14ac:dyDescent="0.3">
      <c r="A109" s="226">
        <v>45936</v>
      </c>
      <c r="B109" s="227" t="s">
        <v>227</v>
      </c>
      <c r="C109" s="227" t="s">
        <v>244</v>
      </c>
      <c r="D109" s="228">
        <v>675</v>
      </c>
      <c r="E109" s="231">
        <v>1167.5</v>
      </c>
      <c r="F109" s="231">
        <v>1169.3</v>
      </c>
      <c r="G109" s="228">
        <v>-1.8</v>
      </c>
      <c r="H109" s="229">
        <v>-1.5E-3</v>
      </c>
      <c r="I109" s="231">
        <v>1159.9000000000001</v>
      </c>
      <c r="J109" s="231">
        <v>1161.7</v>
      </c>
      <c r="K109" s="228">
        <v>-1.8</v>
      </c>
      <c r="L109" s="229">
        <v>-1.5E-3</v>
      </c>
      <c r="M109" s="231">
        <v>1167.5</v>
      </c>
      <c r="N109" s="231">
        <v>1169.3</v>
      </c>
      <c r="O109" s="228">
        <v>-1.8</v>
      </c>
      <c r="P109" s="229">
        <v>-1.5E-3</v>
      </c>
      <c r="Q109" s="231">
        <v>1173.5999999999999</v>
      </c>
      <c r="R109" s="231">
        <v>1175.3</v>
      </c>
      <c r="S109" s="228">
        <v>-1.7</v>
      </c>
      <c r="T109" s="229">
        <v>-1.4E-3</v>
      </c>
      <c r="U109" s="231">
        <v>1178.9000000000001</v>
      </c>
      <c r="V109" s="231">
        <v>1177</v>
      </c>
      <c r="W109" s="228">
        <v>1.9</v>
      </c>
      <c r="X109" s="229">
        <v>1.6000000000000001E-3</v>
      </c>
      <c r="Y109" s="228">
        <v>7.6</v>
      </c>
      <c r="Z109" s="228">
        <v>7.6</v>
      </c>
      <c r="AA109" s="228">
        <v>0</v>
      </c>
      <c r="AB109" s="229">
        <v>6.6E-3</v>
      </c>
      <c r="AC109" s="228">
        <v>7.6</v>
      </c>
      <c r="AD109" s="228">
        <v>7.6</v>
      </c>
      <c r="AE109" s="228">
        <v>0</v>
      </c>
      <c r="AF109" s="229">
        <v>6.6E-3</v>
      </c>
      <c r="AG109" s="228">
        <v>13.7</v>
      </c>
      <c r="AH109" s="228">
        <v>13.6</v>
      </c>
      <c r="AI109" s="228">
        <v>0.1</v>
      </c>
      <c r="AJ109" s="229">
        <v>1.18E-2</v>
      </c>
      <c r="AK109" s="228">
        <v>19</v>
      </c>
      <c r="AL109" s="228">
        <v>15.3</v>
      </c>
      <c r="AM109" s="228">
        <v>3.7</v>
      </c>
      <c r="AN109" s="229">
        <v>1.6400000000000001E-2</v>
      </c>
      <c r="AO109" s="231">
        <v>1162.19</v>
      </c>
      <c r="AP109" s="231">
        <v>1167.43</v>
      </c>
      <c r="AQ109" s="228">
        <v>0</v>
      </c>
      <c r="AR109" s="230">
        <v>1917675</v>
      </c>
      <c r="AS109" s="230">
        <v>4745250</v>
      </c>
      <c r="AT109" s="230">
        <v>-2827575</v>
      </c>
      <c r="AU109" s="229">
        <v>-0.59589999999999999</v>
      </c>
      <c r="AV109" s="230">
        <v>1827225</v>
      </c>
      <c r="AW109" s="230">
        <v>4589325</v>
      </c>
      <c r="AX109" s="230">
        <v>-2762100</v>
      </c>
      <c r="AY109" s="229">
        <v>-0.60189999999999999</v>
      </c>
      <c r="AZ109" s="230">
        <v>79650</v>
      </c>
      <c r="BA109" s="230">
        <v>140400</v>
      </c>
      <c r="BB109" s="230">
        <v>-60750</v>
      </c>
      <c r="BC109" s="229">
        <v>-0.43269999999999997</v>
      </c>
      <c r="BD109" s="230">
        <v>10800</v>
      </c>
      <c r="BE109" s="230">
        <v>15525</v>
      </c>
      <c r="BF109" s="230">
        <v>-4725</v>
      </c>
      <c r="BG109" s="229">
        <v>-0.30430000000000001</v>
      </c>
      <c r="BH109" s="230">
        <v>6311925</v>
      </c>
      <c r="BI109" s="230">
        <v>16048125</v>
      </c>
      <c r="BJ109" s="230">
        <v>-9736200</v>
      </c>
      <c r="BK109" s="229">
        <v>-0.60670000000000002</v>
      </c>
      <c r="BL109" s="230">
        <v>3185325</v>
      </c>
      <c r="BM109" s="230">
        <v>6825600</v>
      </c>
      <c r="BN109" s="230">
        <v>-3640275</v>
      </c>
      <c r="BO109" s="229">
        <v>-0.5333</v>
      </c>
      <c r="BP109" s="230">
        <v>11414925</v>
      </c>
      <c r="BQ109" s="230">
        <v>27618975</v>
      </c>
      <c r="BR109" s="230">
        <v>-16204050</v>
      </c>
      <c r="BS109" s="229">
        <v>-0.5867</v>
      </c>
      <c r="BT109" s="230">
        <v>1050171</v>
      </c>
      <c r="BU109" s="230">
        <v>2271185</v>
      </c>
      <c r="BV109" s="230">
        <v>-1221014</v>
      </c>
      <c r="BW109" s="229">
        <v>-0.53759999999999997</v>
      </c>
      <c r="BX109" s="230">
        <v>44828100</v>
      </c>
      <c r="BY109" s="230">
        <v>44777475</v>
      </c>
      <c r="BZ109" s="230">
        <v>50625</v>
      </c>
      <c r="CA109" s="229">
        <v>1.1000000000000001E-3</v>
      </c>
      <c r="CB109" s="230">
        <v>44629650</v>
      </c>
      <c r="CC109" s="230">
        <v>44595900</v>
      </c>
      <c r="CD109" s="230">
        <v>33750</v>
      </c>
      <c r="CE109" s="229">
        <v>8.0000000000000004E-4</v>
      </c>
      <c r="CF109" s="230">
        <v>184275</v>
      </c>
      <c r="CG109" s="230">
        <v>170775</v>
      </c>
      <c r="CH109" s="230">
        <v>13500</v>
      </c>
      <c r="CI109" s="229">
        <v>7.9100000000000004E-2</v>
      </c>
      <c r="CJ109" s="230">
        <v>14175</v>
      </c>
      <c r="CK109" s="230">
        <v>10800</v>
      </c>
      <c r="CL109" s="230">
        <v>3375</v>
      </c>
      <c r="CM109" s="229">
        <v>0.3125</v>
      </c>
      <c r="CN109" s="230">
        <v>4926825</v>
      </c>
      <c r="CO109" s="230">
        <v>4807350</v>
      </c>
      <c r="CP109" s="230">
        <v>119475</v>
      </c>
      <c r="CQ109" s="229">
        <v>2.4899999999999999E-2</v>
      </c>
      <c r="CR109" s="230">
        <v>3192750</v>
      </c>
      <c r="CS109" s="230">
        <v>3062475</v>
      </c>
      <c r="CT109" s="230">
        <v>130275</v>
      </c>
      <c r="CU109" s="229">
        <v>4.2500000000000003E-2</v>
      </c>
      <c r="CV109" s="230">
        <v>52947675</v>
      </c>
      <c r="CW109" s="230">
        <v>52647300</v>
      </c>
      <c r="CX109" s="230">
        <v>300375</v>
      </c>
      <c r="CY109" s="229">
        <v>5.7000000000000002E-3</v>
      </c>
      <c r="CZ109" s="228">
        <v>24.09</v>
      </c>
      <c r="DA109" s="228">
        <v>23.18</v>
      </c>
      <c r="DB109" s="228">
        <v>0.91</v>
      </c>
      <c r="DC109" s="228">
        <v>0.91</v>
      </c>
      <c r="DD109" s="228">
        <v>29.73</v>
      </c>
      <c r="DE109" s="228">
        <v>29.8</v>
      </c>
      <c r="DF109" s="228">
        <v>-5.64</v>
      </c>
      <c r="DG109" s="228">
        <v>-7.0000000000000007E-2</v>
      </c>
      <c r="DH109" s="228">
        <v>24.12</v>
      </c>
      <c r="DI109" s="228">
        <v>23.06</v>
      </c>
      <c r="DJ109" s="228">
        <v>1.06</v>
      </c>
      <c r="DK109" s="228">
        <v>1.06</v>
      </c>
      <c r="DL109" s="228">
        <v>24.03</v>
      </c>
      <c r="DM109" s="228">
        <v>23.46</v>
      </c>
      <c r="DN109" s="228">
        <v>0.56999999999999995</v>
      </c>
      <c r="DO109" s="228">
        <v>0.56999999999999995</v>
      </c>
      <c r="DP109" s="228">
        <v>0.65</v>
      </c>
      <c r="DQ109" s="228">
        <v>0.64</v>
      </c>
      <c r="DR109" s="228">
        <v>0.01</v>
      </c>
      <c r="DS109" s="229">
        <v>1.5599999999999999E-2</v>
      </c>
      <c r="DT109" s="231">
        <v>1300</v>
      </c>
      <c r="DU109" s="231">
        <v>1100</v>
      </c>
      <c r="DV109" s="228">
        <v>0.5</v>
      </c>
      <c r="DW109" s="228">
        <v>0.43</v>
      </c>
      <c r="DX109" s="228">
        <v>7.0000000000000007E-2</v>
      </c>
      <c r="DY109" s="229">
        <v>0.1628</v>
      </c>
      <c r="DZ109" s="229">
        <v>4.4000000000000003E-3</v>
      </c>
      <c r="EA109" s="230">
        <v>181575</v>
      </c>
      <c r="EB109" s="229">
        <v>5.1999999999999998E-3</v>
      </c>
      <c r="EC109" s="229">
        <v>4.4000000000000003E-3</v>
      </c>
      <c r="ED109" s="228">
        <v>5.24</v>
      </c>
      <c r="EE109" s="229">
        <v>4.4999999999999997E-3</v>
      </c>
      <c r="EF109" s="230">
        <v>448797</v>
      </c>
      <c r="EG109" s="230">
        <v>839693</v>
      </c>
      <c r="EH109" s="229">
        <v>-0.46550000000000002</v>
      </c>
      <c r="EI109" s="229">
        <v>0.4274</v>
      </c>
      <c r="EJ109" s="231">
        <v>76778.720000000001</v>
      </c>
      <c r="EK109" s="231">
        <v>36595.79</v>
      </c>
      <c r="EL109" s="231">
        <v>22292.49</v>
      </c>
      <c r="EM109" s="231">
        <v>16978</v>
      </c>
      <c r="EN109" s="231">
        <v>135667</v>
      </c>
      <c r="EO109" s="231">
        <v>329096.82</v>
      </c>
      <c r="EP109" s="231">
        <v>-193429.82</v>
      </c>
      <c r="EQ109" s="229">
        <v>-0.58779999999999999</v>
      </c>
      <c r="ER109" s="231">
        <v>59398</v>
      </c>
      <c r="ES109" s="231">
        <v>34877</v>
      </c>
      <c r="ET109" s="231">
        <v>523381</v>
      </c>
      <c r="EU109" s="231">
        <v>133166619</v>
      </c>
      <c r="EV109" s="231">
        <v>617656</v>
      </c>
      <c r="EW109" s="231">
        <v>614921</v>
      </c>
      <c r="EX109" s="231">
        <v>2735</v>
      </c>
      <c r="EY109" s="229">
        <v>4.4000000000000003E-3</v>
      </c>
      <c r="EZ109" s="229">
        <v>0.39760000000000001</v>
      </c>
      <c r="FA109" s="227" t="s">
        <v>567</v>
      </c>
      <c r="FB109" s="161">
        <f t="shared" si="1"/>
        <v>198450</v>
      </c>
    </row>
    <row r="110" spans="1:158" ht="17.25" hidden="1" thickBot="1" x14ac:dyDescent="0.3">
      <c r="A110" s="226">
        <v>45936</v>
      </c>
      <c r="B110" s="227" t="s">
        <v>168</v>
      </c>
      <c r="C110" s="227" t="s">
        <v>245</v>
      </c>
      <c r="D110" s="228">
        <v>1250</v>
      </c>
      <c r="E110" s="228">
        <v>626.70000000000005</v>
      </c>
      <c r="F110" s="228">
        <v>631.95000000000005</v>
      </c>
      <c r="G110" s="228">
        <v>-5.25</v>
      </c>
      <c r="H110" s="229">
        <v>-8.3000000000000001E-3</v>
      </c>
      <c r="I110" s="228">
        <v>623.35</v>
      </c>
      <c r="J110" s="228">
        <v>628.45000000000005</v>
      </c>
      <c r="K110" s="228">
        <v>-5.0999999999999996</v>
      </c>
      <c r="L110" s="229">
        <v>-8.0999999999999996E-3</v>
      </c>
      <c r="M110" s="228">
        <v>626.70000000000005</v>
      </c>
      <c r="N110" s="228">
        <v>631.95000000000005</v>
      </c>
      <c r="O110" s="228">
        <v>-5.25</v>
      </c>
      <c r="P110" s="229">
        <v>-8.3000000000000001E-3</v>
      </c>
      <c r="Q110" s="228">
        <v>629.70000000000005</v>
      </c>
      <c r="R110" s="228">
        <v>634.75</v>
      </c>
      <c r="S110" s="228">
        <v>-5.05</v>
      </c>
      <c r="T110" s="229">
        <v>-8.0000000000000002E-3</v>
      </c>
      <c r="U110" s="228">
        <v>632.29999999999995</v>
      </c>
      <c r="V110" s="228">
        <v>635.70000000000005</v>
      </c>
      <c r="W110" s="228">
        <v>-3.4</v>
      </c>
      <c r="X110" s="229">
        <v>-5.3E-3</v>
      </c>
      <c r="Y110" s="228">
        <v>3.35</v>
      </c>
      <c r="Z110" s="228">
        <v>3.5</v>
      </c>
      <c r="AA110" s="228">
        <v>-0.15</v>
      </c>
      <c r="AB110" s="229">
        <v>5.4000000000000003E-3</v>
      </c>
      <c r="AC110" s="228">
        <v>3.35</v>
      </c>
      <c r="AD110" s="228">
        <v>3.5</v>
      </c>
      <c r="AE110" s="228">
        <v>-0.15</v>
      </c>
      <c r="AF110" s="229">
        <v>5.4000000000000003E-3</v>
      </c>
      <c r="AG110" s="228">
        <v>6.35</v>
      </c>
      <c r="AH110" s="228">
        <v>6.3</v>
      </c>
      <c r="AI110" s="228">
        <v>0.05</v>
      </c>
      <c r="AJ110" s="229">
        <v>1.0200000000000001E-2</v>
      </c>
      <c r="AK110" s="228">
        <v>8.9499999999999993</v>
      </c>
      <c r="AL110" s="228">
        <v>7.25</v>
      </c>
      <c r="AM110" s="228">
        <v>1.7</v>
      </c>
      <c r="AN110" s="229">
        <v>1.44E-2</v>
      </c>
      <c r="AO110" s="228">
        <v>629.30999999999995</v>
      </c>
      <c r="AP110" s="228">
        <v>631.99</v>
      </c>
      <c r="AQ110" s="228">
        <v>0</v>
      </c>
      <c r="AR110" s="230">
        <v>4386250</v>
      </c>
      <c r="AS110" s="230">
        <v>2137500</v>
      </c>
      <c r="AT110" s="230">
        <v>2248750</v>
      </c>
      <c r="AU110" s="229">
        <v>1.052</v>
      </c>
      <c r="AV110" s="230">
        <v>4220000</v>
      </c>
      <c r="AW110" s="230">
        <v>2082500</v>
      </c>
      <c r="AX110" s="230">
        <v>2137500</v>
      </c>
      <c r="AY110" s="229">
        <v>1.0264</v>
      </c>
      <c r="AZ110" s="230">
        <v>153750</v>
      </c>
      <c r="BA110" s="230">
        <v>51250</v>
      </c>
      <c r="BB110" s="230">
        <v>102500</v>
      </c>
      <c r="BC110" s="229">
        <v>2</v>
      </c>
      <c r="BD110" s="230">
        <v>12500</v>
      </c>
      <c r="BE110" s="230">
        <v>3750</v>
      </c>
      <c r="BF110" s="230">
        <v>8750</v>
      </c>
      <c r="BG110" s="229">
        <v>2.3332999999999999</v>
      </c>
      <c r="BH110" s="230">
        <v>7920000</v>
      </c>
      <c r="BI110" s="230">
        <v>4277500</v>
      </c>
      <c r="BJ110" s="230">
        <v>3642500</v>
      </c>
      <c r="BK110" s="229">
        <v>0.85150000000000003</v>
      </c>
      <c r="BL110" s="230">
        <v>3797500</v>
      </c>
      <c r="BM110" s="230">
        <v>1447500</v>
      </c>
      <c r="BN110" s="230">
        <v>2350000</v>
      </c>
      <c r="BO110" s="229">
        <v>1.6234999999999999</v>
      </c>
      <c r="BP110" s="230">
        <v>16103750</v>
      </c>
      <c r="BQ110" s="230">
        <v>7862500</v>
      </c>
      <c r="BR110" s="230">
        <v>8241250</v>
      </c>
      <c r="BS110" s="229">
        <v>1.0482</v>
      </c>
      <c r="BT110" s="230">
        <v>1583208</v>
      </c>
      <c r="BU110" s="230">
        <v>597445</v>
      </c>
      <c r="BV110" s="230">
        <v>985763</v>
      </c>
      <c r="BW110" s="229">
        <v>1.65</v>
      </c>
      <c r="BX110" s="230">
        <v>21018750</v>
      </c>
      <c r="BY110" s="230">
        <v>21083750</v>
      </c>
      <c r="BZ110" s="230">
        <v>-65000</v>
      </c>
      <c r="CA110" s="229">
        <v>-3.0999999999999999E-3</v>
      </c>
      <c r="CB110" s="230">
        <v>20695000</v>
      </c>
      <c r="CC110" s="230">
        <v>20812500</v>
      </c>
      <c r="CD110" s="230">
        <v>-117500</v>
      </c>
      <c r="CE110" s="229">
        <v>-5.5999999999999999E-3</v>
      </c>
      <c r="CF110" s="230">
        <v>316250</v>
      </c>
      <c r="CG110" s="230">
        <v>268750</v>
      </c>
      <c r="CH110" s="230">
        <v>47500</v>
      </c>
      <c r="CI110" s="229">
        <v>0.1767</v>
      </c>
      <c r="CJ110" s="230">
        <v>7500</v>
      </c>
      <c r="CK110" s="230">
        <v>2500</v>
      </c>
      <c r="CL110" s="230">
        <v>5000</v>
      </c>
      <c r="CM110" s="229">
        <v>2</v>
      </c>
      <c r="CN110" s="230">
        <v>4487500</v>
      </c>
      <c r="CO110" s="230">
        <v>3386250</v>
      </c>
      <c r="CP110" s="230">
        <v>1101250</v>
      </c>
      <c r="CQ110" s="229">
        <v>0.32519999999999999</v>
      </c>
      <c r="CR110" s="230">
        <v>2963750</v>
      </c>
      <c r="CS110" s="230">
        <v>2316250</v>
      </c>
      <c r="CT110" s="230">
        <v>647500</v>
      </c>
      <c r="CU110" s="229">
        <v>0.27950000000000003</v>
      </c>
      <c r="CV110" s="230">
        <v>28470000</v>
      </c>
      <c r="CW110" s="230">
        <v>26786250</v>
      </c>
      <c r="CX110" s="230">
        <v>1683750</v>
      </c>
      <c r="CY110" s="229">
        <v>6.2899999999999998E-2</v>
      </c>
      <c r="CZ110" s="228">
        <v>26.01</v>
      </c>
      <c r="DA110" s="228">
        <v>25.24</v>
      </c>
      <c r="DB110" s="228">
        <v>0.77</v>
      </c>
      <c r="DC110" s="228">
        <v>0.77</v>
      </c>
      <c r="DD110" s="228">
        <v>34.28</v>
      </c>
      <c r="DE110" s="228">
        <v>34.35</v>
      </c>
      <c r="DF110" s="228">
        <v>-8.27</v>
      </c>
      <c r="DG110" s="228">
        <v>-7.0000000000000007E-2</v>
      </c>
      <c r="DH110" s="228">
        <v>26.02</v>
      </c>
      <c r="DI110" s="228">
        <v>24.92</v>
      </c>
      <c r="DJ110" s="228">
        <v>1.1000000000000001</v>
      </c>
      <c r="DK110" s="228">
        <v>1.1000000000000001</v>
      </c>
      <c r="DL110" s="228">
        <v>26</v>
      </c>
      <c r="DM110" s="228">
        <v>26.18</v>
      </c>
      <c r="DN110" s="228">
        <v>-0.18</v>
      </c>
      <c r="DO110" s="228">
        <v>-0.18</v>
      </c>
      <c r="DP110" s="228">
        <v>0.66</v>
      </c>
      <c r="DQ110" s="228">
        <v>0.68</v>
      </c>
      <c r="DR110" s="228">
        <v>-0.02</v>
      </c>
      <c r="DS110" s="229">
        <v>-2.9399999999999999E-2</v>
      </c>
      <c r="DT110" s="228">
        <v>700</v>
      </c>
      <c r="DU110" s="228">
        <v>620</v>
      </c>
      <c r="DV110" s="228">
        <v>0.48</v>
      </c>
      <c r="DW110" s="228">
        <v>0.34</v>
      </c>
      <c r="DX110" s="228">
        <v>0.14000000000000001</v>
      </c>
      <c r="DY110" s="229">
        <v>0.4118</v>
      </c>
      <c r="DZ110" s="229">
        <v>1.54E-2</v>
      </c>
      <c r="EA110" s="230">
        <v>271250</v>
      </c>
      <c r="EB110" s="229">
        <v>4.7999999999999996E-3</v>
      </c>
      <c r="EC110" s="229">
        <v>1.54E-2</v>
      </c>
      <c r="ED110" s="228">
        <v>2.68</v>
      </c>
      <c r="EE110" s="229">
        <v>4.3E-3</v>
      </c>
      <c r="EF110" s="230">
        <v>631823</v>
      </c>
      <c r="EG110" s="230">
        <v>250651</v>
      </c>
      <c r="EH110" s="229">
        <v>1.5206999999999999</v>
      </c>
      <c r="EI110" s="229">
        <v>0.39910000000000001</v>
      </c>
      <c r="EJ110" s="231">
        <v>52006.28</v>
      </c>
      <c r="EK110" s="231">
        <v>23755.64</v>
      </c>
      <c r="EL110" s="231">
        <v>27607.66</v>
      </c>
      <c r="EM110" s="231">
        <v>6954</v>
      </c>
      <c r="EN110" s="231">
        <v>103369.58</v>
      </c>
      <c r="EO110" s="231">
        <v>50439.42</v>
      </c>
      <c r="EP110" s="231">
        <v>52930.16</v>
      </c>
      <c r="EQ110" s="229">
        <v>1.0494000000000001</v>
      </c>
      <c r="ER110" s="231">
        <v>29462</v>
      </c>
      <c r="ES110" s="231">
        <v>17958</v>
      </c>
      <c r="ET110" s="231">
        <v>131734</v>
      </c>
      <c r="EU110" s="231">
        <v>48884739</v>
      </c>
      <c r="EV110" s="231">
        <v>179154</v>
      </c>
      <c r="EW110" s="231">
        <v>169624</v>
      </c>
      <c r="EX110" s="231">
        <v>9530</v>
      </c>
      <c r="EY110" s="229">
        <v>5.62E-2</v>
      </c>
      <c r="EZ110" s="229">
        <v>0.58240000000000003</v>
      </c>
      <c r="FA110" s="227" t="s">
        <v>568</v>
      </c>
      <c r="FB110" s="161">
        <f t="shared" si="1"/>
        <v>323750</v>
      </c>
    </row>
    <row r="111" spans="1:158" ht="17.25" hidden="1" thickBot="1" x14ac:dyDescent="0.3">
      <c r="A111" s="226">
        <v>45936</v>
      </c>
      <c r="B111" s="227" t="s">
        <v>168</v>
      </c>
      <c r="C111" s="227" t="s">
        <v>583</v>
      </c>
      <c r="D111" s="228">
        <v>1175</v>
      </c>
      <c r="E111" s="228">
        <v>487.1</v>
      </c>
      <c r="F111" s="228">
        <v>493.55</v>
      </c>
      <c r="G111" s="228">
        <v>-6.45</v>
      </c>
      <c r="H111" s="229">
        <v>-1.3100000000000001E-2</v>
      </c>
      <c r="I111" s="228">
        <v>485.35</v>
      </c>
      <c r="J111" s="228">
        <v>492.15</v>
      </c>
      <c r="K111" s="228">
        <v>-6.8</v>
      </c>
      <c r="L111" s="229">
        <v>-1.38E-2</v>
      </c>
      <c r="M111" s="228">
        <v>487.1</v>
      </c>
      <c r="N111" s="228">
        <v>493.55</v>
      </c>
      <c r="O111" s="228">
        <v>-6.45</v>
      </c>
      <c r="P111" s="229">
        <v>-1.3100000000000001E-2</v>
      </c>
      <c r="Q111" s="228">
        <v>489.15</v>
      </c>
      <c r="R111" s="228">
        <v>497.1</v>
      </c>
      <c r="S111" s="228">
        <v>-7.95</v>
      </c>
      <c r="T111" s="229">
        <v>-1.6E-2</v>
      </c>
      <c r="U111" s="228">
        <v>492.35</v>
      </c>
      <c r="V111" s="228">
        <v>496.7</v>
      </c>
      <c r="W111" s="228">
        <v>-4.3499999999999996</v>
      </c>
      <c r="X111" s="229">
        <v>-8.8000000000000005E-3</v>
      </c>
      <c r="Y111" s="228">
        <v>1.75</v>
      </c>
      <c r="Z111" s="228">
        <v>1.4</v>
      </c>
      <c r="AA111" s="228">
        <v>0.35</v>
      </c>
      <c r="AB111" s="229">
        <v>3.5999999999999999E-3</v>
      </c>
      <c r="AC111" s="228">
        <v>1.75</v>
      </c>
      <c r="AD111" s="228">
        <v>1.4</v>
      </c>
      <c r="AE111" s="228">
        <v>0.35</v>
      </c>
      <c r="AF111" s="229">
        <v>3.5999999999999999E-3</v>
      </c>
      <c r="AG111" s="228">
        <v>3.8</v>
      </c>
      <c r="AH111" s="228">
        <v>4.95</v>
      </c>
      <c r="AI111" s="228">
        <v>-1.1499999999999999</v>
      </c>
      <c r="AJ111" s="229">
        <v>7.7999999999999996E-3</v>
      </c>
      <c r="AK111" s="228">
        <v>7</v>
      </c>
      <c r="AL111" s="228">
        <v>4.55</v>
      </c>
      <c r="AM111" s="228">
        <v>2.4500000000000002</v>
      </c>
      <c r="AN111" s="229">
        <v>1.44E-2</v>
      </c>
      <c r="AO111" s="228">
        <v>488.15</v>
      </c>
      <c r="AP111" s="228">
        <v>490.46</v>
      </c>
      <c r="AQ111" s="228">
        <v>0</v>
      </c>
      <c r="AR111" s="230">
        <v>6299175</v>
      </c>
      <c r="AS111" s="230">
        <v>11016800</v>
      </c>
      <c r="AT111" s="230">
        <v>-4717625</v>
      </c>
      <c r="AU111" s="229">
        <v>-0.42820000000000003</v>
      </c>
      <c r="AV111" s="230">
        <v>5937275</v>
      </c>
      <c r="AW111" s="230">
        <v>10242475</v>
      </c>
      <c r="AX111" s="230">
        <v>-4305200</v>
      </c>
      <c r="AY111" s="229">
        <v>-0.42030000000000001</v>
      </c>
      <c r="AZ111" s="230">
        <v>309025</v>
      </c>
      <c r="BA111" s="230">
        <v>719100</v>
      </c>
      <c r="BB111" s="230">
        <v>-410075</v>
      </c>
      <c r="BC111" s="229">
        <v>-0.57030000000000003</v>
      </c>
      <c r="BD111" s="230">
        <v>52875</v>
      </c>
      <c r="BE111" s="230">
        <v>55225</v>
      </c>
      <c r="BF111" s="230">
        <v>-2350</v>
      </c>
      <c r="BG111" s="229">
        <v>-4.2599999999999999E-2</v>
      </c>
      <c r="BH111" s="230">
        <v>21889075</v>
      </c>
      <c r="BI111" s="230">
        <v>48177350</v>
      </c>
      <c r="BJ111" s="230">
        <v>-26288275</v>
      </c>
      <c r="BK111" s="229">
        <v>-0.54569999999999996</v>
      </c>
      <c r="BL111" s="230">
        <v>8618625</v>
      </c>
      <c r="BM111" s="230">
        <v>17695500</v>
      </c>
      <c r="BN111" s="230">
        <v>-9076875</v>
      </c>
      <c r="BO111" s="229">
        <v>-0.51290000000000002</v>
      </c>
      <c r="BP111" s="230">
        <v>36806875</v>
      </c>
      <c r="BQ111" s="230">
        <v>76889650</v>
      </c>
      <c r="BR111" s="230">
        <v>-40082775</v>
      </c>
      <c r="BS111" s="229">
        <v>-0.52129999999999999</v>
      </c>
      <c r="BT111" s="230">
        <v>4828417</v>
      </c>
      <c r="BU111" s="230">
        <v>10419875</v>
      </c>
      <c r="BV111" s="230">
        <v>-5591458</v>
      </c>
      <c r="BW111" s="229">
        <v>-0.53659999999999997</v>
      </c>
      <c r="BX111" s="230">
        <v>30869600</v>
      </c>
      <c r="BY111" s="230">
        <v>30245675</v>
      </c>
      <c r="BZ111" s="230">
        <v>623925</v>
      </c>
      <c r="CA111" s="229">
        <v>2.06E-2</v>
      </c>
      <c r="CB111" s="230">
        <v>29845000</v>
      </c>
      <c r="CC111" s="230">
        <v>29305675</v>
      </c>
      <c r="CD111" s="230">
        <v>539325</v>
      </c>
      <c r="CE111" s="229">
        <v>1.84E-2</v>
      </c>
      <c r="CF111" s="230">
        <v>951750</v>
      </c>
      <c r="CG111" s="230">
        <v>907100</v>
      </c>
      <c r="CH111" s="230">
        <v>44650</v>
      </c>
      <c r="CI111" s="229">
        <v>4.9200000000000001E-2</v>
      </c>
      <c r="CJ111" s="230">
        <v>72850</v>
      </c>
      <c r="CK111" s="230">
        <v>32900</v>
      </c>
      <c r="CL111" s="230">
        <v>39950</v>
      </c>
      <c r="CM111" s="229">
        <v>1.2142999999999999</v>
      </c>
      <c r="CN111" s="230">
        <v>12192975</v>
      </c>
      <c r="CO111" s="230">
        <v>10858175</v>
      </c>
      <c r="CP111" s="230">
        <v>1334800</v>
      </c>
      <c r="CQ111" s="229">
        <v>0.1229</v>
      </c>
      <c r="CR111" s="230">
        <v>6859650</v>
      </c>
      <c r="CS111" s="230">
        <v>6592925</v>
      </c>
      <c r="CT111" s="230">
        <v>266725</v>
      </c>
      <c r="CU111" s="229">
        <v>4.0500000000000001E-2</v>
      </c>
      <c r="CV111" s="230">
        <v>49922225</v>
      </c>
      <c r="CW111" s="230">
        <v>47696775</v>
      </c>
      <c r="CX111" s="230">
        <v>2225450</v>
      </c>
      <c r="CY111" s="229">
        <v>4.6699999999999998E-2</v>
      </c>
      <c r="CZ111" s="228">
        <v>36.42</v>
      </c>
      <c r="DA111" s="228">
        <v>35.700000000000003</v>
      </c>
      <c r="DB111" s="228">
        <v>0.72</v>
      </c>
      <c r="DC111" s="228">
        <v>0.72</v>
      </c>
      <c r="DD111" s="228">
        <v>52.57</v>
      </c>
      <c r="DE111" s="228">
        <v>52.67</v>
      </c>
      <c r="DF111" s="228">
        <v>-16.149999999999999</v>
      </c>
      <c r="DG111" s="228">
        <v>-0.1</v>
      </c>
      <c r="DH111" s="228">
        <v>36.75</v>
      </c>
      <c r="DI111" s="228">
        <v>35.14</v>
      </c>
      <c r="DJ111" s="228">
        <v>1.61</v>
      </c>
      <c r="DK111" s="228">
        <v>1.61</v>
      </c>
      <c r="DL111" s="228">
        <v>35.58</v>
      </c>
      <c r="DM111" s="228">
        <v>37.24</v>
      </c>
      <c r="DN111" s="228">
        <v>-1.66</v>
      </c>
      <c r="DO111" s="228">
        <v>-1.66</v>
      </c>
      <c r="DP111" s="228">
        <v>0.56000000000000005</v>
      </c>
      <c r="DQ111" s="228">
        <v>0.61</v>
      </c>
      <c r="DR111" s="228">
        <v>-0.05</v>
      </c>
      <c r="DS111" s="229">
        <v>-8.2000000000000003E-2</v>
      </c>
      <c r="DT111" s="228">
        <v>500</v>
      </c>
      <c r="DU111" s="228">
        <v>460</v>
      </c>
      <c r="DV111" s="228">
        <v>0.39</v>
      </c>
      <c r="DW111" s="228">
        <v>0.37</v>
      </c>
      <c r="DX111" s="228">
        <v>0.02</v>
      </c>
      <c r="DY111" s="229">
        <v>5.4100000000000002E-2</v>
      </c>
      <c r="DZ111" s="229">
        <v>3.32E-2</v>
      </c>
      <c r="EA111" s="230">
        <v>940000</v>
      </c>
      <c r="EB111" s="229">
        <v>4.1999999999999997E-3</v>
      </c>
      <c r="EC111" s="229">
        <v>3.32E-2</v>
      </c>
      <c r="ED111" s="228">
        <v>2.31</v>
      </c>
      <c r="EE111" s="229">
        <v>4.7000000000000002E-3</v>
      </c>
      <c r="EF111" s="230">
        <v>1165224</v>
      </c>
      <c r="EG111" s="230">
        <v>3367121</v>
      </c>
      <c r="EH111" s="229">
        <v>-0.65390000000000004</v>
      </c>
      <c r="EI111" s="229">
        <v>0.24129999999999999</v>
      </c>
      <c r="EJ111" s="231">
        <v>114414.84</v>
      </c>
      <c r="EK111" s="231">
        <v>41694.61</v>
      </c>
      <c r="EL111" s="231">
        <v>30757.51</v>
      </c>
      <c r="EM111" s="231">
        <v>12061</v>
      </c>
      <c r="EN111" s="231">
        <v>186866.96</v>
      </c>
      <c r="EO111" s="231">
        <v>385481.04</v>
      </c>
      <c r="EP111" s="231">
        <v>-198614.08</v>
      </c>
      <c r="EQ111" s="229">
        <v>-0.51519999999999999</v>
      </c>
      <c r="ER111" s="231">
        <v>62982</v>
      </c>
      <c r="ES111" s="231">
        <v>31750</v>
      </c>
      <c r="ET111" s="231">
        <v>150389</v>
      </c>
      <c r="EU111" s="231">
        <v>57552009</v>
      </c>
      <c r="EV111" s="231">
        <v>245121</v>
      </c>
      <c r="EW111" s="231">
        <v>235691</v>
      </c>
      <c r="EX111" s="231">
        <v>9430</v>
      </c>
      <c r="EY111" s="229">
        <v>0.04</v>
      </c>
      <c r="EZ111" s="229">
        <v>0.86739999999999995</v>
      </c>
      <c r="FA111" s="227" t="s">
        <v>567</v>
      </c>
      <c r="FB111" s="161">
        <f t="shared" si="1"/>
        <v>1024600</v>
      </c>
    </row>
    <row r="112" spans="1:158" ht="17.25" hidden="1" thickBot="1" x14ac:dyDescent="0.3">
      <c r="A112" s="226">
        <v>45936</v>
      </c>
      <c r="B112" s="227" t="s">
        <v>184</v>
      </c>
      <c r="C112" s="227" t="s">
        <v>678</v>
      </c>
      <c r="D112" s="228">
        <v>100</v>
      </c>
      <c r="E112" s="231">
        <v>7487</v>
      </c>
      <c r="F112" s="231">
        <v>7300.5</v>
      </c>
      <c r="G112" s="228">
        <v>186.5</v>
      </c>
      <c r="H112" s="229">
        <v>2.5499999999999998E-2</v>
      </c>
      <c r="I112" s="231">
        <v>7466.5</v>
      </c>
      <c r="J112" s="231">
        <v>7273</v>
      </c>
      <c r="K112" s="228">
        <v>193.5</v>
      </c>
      <c r="L112" s="229">
        <v>2.6599999999999999E-2</v>
      </c>
      <c r="M112" s="231">
        <v>7487</v>
      </c>
      <c r="N112" s="231">
        <v>7300.5</v>
      </c>
      <c r="O112" s="228">
        <v>186.5</v>
      </c>
      <c r="P112" s="229">
        <v>2.5499999999999998E-2</v>
      </c>
      <c r="Q112" s="231">
        <v>7544.5</v>
      </c>
      <c r="R112" s="231">
        <v>7336.5</v>
      </c>
      <c r="S112" s="228">
        <v>208</v>
      </c>
      <c r="T112" s="229">
        <v>2.8400000000000002E-2</v>
      </c>
      <c r="U112" s="231">
        <v>7608</v>
      </c>
      <c r="V112" s="231">
        <v>7379</v>
      </c>
      <c r="W112" s="228">
        <v>229</v>
      </c>
      <c r="X112" s="229">
        <v>3.1E-2</v>
      </c>
      <c r="Y112" s="228">
        <v>20.5</v>
      </c>
      <c r="Z112" s="228">
        <v>27.5</v>
      </c>
      <c r="AA112" s="228">
        <v>-7</v>
      </c>
      <c r="AB112" s="229">
        <v>2.7000000000000001E-3</v>
      </c>
      <c r="AC112" s="228">
        <v>20.5</v>
      </c>
      <c r="AD112" s="228">
        <v>27.5</v>
      </c>
      <c r="AE112" s="228">
        <v>-7</v>
      </c>
      <c r="AF112" s="229">
        <v>2.7000000000000001E-3</v>
      </c>
      <c r="AG112" s="228">
        <v>78</v>
      </c>
      <c r="AH112" s="228">
        <v>63.5</v>
      </c>
      <c r="AI112" s="228">
        <v>14.5</v>
      </c>
      <c r="AJ112" s="229">
        <v>1.04E-2</v>
      </c>
      <c r="AK112" s="228">
        <v>141.5</v>
      </c>
      <c r="AL112" s="228">
        <v>106</v>
      </c>
      <c r="AM112" s="228">
        <v>35.5</v>
      </c>
      <c r="AN112" s="229">
        <v>1.9E-2</v>
      </c>
      <c r="AO112" s="231">
        <v>7400.92</v>
      </c>
      <c r="AP112" s="231">
        <v>7457.39</v>
      </c>
      <c r="AQ112" s="228">
        <v>0</v>
      </c>
      <c r="AR112" s="230">
        <v>414100</v>
      </c>
      <c r="AS112" s="230">
        <v>175800</v>
      </c>
      <c r="AT112" s="230">
        <v>238300</v>
      </c>
      <c r="AU112" s="229">
        <v>1.3554999999999999</v>
      </c>
      <c r="AV112" s="230">
        <v>396000</v>
      </c>
      <c r="AW112" s="230">
        <v>169000</v>
      </c>
      <c r="AX112" s="230">
        <v>227000</v>
      </c>
      <c r="AY112" s="229">
        <v>1.3431999999999999</v>
      </c>
      <c r="AZ112" s="230">
        <v>16500</v>
      </c>
      <c r="BA112" s="230">
        <v>5900</v>
      </c>
      <c r="BB112" s="230">
        <v>10600</v>
      </c>
      <c r="BC112" s="229">
        <v>1.7966</v>
      </c>
      <c r="BD112" s="230">
        <v>1600</v>
      </c>
      <c r="BE112" s="228">
        <v>900</v>
      </c>
      <c r="BF112" s="228">
        <v>700</v>
      </c>
      <c r="BG112" s="229">
        <v>0.77780000000000005</v>
      </c>
      <c r="BH112" s="230">
        <v>1529400</v>
      </c>
      <c r="BI112" s="230">
        <v>547100</v>
      </c>
      <c r="BJ112" s="230">
        <v>982300</v>
      </c>
      <c r="BK112" s="229">
        <v>1.7955000000000001</v>
      </c>
      <c r="BL112" s="230">
        <v>322900</v>
      </c>
      <c r="BM112" s="230">
        <v>157700</v>
      </c>
      <c r="BN112" s="230">
        <v>165200</v>
      </c>
      <c r="BO112" s="229">
        <v>1.0476000000000001</v>
      </c>
      <c r="BP112" s="230">
        <v>2266400</v>
      </c>
      <c r="BQ112" s="230">
        <v>880600</v>
      </c>
      <c r="BR112" s="230">
        <v>1385800</v>
      </c>
      <c r="BS112" s="229">
        <v>1.5737000000000001</v>
      </c>
      <c r="BT112" s="230">
        <v>502196</v>
      </c>
      <c r="BU112" s="230">
        <v>193257</v>
      </c>
      <c r="BV112" s="230">
        <v>308939</v>
      </c>
      <c r="BW112" s="229">
        <v>1.5986</v>
      </c>
      <c r="BX112" s="230">
        <v>1091700</v>
      </c>
      <c r="BY112" s="230">
        <v>1089600</v>
      </c>
      <c r="BZ112" s="230">
        <v>2100</v>
      </c>
      <c r="CA112" s="229">
        <v>1.9E-3</v>
      </c>
      <c r="CB112" s="230">
        <v>1065000</v>
      </c>
      <c r="CC112" s="230">
        <v>1067200</v>
      </c>
      <c r="CD112" s="230">
        <v>-2200</v>
      </c>
      <c r="CE112" s="229">
        <v>-2.0999999999999999E-3</v>
      </c>
      <c r="CF112" s="230">
        <v>24400</v>
      </c>
      <c r="CG112" s="230">
        <v>20800</v>
      </c>
      <c r="CH112" s="230">
        <v>3600</v>
      </c>
      <c r="CI112" s="229">
        <v>0.1731</v>
      </c>
      <c r="CJ112" s="230">
        <v>2300</v>
      </c>
      <c r="CK112" s="230">
        <v>1600</v>
      </c>
      <c r="CL112" s="228">
        <v>700</v>
      </c>
      <c r="CM112" s="229">
        <v>0.4375</v>
      </c>
      <c r="CN112" s="230">
        <v>618100</v>
      </c>
      <c r="CO112" s="230">
        <v>624400</v>
      </c>
      <c r="CP112" s="230">
        <v>-6300</v>
      </c>
      <c r="CQ112" s="229">
        <v>-1.01E-2</v>
      </c>
      <c r="CR112" s="230">
        <v>350000</v>
      </c>
      <c r="CS112" s="230">
        <v>328000</v>
      </c>
      <c r="CT112" s="230">
        <v>22000</v>
      </c>
      <c r="CU112" s="229">
        <v>6.7100000000000007E-2</v>
      </c>
      <c r="CV112" s="230">
        <v>2059800</v>
      </c>
      <c r="CW112" s="230">
        <v>2042000</v>
      </c>
      <c r="CX112" s="230">
        <v>17800</v>
      </c>
      <c r="CY112" s="229">
        <v>8.6999999999999994E-3</v>
      </c>
      <c r="CZ112" s="228">
        <v>36.409999999999997</v>
      </c>
      <c r="DA112" s="228">
        <v>36.19</v>
      </c>
      <c r="DB112" s="228">
        <v>0.22</v>
      </c>
      <c r="DC112" s="228">
        <v>0.22</v>
      </c>
      <c r="DD112" s="228">
        <v>55.96</v>
      </c>
      <c r="DE112" s="228">
        <v>56</v>
      </c>
      <c r="DF112" s="228">
        <v>-19.55</v>
      </c>
      <c r="DG112" s="228">
        <v>-0.04</v>
      </c>
      <c r="DH112" s="228">
        <v>36.15</v>
      </c>
      <c r="DI112" s="228">
        <v>35.799999999999997</v>
      </c>
      <c r="DJ112" s="228">
        <v>0.35</v>
      </c>
      <c r="DK112" s="228">
        <v>0.35</v>
      </c>
      <c r="DL112" s="228">
        <v>37.659999999999997</v>
      </c>
      <c r="DM112" s="228">
        <v>37.54</v>
      </c>
      <c r="DN112" s="228">
        <v>0.12</v>
      </c>
      <c r="DO112" s="228">
        <v>0.12</v>
      </c>
      <c r="DP112" s="228">
        <v>0.56999999999999995</v>
      </c>
      <c r="DQ112" s="228">
        <v>0.53</v>
      </c>
      <c r="DR112" s="228">
        <v>0.04</v>
      </c>
      <c r="DS112" s="229">
        <v>7.5499999999999998E-2</v>
      </c>
      <c r="DT112" s="231">
        <v>7000</v>
      </c>
      <c r="DU112" s="231">
        <v>7000</v>
      </c>
      <c r="DV112" s="228">
        <v>0.21</v>
      </c>
      <c r="DW112" s="228">
        <v>0.28999999999999998</v>
      </c>
      <c r="DX112" s="228">
        <v>-0.08</v>
      </c>
      <c r="DY112" s="229">
        <v>-0.27589999999999998</v>
      </c>
      <c r="DZ112" s="229">
        <v>2.4500000000000001E-2</v>
      </c>
      <c r="EA112" s="230">
        <v>22400</v>
      </c>
      <c r="EB112" s="229">
        <v>7.7000000000000002E-3</v>
      </c>
      <c r="EC112" s="229">
        <v>2.4500000000000001E-2</v>
      </c>
      <c r="ED112" s="228">
        <v>56.47</v>
      </c>
      <c r="EE112" s="229">
        <v>7.6E-3</v>
      </c>
      <c r="EF112" s="230">
        <v>236020</v>
      </c>
      <c r="EG112" s="230">
        <v>63191</v>
      </c>
      <c r="EH112" s="229">
        <v>2.7349999999999999</v>
      </c>
      <c r="EI112" s="229">
        <v>0.47</v>
      </c>
      <c r="EJ112" s="231">
        <v>119813.56</v>
      </c>
      <c r="EK112" s="231">
        <v>22890.13</v>
      </c>
      <c r="EL112" s="231">
        <v>30657.33</v>
      </c>
      <c r="EM112" s="231">
        <v>6197</v>
      </c>
      <c r="EN112" s="231">
        <v>173361.02</v>
      </c>
      <c r="EO112" s="231">
        <v>65888.17</v>
      </c>
      <c r="EP112" s="231">
        <v>107472.85</v>
      </c>
      <c r="EQ112" s="229">
        <v>1.6311</v>
      </c>
      <c r="ER112" s="231">
        <v>46514</v>
      </c>
      <c r="ES112" s="231">
        <v>24222</v>
      </c>
      <c r="ET112" s="231">
        <v>81752</v>
      </c>
      <c r="EU112" s="231">
        <v>4667784</v>
      </c>
      <c r="EV112" s="231">
        <v>152488</v>
      </c>
      <c r="EW112" s="231">
        <v>148698</v>
      </c>
      <c r="EX112" s="231">
        <v>3790</v>
      </c>
      <c r="EY112" s="229">
        <v>2.5499999999999998E-2</v>
      </c>
      <c r="EZ112" s="229">
        <v>0.44130000000000003</v>
      </c>
      <c r="FA112" s="227" t="s">
        <v>555</v>
      </c>
      <c r="FB112" s="161">
        <f t="shared" si="1"/>
        <v>26700</v>
      </c>
    </row>
    <row r="113" spans="1:158" ht="17.25" hidden="1" thickBot="1" x14ac:dyDescent="0.3">
      <c r="A113" s="226">
        <v>45936</v>
      </c>
      <c r="B113" s="227" t="s">
        <v>161</v>
      </c>
      <c r="C113" s="227" t="s">
        <v>611</v>
      </c>
      <c r="D113" s="228">
        <v>175</v>
      </c>
      <c r="E113" s="231">
        <v>4154.7</v>
      </c>
      <c r="F113" s="231">
        <v>4070.5</v>
      </c>
      <c r="G113" s="228">
        <v>84.2</v>
      </c>
      <c r="H113" s="229">
        <v>2.07E-2</v>
      </c>
      <c r="I113" s="231">
        <v>4131.7</v>
      </c>
      <c r="J113" s="231">
        <v>4037.2</v>
      </c>
      <c r="K113" s="228">
        <v>94.5</v>
      </c>
      <c r="L113" s="229">
        <v>2.3400000000000001E-2</v>
      </c>
      <c r="M113" s="231">
        <v>4154.7</v>
      </c>
      <c r="N113" s="231">
        <v>4070.5</v>
      </c>
      <c r="O113" s="228">
        <v>84.2</v>
      </c>
      <c r="P113" s="229">
        <v>2.07E-2</v>
      </c>
      <c r="Q113" s="231">
        <v>4187.1000000000004</v>
      </c>
      <c r="R113" s="231">
        <v>4095.3</v>
      </c>
      <c r="S113" s="228">
        <v>91.8</v>
      </c>
      <c r="T113" s="229">
        <v>2.24E-2</v>
      </c>
      <c r="U113" s="231">
        <v>4202.3</v>
      </c>
      <c r="V113" s="231">
        <v>4067.6</v>
      </c>
      <c r="W113" s="228">
        <v>134.69999999999999</v>
      </c>
      <c r="X113" s="229">
        <v>3.3099999999999997E-2</v>
      </c>
      <c r="Y113" s="228">
        <v>23</v>
      </c>
      <c r="Z113" s="228">
        <v>33.299999999999997</v>
      </c>
      <c r="AA113" s="228">
        <v>-10.3</v>
      </c>
      <c r="AB113" s="229">
        <v>5.5999999999999999E-3</v>
      </c>
      <c r="AC113" s="228">
        <v>23</v>
      </c>
      <c r="AD113" s="228">
        <v>33.299999999999997</v>
      </c>
      <c r="AE113" s="228">
        <v>-10.3</v>
      </c>
      <c r="AF113" s="229">
        <v>5.5999999999999999E-3</v>
      </c>
      <c r="AG113" s="228">
        <v>55.4</v>
      </c>
      <c r="AH113" s="228">
        <v>58.1</v>
      </c>
      <c r="AI113" s="228">
        <v>-2.7</v>
      </c>
      <c r="AJ113" s="229">
        <v>1.34E-2</v>
      </c>
      <c r="AK113" s="228">
        <v>70.599999999999994</v>
      </c>
      <c r="AL113" s="228">
        <v>30.4</v>
      </c>
      <c r="AM113" s="228">
        <v>40.200000000000003</v>
      </c>
      <c r="AN113" s="229">
        <v>1.7100000000000001E-2</v>
      </c>
      <c r="AO113" s="231">
        <v>4138.99</v>
      </c>
      <c r="AP113" s="231">
        <v>4164.22</v>
      </c>
      <c r="AQ113" s="228">
        <v>0</v>
      </c>
      <c r="AR113" s="230">
        <v>382200</v>
      </c>
      <c r="AS113" s="230">
        <v>318150</v>
      </c>
      <c r="AT113" s="230">
        <v>64050</v>
      </c>
      <c r="AU113" s="229">
        <v>0.20130000000000001</v>
      </c>
      <c r="AV113" s="230">
        <v>370650</v>
      </c>
      <c r="AW113" s="230">
        <v>312025</v>
      </c>
      <c r="AX113" s="230">
        <v>58625</v>
      </c>
      <c r="AY113" s="229">
        <v>0.18790000000000001</v>
      </c>
      <c r="AZ113" s="230">
        <v>10675</v>
      </c>
      <c r="BA113" s="230">
        <v>5775</v>
      </c>
      <c r="BB113" s="230">
        <v>4900</v>
      </c>
      <c r="BC113" s="229">
        <v>0.84850000000000003</v>
      </c>
      <c r="BD113" s="228">
        <v>875</v>
      </c>
      <c r="BE113" s="228">
        <v>350</v>
      </c>
      <c r="BF113" s="228">
        <v>525</v>
      </c>
      <c r="BG113" s="229">
        <v>1.5</v>
      </c>
      <c r="BH113" s="230">
        <v>1147125</v>
      </c>
      <c r="BI113" s="230">
        <v>599550</v>
      </c>
      <c r="BJ113" s="230">
        <v>547575</v>
      </c>
      <c r="BK113" s="229">
        <v>0.9133</v>
      </c>
      <c r="BL113" s="230">
        <v>344400</v>
      </c>
      <c r="BM113" s="230">
        <v>428050</v>
      </c>
      <c r="BN113" s="230">
        <v>-83650</v>
      </c>
      <c r="BO113" s="229">
        <v>-0.19539999999999999</v>
      </c>
      <c r="BP113" s="230">
        <v>1873725</v>
      </c>
      <c r="BQ113" s="230">
        <v>1345750</v>
      </c>
      <c r="BR113" s="230">
        <v>527975</v>
      </c>
      <c r="BS113" s="229">
        <v>0.39229999999999998</v>
      </c>
      <c r="BT113" s="230">
        <v>290303</v>
      </c>
      <c r="BU113" s="230">
        <v>330283</v>
      </c>
      <c r="BV113" s="230">
        <v>-39980</v>
      </c>
      <c r="BW113" s="229">
        <v>-0.121</v>
      </c>
      <c r="BX113" s="230">
        <v>1456000</v>
      </c>
      <c r="BY113" s="230">
        <v>1408050</v>
      </c>
      <c r="BZ113" s="230">
        <v>47950</v>
      </c>
      <c r="CA113" s="229">
        <v>3.4099999999999998E-2</v>
      </c>
      <c r="CB113" s="230">
        <v>1440250</v>
      </c>
      <c r="CC113" s="230">
        <v>1393875</v>
      </c>
      <c r="CD113" s="230">
        <v>46375</v>
      </c>
      <c r="CE113" s="229">
        <v>3.3300000000000003E-2</v>
      </c>
      <c r="CF113" s="230">
        <v>14350</v>
      </c>
      <c r="CG113" s="230">
        <v>13125</v>
      </c>
      <c r="CH113" s="230">
        <v>1225</v>
      </c>
      <c r="CI113" s="229">
        <v>9.3299999999999994E-2</v>
      </c>
      <c r="CJ113" s="230">
        <v>1400</v>
      </c>
      <c r="CK113" s="230">
        <v>1050</v>
      </c>
      <c r="CL113" s="228">
        <v>350</v>
      </c>
      <c r="CM113" s="229">
        <v>0.33329999999999999</v>
      </c>
      <c r="CN113" s="230">
        <v>316050</v>
      </c>
      <c r="CO113" s="230">
        <v>258650</v>
      </c>
      <c r="CP113" s="230">
        <v>57400</v>
      </c>
      <c r="CQ113" s="229">
        <v>0.22189999999999999</v>
      </c>
      <c r="CR113" s="230">
        <v>263725</v>
      </c>
      <c r="CS113" s="230">
        <v>229075</v>
      </c>
      <c r="CT113" s="230">
        <v>34650</v>
      </c>
      <c r="CU113" s="229">
        <v>0.15129999999999999</v>
      </c>
      <c r="CV113" s="230">
        <v>2035775</v>
      </c>
      <c r="CW113" s="230">
        <v>1895775</v>
      </c>
      <c r="CX113" s="230">
        <v>140000</v>
      </c>
      <c r="CY113" s="229">
        <v>7.3800000000000004E-2</v>
      </c>
      <c r="CZ113" s="228">
        <v>32.46</v>
      </c>
      <c r="DA113" s="228">
        <v>29.76</v>
      </c>
      <c r="DB113" s="228">
        <v>2.7</v>
      </c>
      <c r="DC113" s="228">
        <v>2.7</v>
      </c>
      <c r="DD113" s="228">
        <v>48.99</v>
      </c>
      <c r="DE113" s="228">
        <v>49.03</v>
      </c>
      <c r="DF113" s="228">
        <v>-16.53</v>
      </c>
      <c r="DG113" s="228">
        <v>-0.04</v>
      </c>
      <c r="DH113" s="228">
        <v>32.479999999999997</v>
      </c>
      <c r="DI113" s="228">
        <v>29.65</v>
      </c>
      <c r="DJ113" s="228">
        <v>2.83</v>
      </c>
      <c r="DK113" s="228">
        <v>2.83</v>
      </c>
      <c r="DL113" s="228">
        <v>32.409999999999997</v>
      </c>
      <c r="DM113" s="228">
        <v>29.91</v>
      </c>
      <c r="DN113" s="228">
        <v>2.5</v>
      </c>
      <c r="DO113" s="228">
        <v>2.5</v>
      </c>
      <c r="DP113" s="228">
        <v>0.83</v>
      </c>
      <c r="DQ113" s="228">
        <v>0.89</v>
      </c>
      <c r="DR113" s="228">
        <v>-0.06</v>
      </c>
      <c r="DS113" s="229">
        <v>-6.7400000000000002E-2</v>
      </c>
      <c r="DT113" s="231">
        <v>4200</v>
      </c>
      <c r="DU113" s="231">
        <v>4200</v>
      </c>
      <c r="DV113" s="228">
        <v>0.3</v>
      </c>
      <c r="DW113" s="228">
        <v>0.71</v>
      </c>
      <c r="DX113" s="228">
        <v>-0.41</v>
      </c>
      <c r="DY113" s="229">
        <v>-0.57750000000000001</v>
      </c>
      <c r="DZ113" s="229">
        <v>1.0800000000000001E-2</v>
      </c>
      <c r="EA113" s="230">
        <v>14175</v>
      </c>
      <c r="EB113" s="229">
        <v>7.7999999999999996E-3</v>
      </c>
      <c r="EC113" s="229">
        <v>1.0800000000000001E-2</v>
      </c>
      <c r="ED113" s="228">
        <v>25.23</v>
      </c>
      <c r="EE113" s="229">
        <v>6.1000000000000004E-3</v>
      </c>
      <c r="EF113" s="230">
        <v>126712</v>
      </c>
      <c r="EG113" s="230">
        <v>195019</v>
      </c>
      <c r="EH113" s="229">
        <v>-0.3503</v>
      </c>
      <c r="EI113" s="229">
        <v>0.4365</v>
      </c>
      <c r="EJ113" s="231">
        <v>49305.75</v>
      </c>
      <c r="EK113" s="231">
        <v>14257.54</v>
      </c>
      <c r="EL113" s="231">
        <v>15822.3</v>
      </c>
      <c r="EM113" s="231">
        <v>3227</v>
      </c>
      <c r="EN113" s="231">
        <v>79385.59</v>
      </c>
      <c r="EO113" s="231">
        <v>55974.2</v>
      </c>
      <c r="EP113" s="231">
        <v>23411.39</v>
      </c>
      <c r="EQ113" s="229">
        <v>0.41830000000000001</v>
      </c>
      <c r="ER113" s="231">
        <v>13235</v>
      </c>
      <c r="ES113" s="231">
        <v>10704</v>
      </c>
      <c r="ET113" s="231">
        <v>60498</v>
      </c>
      <c r="EU113" s="231">
        <v>9313740</v>
      </c>
      <c r="EV113" s="231">
        <v>84436</v>
      </c>
      <c r="EW113" s="231">
        <v>77383</v>
      </c>
      <c r="EX113" s="231">
        <v>7053</v>
      </c>
      <c r="EY113" s="229">
        <v>9.11E-2</v>
      </c>
      <c r="EZ113" s="229">
        <v>0.21859999999999999</v>
      </c>
      <c r="FA113" s="227" t="s">
        <v>555</v>
      </c>
      <c r="FB113" s="161">
        <f t="shared" si="1"/>
        <v>15750</v>
      </c>
    </row>
    <row r="114" spans="1:158" ht="17.25" hidden="1" thickBot="1" x14ac:dyDescent="0.3">
      <c r="A114" s="226">
        <v>45936</v>
      </c>
      <c r="B114" s="227" t="s">
        <v>175</v>
      </c>
      <c r="C114" s="227" t="s">
        <v>685</v>
      </c>
      <c r="D114" s="228">
        <v>450</v>
      </c>
      <c r="E114" s="231">
        <v>1068</v>
      </c>
      <c r="F114" s="231">
        <v>1070.5999999999999</v>
      </c>
      <c r="G114" s="228">
        <v>-2.6</v>
      </c>
      <c r="H114" s="229">
        <v>-2.3999999999999998E-3</v>
      </c>
      <c r="I114" s="231">
        <v>1062.5</v>
      </c>
      <c r="J114" s="231">
        <v>1067.3</v>
      </c>
      <c r="K114" s="228">
        <v>-4.8</v>
      </c>
      <c r="L114" s="229">
        <v>-4.4999999999999997E-3</v>
      </c>
      <c r="M114" s="231">
        <v>1068</v>
      </c>
      <c r="N114" s="231">
        <v>1070.5999999999999</v>
      </c>
      <c r="O114" s="228">
        <v>-2.6</v>
      </c>
      <c r="P114" s="229">
        <v>-2.3999999999999998E-3</v>
      </c>
      <c r="Q114" s="231">
        <v>1064.8</v>
      </c>
      <c r="R114" s="231">
        <v>1068</v>
      </c>
      <c r="S114" s="228">
        <v>-3.2</v>
      </c>
      <c r="T114" s="229">
        <v>-3.0000000000000001E-3</v>
      </c>
      <c r="U114" s="231">
        <v>1056.5</v>
      </c>
      <c r="V114" s="231">
        <v>1066.9000000000001</v>
      </c>
      <c r="W114" s="228">
        <v>-10.4</v>
      </c>
      <c r="X114" s="229">
        <v>-9.7000000000000003E-3</v>
      </c>
      <c r="Y114" s="228">
        <v>5.5</v>
      </c>
      <c r="Z114" s="228">
        <v>3.3</v>
      </c>
      <c r="AA114" s="228">
        <v>2.2000000000000002</v>
      </c>
      <c r="AB114" s="229">
        <v>5.1999999999999998E-3</v>
      </c>
      <c r="AC114" s="228">
        <v>5.5</v>
      </c>
      <c r="AD114" s="228">
        <v>3.3</v>
      </c>
      <c r="AE114" s="228">
        <v>2.2000000000000002</v>
      </c>
      <c r="AF114" s="229">
        <v>5.1999999999999998E-3</v>
      </c>
      <c r="AG114" s="228">
        <v>2.2999999999999998</v>
      </c>
      <c r="AH114" s="228">
        <v>0.7</v>
      </c>
      <c r="AI114" s="228">
        <v>1.6</v>
      </c>
      <c r="AJ114" s="229">
        <v>2.2000000000000001E-3</v>
      </c>
      <c r="AK114" s="228">
        <v>-6</v>
      </c>
      <c r="AL114" s="228">
        <v>-0.4</v>
      </c>
      <c r="AM114" s="228">
        <v>-5.6</v>
      </c>
      <c r="AN114" s="229">
        <v>-5.5999999999999999E-3</v>
      </c>
      <c r="AO114" s="231">
        <v>1064.1400000000001</v>
      </c>
      <c r="AP114" s="231">
        <v>1060.44</v>
      </c>
      <c r="AQ114" s="228">
        <v>0</v>
      </c>
      <c r="AR114" s="230">
        <v>399600</v>
      </c>
      <c r="AS114" s="230">
        <v>468000</v>
      </c>
      <c r="AT114" s="230">
        <v>-68400</v>
      </c>
      <c r="AU114" s="229">
        <v>-0.1462</v>
      </c>
      <c r="AV114" s="230">
        <v>379350</v>
      </c>
      <c r="AW114" s="230">
        <v>437850</v>
      </c>
      <c r="AX114" s="230">
        <v>-58500</v>
      </c>
      <c r="AY114" s="229">
        <v>-0.1336</v>
      </c>
      <c r="AZ114" s="230">
        <v>18000</v>
      </c>
      <c r="BA114" s="230">
        <v>25650</v>
      </c>
      <c r="BB114" s="230">
        <v>-7650</v>
      </c>
      <c r="BC114" s="229">
        <v>-0.29820000000000002</v>
      </c>
      <c r="BD114" s="230">
        <v>2250</v>
      </c>
      <c r="BE114" s="230">
        <v>4500</v>
      </c>
      <c r="BF114" s="230">
        <v>-2250</v>
      </c>
      <c r="BG114" s="229">
        <v>-0.5</v>
      </c>
      <c r="BH114" s="230">
        <v>588600</v>
      </c>
      <c r="BI114" s="230">
        <v>670500</v>
      </c>
      <c r="BJ114" s="230">
        <v>-81900</v>
      </c>
      <c r="BK114" s="229">
        <v>-0.1221</v>
      </c>
      <c r="BL114" s="230">
        <v>112950</v>
      </c>
      <c r="BM114" s="230">
        <v>265050</v>
      </c>
      <c r="BN114" s="230">
        <v>-152100</v>
      </c>
      <c r="BO114" s="229">
        <v>-0.57389999999999997</v>
      </c>
      <c r="BP114" s="230">
        <v>1101150</v>
      </c>
      <c r="BQ114" s="230">
        <v>1403550</v>
      </c>
      <c r="BR114" s="230">
        <v>-302400</v>
      </c>
      <c r="BS114" s="229">
        <v>-0.2155</v>
      </c>
      <c r="BT114" s="230">
        <v>732108</v>
      </c>
      <c r="BU114" s="230">
        <v>1171758</v>
      </c>
      <c r="BV114" s="230">
        <v>-439650</v>
      </c>
      <c r="BW114" s="229">
        <v>-0.37519999999999998</v>
      </c>
      <c r="BX114" s="230">
        <v>2378250</v>
      </c>
      <c r="BY114" s="230">
        <v>2318850</v>
      </c>
      <c r="BZ114" s="230">
        <v>59400</v>
      </c>
      <c r="CA114" s="229">
        <v>2.5600000000000001E-2</v>
      </c>
      <c r="CB114" s="230">
        <v>2290050</v>
      </c>
      <c r="CC114" s="230">
        <v>2237400</v>
      </c>
      <c r="CD114" s="230">
        <v>52650</v>
      </c>
      <c r="CE114" s="229">
        <v>2.35E-2</v>
      </c>
      <c r="CF114" s="230">
        <v>82800</v>
      </c>
      <c r="CG114" s="230">
        <v>77400</v>
      </c>
      <c r="CH114" s="230">
        <v>5400</v>
      </c>
      <c r="CI114" s="229">
        <v>6.9800000000000001E-2</v>
      </c>
      <c r="CJ114" s="230">
        <v>5400</v>
      </c>
      <c r="CK114" s="230">
        <v>4050</v>
      </c>
      <c r="CL114" s="230">
        <v>1350</v>
      </c>
      <c r="CM114" s="229">
        <v>0.33329999999999999</v>
      </c>
      <c r="CN114" s="230">
        <v>933300</v>
      </c>
      <c r="CO114" s="230">
        <v>764100</v>
      </c>
      <c r="CP114" s="230">
        <v>169200</v>
      </c>
      <c r="CQ114" s="229">
        <v>0.22140000000000001</v>
      </c>
      <c r="CR114" s="230">
        <v>469800</v>
      </c>
      <c r="CS114" s="230">
        <v>463050</v>
      </c>
      <c r="CT114" s="230">
        <v>6750</v>
      </c>
      <c r="CU114" s="229">
        <v>1.46E-2</v>
      </c>
      <c r="CV114" s="230">
        <v>3781350</v>
      </c>
      <c r="CW114" s="230">
        <v>3546000</v>
      </c>
      <c r="CX114" s="230">
        <v>235350</v>
      </c>
      <c r="CY114" s="229">
        <v>6.6400000000000001E-2</v>
      </c>
      <c r="CZ114" s="228">
        <v>37.01</v>
      </c>
      <c r="DA114" s="228">
        <v>36.229999999999997</v>
      </c>
      <c r="DB114" s="228">
        <v>0.78</v>
      </c>
      <c r="DC114" s="228">
        <v>0.78</v>
      </c>
      <c r="DD114" s="228">
        <v>56.21</v>
      </c>
      <c r="DE114" s="228">
        <v>56.35</v>
      </c>
      <c r="DF114" s="228">
        <v>-19.2</v>
      </c>
      <c r="DG114" s="228">
        <v>-0.14000000000000001</v>
      </c>
      <c r="DH114" s="228">
        <v>36.770000000000003</v>
      </c>
      <c r="DI114" s="228">
        <v>35.79</v>
      </c>
      <c r="DJ114" s="228">
        <v>0.98</v>
      </c>
      <c r="DK114" s="228">
        <v>0.98</v>
      </c>
      <c r="DL114" s="228">
        <v>38.26</v>
      </c>
      <c r="DM114" s="228">
        <v>37.340000000000003</v>
      </c>
      <c r="DN114" s="228">
        <v>0.92</v>
      </c>
      <c r="DO114" s="228">
        <v>0.92</v>
      </c>
      <c r="DP114" s="228">
        <v>0.5</v>
      </c>
      <c r="DQ114" s="228">
        <v>0.61</v>
      </c>
      <c r="DR114" s="228">
        <v>-0.11</v>
      </c>
      <c r="DS114" s="229">
        <v>-0.18029999999999999</v>
      </c>
      <c r="DT114" s="231">
        <v>1100</v>
      </c>
      <c r="DU114" s="231">
        <v>1100</v>
      </c>
      <c r="DV114" s="228">
        <v>0.19</v>
      </c>
      <c r="DW114" s="228">
        <v>0.4</v>
      </c>
      <c r="DX114" s="228">
        <v>-0.21</v>
      </c>
      <c r="DY114" s="229">
        <v>-0.52500000000000002</v>
      </c>
      <c r="DZ114" s="229">
        <v>3.7100000000000001E-2</v>
      </c>
      <c r="EA114" s="230">
        <v>81450</v>
      </c>
      <c r="EB114" s="229">
        <v>-3.0000000000000001E-3</v>
      </c>
      <c r="EC114" s="229">
        <v>3.7100000000000001E-2</v>
      </c>
      <c r="ED114" s="228">
        <v>-3.7</v>
      </c>
      <c r="EE114" s="229">
        <v>-3.5000000000000001E-3</v>
      </c>
      <c r="EF114" s="230">
        <v>455681</v>
      </c>
      <c r="EG114" s="230">
        <v>768313</v>
      </c>
      <c r="EH114" s="229">
        <v>-0.40689999999999998</v>
      </c>
      <c r="EI114" s="229">
        <v>0.62239999999999995</v>
      </c>
      <c r="EJ114" s="231">
        <v>6716.69</v>
      </c>
      <c r="EK114" s="231">
        <v>1187.72</v>
      </c>
      <c r="EL114" s="231">
        <v>4251.53</v>
      </c>
      <c r="EM114" s="231">
        <v>2846</v>
      </c>
      <c r="EN114" s="231">
        <v>12155.94</v>
      </c>
      <c r="EO114" s="231">
        <v>15442.17</v>
      </c>
      <c r="EP114" s="231">
        <v>-3286.23</v>
      </c>
      <c r="EQ114" s="229">
        <v>-0.21279999999999999</v>
      </c>
      <c r="ER114" s="231">
        <v>10523</v>
      </c>
      <c r="ES114" s="231">
        <v>4907</v>
      </c>
      <c r="ET114" s="231">
        <v>25396</v>
      </c>
      <c r="EU114" s="231">
        <v>19911179</v>
      </c>
      <c r="EV114" s="231">
        <v>40826</v>
      </c>
      <c r="EW114" s="231">
        <v>38252</v>
      </c>
      <c r="EX114" s="231">
        <v>2574</v>
      </c>
      <c r="EY114" s="229">
        <v>6.7299999999999999E-2</v>
      </c>
      <c r="EZ114" s="229">
        <v>0.18990000000000001</v>
      </c>
      <c r="FA114" s="227" t="s">
        <v>567</v>
      </c>
      <c r="FB114" s="161">
        <f t="shared" si="1"/>
        <v>88200</v>
      </c>
    </row>
    <row r="115" spans="1:158" ht="17.25" hidden="1" thickBot="1" x14ac:dyDescent="0.3">
      <c r="A115" s="226">
        <v>45936</v>
      </c>
      <c r="B115" s="227" t="s">
        <v>172</v>
      </c>
      <c r="C115" s="227" t="s">
        <v>246</v>
      </c>
      <c r="D115" s="228">
        <v>400</v>
      </c>
      <c r="E115" s="231">
        <v>2152.9</v>
      </c>
      <c r="F115" s="231">
        <v>2108.8000000000002</v>
      </c>
      <c r="G115" s="228">
        <v>44.1</v>
      </c>
      <c r="H115" s="229">
        <v>2.0899999999999998E-2</v>
      </c>
      <c r="I115" s="231">
        <v>2146</v>
      </c>
      <c r="J115" s="231">
        <v>2100.5</v>
      </c>
      <c r="K115" s="228">
        <v>45.5</v>
      </c>
      <c r="L115" s="229">
        <v>2.1700000000000001E-2</v>
      </c>
      <c r="M115" s="231">
        <v>2152.9</v>
      </c>
      <c r="N115" s="231">
        <v>2108.8000000000002</v>
      </c>
      <c r="O115" s="228">
        <v>44.1</v>
      </c>
      <c r="P115" s="229">
        <v>2.0899999999999998E-2</v>
      </c>
      <c r="Q115" s="231">
        <v>2163.9</v>
      </c>
      <c r="R115" s="231">
        <v>2119.5</v>
      </c>
      <c r="S115" s="228">
        <v>44.4</v>
      </c>
      <c r="T115" s="229">
        <v>2.0899999999999998E-2</v>
      </c>
      <c r="U115" s="231">
        <v>2177.3000000000002</v>
      </c>
      <c r="V115" s="231">
        <v>2132.6999999999998</v>
      </c>
      <c r="W115" s="228">
        <v>44.6</v>
      </c>
      <c r="X115" s="229">
        <v>2.0899999999999998E-2</v>
      </c>
      <c r="Y115" s="228">
        <v>6.9</v>
      </c>
      <c r="Z115" s="228">
        <v>8.3000000000000007</v>
      </c>
      <c r="AA115" s="228">
        <v>-1.4</v>
      </c>
      <c r="AB115" s="229">
        <v>3.2000000000000002E-3</v>
      </c>
      <c r="AC115" s="228">
        <v>6.9</v>
      </c>
      <c r="AD115" s="228">
        <v>8.3000000000000007</v>
      </c>
      <c r="AE115" s="228">
        <v>-1.4</v>
      </c>
      <c r="AF115" s="229">
        <v>3.2000000000000002E-3</v>
      </c>
      <c r="AG115" s="228">
        <v>17.899999999999999</v>
      </c>
      <c r="AH115" s="228">
        <v>19</v>
      </c>
      <c r="AI115" s="228">
        <v>-1.1000000000000001</v>
      </c>
      <c r="AJ115" s="229">
        <v>8.3000000000000001E-3</v>
      </c>
      <c r="AK115" s="228">
        <v>31.3</v>
      </c>
      <c r="AL115" s="228">
        <v>32.200000000000003</v>
      </c>
      <c r="AM115" s="228">
        <v>-0.9</v>
      </c>
      <c r="AN115" s="229">
        <v>1.46E-2</v>
      </c>
      <c r="AO115" s="231">
        <v>2138.29</v>
      </c>
      <c r="AP115" s="231">
        <v>2150.61</v>
      </c>
      <c r="AQ115" s="228">
        <v>0</v>
      </c>
      <c r="AR115" s="230">
        <v>11420800</v>
      </c>
      <c r="AS115" s="230">
        <v>8092800</v>
      </c>
      <c r="AT115" s="230">
        <v>3328000</v>
      </c>
      <c r="AU115" s="229">
        <v>0.41120000000000001</v>
      </c>
      <c r="AV115" s="230">
        <v>10585200</v>
      </c>
      <c r="AW115" s="230">
        <v>7548000</v>
      </c>
      <c r="AX115" s="230">
        <v>3037200</v>
      </c>
      <c r="AY115" s="229">
        <v>0.40239999999999998</v>
      </c>
      <c r="AZ115" s="230">
        <v>362800</v>
      </c>
      <c r="BA115" s="230">
        <v>248800</v>
      </c>
      <c r="BB115" s="230">
        <v>114000</v>
      </c>
      <c r="BC115" s="229">
        <v>0.4582</v>
      </c>
      <c r="BD115" s="230">
        <v>472800</v>
      </c>
      <c r="BE115" s="230">
        <v>296000</v>
      </c>
      <c r="BF115" s="230">
        <v>176800</v>
      </c>
      <c r="BG115" s="229">
        <v>0.59730000000000005</v>
      </c>
      <c r="BH115" s="230">
        <v>36031600</v>
      </c>
      <c r="BI115" s="230">
        <v>29897200</v>
      </c>
      <c r="BJ115" s="230">
        <v>6134400</v>
      </c>
      <c r="BK115" s="229">
        <v>0.20519999999999999</v>
      </c>
      <c r="BL115" s="230">
        <v>21382000</v>
      </c>
      <c r="BM115" s="230">
        <v>16695200</v>
      </c>
      <c r="BN115" s="230">
        <v>4686800</v>
      </c>
      <c r="BO115" s="229">
        <v>0.28070000000000001</v>
      </c>
      <c r="BP115" s="230">
        <v>68834400</v>
      </c>
      <c r="BQ115" s="230">
        <v>54685200</v>
      </c>
      <c r="BR115" s="230">
        <v>14149200</v>
      </c>
      <c r="BS115" s="229">
        <v>0.25869999999999999</v>
      </c>
      <c r="BT115" s="230">
        <v>5352450</v>
      </c>
      <c r="BU115" s="230">
        <v>5458783</v>
      </c>
      <c r="BV115" s="230">
        <v>-106333</v>
      </c>
      <c r="BW115" s="229">
        <v>-1.95E-2</v>
      </c>
      <c r="BX115" s="230">
        <v>36163600</v>
      </c>
      <c r="BY115" s="230">
        <v>36871200</v>
      </c>
      <c r="BZ115" s="230">
        <v>-707600</v>
      </c>
      <c r="CA115" s="229">
        <v>-1.9199999999999998E-2</v>
      </c>
      <c r="CB115" s="230">
        <v>34936400</v>
      </c>
      <c r="CC115" s="230">
        <v>36137200</v>
      </c>
      <c r="CD115" s="230">
        <v>-1200800</v>
      </c>
      <c r="CE115" s="229">
        <v>-3.32E-2</v>
      </c>
      <c r="CF115" s="230">
        <v>530000</v>
      </c>
      <c r="CG115" s="230">
        <v>465600</v>
      </c>
      <c r="CH115" s="230">
        <v>64400</v>
      </c>
      <c r="CI115" s="229">
        <v>0.13830000000000001</v>
      </c>
      <c r="CJ115" s="230">
        <v>697200</v>
      </c>
      <c r="CK115" s="230">
        <v>268400</v>
      </c>
      <c r="CL115" s="230">
        <v>428800</v>
      </c>
      <c r="CM115" s="229">
        <v>1.5975999999999999</v>
      </c>
      <c r="CN115" s="230">
        <v>7756000</v>
      </c>
      <c r="CO115" s="230">
        <v>6129600</v>
      </c>
      <c r="CP115" s="230">
        <v>1626400</v>
      </c>
      <c r="CQ115" s="229">
        <v>0.26529999999999998</v>
      </c>
      <c r="CR115" s="230">
        <v>8820800</v>
      </c>
      <c r="CS115" s="230">
        <v>7182000</v>
      </c>
      <c r="CT115" s="230">
        <v>1638800</v>
      </c>
      <c r="CU115" s="229">
        <v>0.22819999999999999</v>
      </c>
      <c r="CV115" s="230">
        <v>52740400</v>
      </c>
      <c r="CW115" s="230">
        <v>50182800</v>
      </c>
      <c r="CX115" s="230">
        <v>2557600</v>
      </c>
      <c r="CY115" s="229">
        <v>5.0999999999999997E-2</v>
      </c>
      <c r="CZ115" s="228">
        <v>20.79</v>
      </c>
      <c r="DA115" s="228">
        <v>20.309999999999999</v>
      </c>
      <c r="DB115" s="228">
        <v>0.48</v>
      </c>
      <c r="DC115" s="228">
        <v>0.48</v>
      </c>
      <c r="DD115" s="228">
        <v>27.86</v>
      </c>
      <c r="DE115" s="228">
        <v>27.78</v>
      </c>
      <c r="DF115" s="228">
        <v>-7.07</v>
      </c>
      <c r="DG115" s="228">
        <v>0.08</v>
      </c>
      <c r="DH115" s="228">
        <v>19.97</v>
      </c>
      <c r="DI115" s="228">
        <v>19.739999999999998</v>
      </c>
      <c r="DJ115" s="228">
        <v>0.23</v>
      </c>
      <c r="DK115" s="228">
        <v>0.23</v>
      </c>
      <c r="DL115" s="228">
        <v>22.17</v>
      </c>
      <c r="DM115" s="228">
        <v>21.32</v>
      </c>
      <c r="DN115" s="228">
        <v>0.85</v>
      </c>
      <c r="DO115" s="228">
        <v>0.85</v>
      </c>
      <c r="DP115" s="228">
        <v>1.1399999999999999</v>
      </c>
      <c r="DQ115" s="228">
        <v>1.17</v>
      </c>
      <c r="DR115" s="228">
        <v>-0.03</v>
      </c>
      <c r="DS115" s="229">
        <v>-2.5600000000000001E-2</v>
      </c>
      <c r="DT115" s="231">
        <v>2100</v>
      </c>
      <c r="DU115" s="231">
        <v>2100</v>
      </c>
      <c r="DV115" s="228">
        <v>0.59</v>
      </c>
      <c r="DW115" s="228">
        <v>0.56000000000000005</v>
      </c>
      <c r="DX115" s="228">
        <v>0.03</v>
      </c>
      <c r="DY115" s="229">
        <v>5.3600000000000002E-2</v>
      </c>
      <c r="DZ115" s="229">
        <v>3.39E-2</v>
      </c>
      <c r="EA115" s="230">
        <v>734000</v>
      </c>
      <c r="EB115" s="229">
        <v>5.1000000000000004E-3</v>
      </c>
      <c r="EC115" s="229">
        <v>3.39E-2</v>
      </c>
      <c r="ED115" s="228">
        <v>12.32</v>
      </c>
      <c r="EE115" s="229">
        <v>5.7999999999999996E-3</v>
      </c>
      <c r="EF115" s="230">
        <v>3087422</v>
      </c>
      <c r="EG115" s="230">
        <v>3975073</v>
      </c>
      <c r="EH115" s="229">
        <v>-0.2233</v>
      </c>
      <c r="EI115" s="229">
        <v>0.57679999999999998</v>
      </c>
      <c r="EJ115" s="231">
        <v>795240.23</v>
      </c>
      <c r="EK115" s="231">
        <v>448063.58</v>
      </c>
      <c r="EL115" s="231">
        <v>244431.15</v>
      </c>
      <c r="EM115" s="231">
        <v>32726</v>
      </c>
      <c r="EN115" s="231">
        <v>1487734.96</v>
      </c>
      <c r="EO115" s="231">
        <v>1163644.1599999999</v>
      </c>
      <c r="EP115" s="231">
        <v>324090.8</v>
      </c>
      <c r="EQ115" s="229">
        <v>0.27850000000000003</v>
      </c>
      <c r="ER115" s="231">
        <v>166842</v>
      </c>
      <c r="ES115" s="231">
        <v>180103</v>
      </c>
      <c r="ET115" s="231">
        <v>778795</v>
      </c>
      <c r="EU115" s="231">
        <v>215751979</v>
      </c>
      <c r="EV115" s="231">
        <v>1125740</v>
      </c>
      <c r="EW115" s="231">
        <v>1052473</v>
      </c>
      <c r="EX115" s="231">
        <v>73267</v>
      </c>
      <c r="EY115" s="229">
        <v>6.9599999999999995E-2</v>
      </c>
      <c r="EZ115" s="229">
        <v>0.24440000000000001</v>
      </c>
      <c r="FA115" s="227" t="s">
        <v>556</v>
      </c>
      <c r="FB115" s="161">
        <f t="shared" si="1"/>
        <v>1227200</v>
      </c>
    </row>
    <row r="116" spans="1:158" ht="17.25" hidden="1" thickBot="1" x14ac:dyDescent="0.3">
      <c r="A116" s="226">
        <v>45936</v>
      </c>
      <c r="B116" s="227" t="s">
        <v>221</v>
      </c>
      <c r="C116" s="227" t="s">
        <v>578</v>
      </c>
      <c r="D116" s="228">
        <v>400</v>
      </c>
      <c r="E116" s="231">
        <v>1157</v>
      </c>
      <c r="F116" s="231">
        <v>1152</v>
      </c>
      <c r="G116" s="228">
        <v>5</v>
      </c>
      <c r="H116" s="229">
        <v>4.3E-3</v>
      </c>
      <c r="I116" s="231">
        <v>1156.7</v>
      </c>
      <c r="J116" s="231">
        <v>1157.7</v>
      </c>
      <c r="K116" s="228">
        <v>-1</v>
      </c>
      <c r="L116" s="229">
        <v>-8.9999999999999998E-4</v>
      </c>
      <c r="M116" s="231">
        <v>1157</v>
      </c>
      <c r="N116" s="231">
        <v>1152</v>
      </c>
      <c r="O116" s="228">
        <v>5</v>
      </c>
      <c r="P116" s="229">
        <v>4.3E-3</v>
      </c>
      <c r="Q116" s="231">
        <v>1154.3</v>
      </c>
      <c r="R116" s="231">
        <v>1148</v>
      </c>
      <c r="S116" s="228">
        <v>6.3</v>
      </c>
      <c r="T116" s="229">
        <v>5.4999999999999997E-3</v>
      </c>
      <c r="U116" s="231">
        <v>1149</v>
      </c>
      <c r="V116" s="231">
        <v>1147.2</v>
      </c>
      <c r="W116" s="228">
        <v>1.8</v>
      </c>
      <c r="X116" s="229">
        <v>1.6000000000000001E-3</v>
      </c>
      <c r="Y116" s="228">
        <v>0.3</v>
      </c>
      <c r="Z116" s="228">
        <v>-5.7</v>
      </c>
      <c r="AA116" s="228">
        <v>6</v>
      </c>
      <c r="AB116" s="229">
        <v>2.9999999999999997E-4</v>
      </c>
      <c r="AC116" s="228">
        <v>0.3</v>
      </c>
      <c r="AD116" s="228">
        <v>-5.7</v>
      </c>
      <c r="AE116" s="228">
        <v>6</v>
      </c>
      <c r="AF116" s="229">
        <v>2.9999999999999997E-4</v>
      </c>
      <c r="AG116" s="228">
        <v>-2.4</v>
      </c>
      <c r="AH116" s="228">
        <v>-9.6999999999999993</v>
      </c>
      <c r="AI116" s="228">
        <v>7.3</v>
      </c>
      <c r="AJ116" s="229">
        <v>-2.0999999999999999E-3</v>
      </c>
      <c r="AK116" s="228">
        <v>-7.7</v>
      </c>
      <c r="AL116" s="228">
        <v>-10.5</v>
      </c>
      <c r="AM116" s="228">
        <v>2.8</v>
      </c>
      <c r="AN116" s="229">
        <v>-6.7000000000000002E-3</v>
      </c>
      <c r="AO116" s="231">
        <v>1157.24</v>
      </c>
      <c r="AP116" s="231">
        <v>1152.07</v>
      </c>
      <c r="AQ116" s="228">
        <v>0</v>
      </c>
      <c r="AR116" s="230">
        <v>952000</v>
      </c>
      <c r="AS116" s="230">
        <v>954000</v>
      </c>
      <c r="AT116" s="230">
        <v>-2000</v>
      </c>
      <c r="AU116" s="229">
        <v>-2.0999999999999999E-3</v>
      </c>
      <c r="AV116" s="230">
        <v>874800</v>
      </c>
      <c r="AW116" s="230">
        <v>888400</v>
      </c>
      <c r="AX116" s="230">
        <v>-13600</v>
      </c>
      <c r="AY116" s="229">
        <v>-1.5299999999999999E-2</v>
      </c>
      <c r="AZ116" s="230">
        <v>67600</v>
      </c>
      <c r="BA116" s="230">
        <v>55600</v>
      </c>
      <c r="BB116" s="230">
        <v>12000</v>
      </c>
      <c r="BC116" s="229">
        <v>0.21579999999999999</v>
      </c>
      <c r="BD116" s="230">
        <v>9600</v>
      </c>
      <c r="BE116" s="230">
        <v>10000</v>
      </c>
      <c r="BF116" s="228">
        <v>-400</v>
      </c>
      <c r="BG116" s="229">
        <v>-0.04</v>
      </c>
      <c r="BH116" s="230">
        <v>3013200</v>
      </c>
      <c r="BI116" s="230">
        <v>1755600</v>
      </c>
      <c r="BJ116" s="230">
        <v>1257600</v>
      </c>
      <c r="BK116" s="229">
        <v>0.71630000000000005</v>
      </c>
      <c r="BL116" s="230">
        <v>2219600</v>
      </c>
      <c r="BM116" s="230">
        <v>909600</v>
      </c>
      <c r="BN116" s="230">
        <v>1310000</v>
      </c>
      <c r="BO116" s="229">
        <v>1.4401999999999999</v>
      </c>
      <c r="BP116" s="230">
        <v>6184800</v>
      </c>
      <c r="BQ116" s="230">
        <v>3619200</v>
      </c>
      <c r="BR116" s="230">
        <v>2565600</v>
      </c>
      <c r="BS116" s="229">
        <v>0.70889999999999997</v>
      </c>
      <c r="BT116" s="230">
        <v>772939</v>
      </c>
      <c r="BU116" s="230">
        <v>651148</v>
      </c>
      <c r="BV116" s="230">
        <v>121791</v>
      </c>
      <c r="BW116" s="229">
        <v>0.187</v>
      </c>
      <c r="BX116" s="230">
        <v>4424400</v>
      </c>
      <c r="BY116" s="230">
        <v>4591600</v>
      </c>
      <c r="BZ116" s="230">
        <v>-167200</v>
      </c>
      <c r="CA116" s="229">
        <v>-3.6400000000000002E-2</v>
      </c>
      <c r="CB116" s="230">
        <v>4166400</v>
      </c>
      <c r="CC116" s="230">
        <v>4349600</v>
      </c>
      <c r="CD116" s="230">
        <v>-183200</v>
      </c>
      <c r="CE116" s="229">
        <v>-4.2099999999999999E-2</v>
      </c>
      <c r="CF116" s="230">
        <v>232000</v>
      </c>
      <c r="CG116" s="230">
        <v>221200</v>
      </c>
      <c r="CH116" s="230">
        <v>10800</v>
      </c>
      <c r="CI116" s="229">
        <v>4.8800000000000003E-2</v>
      </c>
      <c r="CJ116" s="230">
        <v>26000</v>
      </c>
      <c r="CK116" s="230">
        <v>20800</v>
      </c>
      <c r="CL116" s="230">
        <v>5200</v>
      </c>
      <c r="CM116" s="229">
        <v>0.25</v>
      </c>
      <c r="CN116" s="230">
        <v>2614000</v>
      </c>
      <c r="CO116" s="230">
        <v>2255200</v>
      </c>
      <c r="CP116" s="230">
        <v>358800</v>
      </c>
      <c r="CQ116" s="229">
        <v>0.15909999999999999</v>
      </c>
      <c r="CR116" s="230">
        <v>2073600</v>
      </c>
      <c r="CS116" s="230">
        <v>1825200</v>
      </c>
      <c r="CT116" s="230">
        <v>248400</v>
      </c>
      <c r="CU116" s="229">
        <v>0.1361</v>
      </c>
      <c r="CV116" s="230">
        <v>9112000</v>
      </c>
      <c r="CW116" s="230">
        <v>8672000</v>
      </c>
      <c r="CX116" s="230">
        <v>440000</v>
      </c>
      <c r="CY116" s="229">
        <v>5.0700000000000002E-2</v>
      </c>
      <c r="CZ116" s="228">
        <v>30.75</v>
      </c>
      <c r="DA116" s="228">
        <v>31.5</v>
      </c>
      <c r="DB116" s="228">
        <v>-0.75</v>
      </c>
      <c r="DC116" s="228">
        <v>-0.75</v>
      </c>
      <c r="DD116" s="228">
        <v>45.72</v>
      </c>
      <c r="DE116" s="228">
        <v>45.84</v>
      </c>
      <c r="DF116" s="228">
        <v>-14.97</v>
      </c>
      <c r="DG116" s="228">
        <v>-0.12</v>
      </c>
      <c r="DH116" s="228">
        <v>30.4</v>
      </c>
      <c r="DI116" s="228">
        <v>30.55</v>
      </c>
      <c r="DJ116" s="228">
        <v>-0.15</v>
      </c>
      <c r="DK116" s="228">
        <v>-0.15</v>
      </c>
      <c r="DL116" s="228">
        <v>31.22</v>
      </c>
      <c r="DM116" s="228">
        <v>33.35</v>
      </c>
      <c r="DN116" s="228">
        <v>-2.13</v>
      </c>
      <c r="DO116" s="228">
        <v>-2.13</v>
      </c>
      <c r="DP116" s="228">
        <v>0.79</v>
      </c>
      <c r="DQ116" s="228">
        <v>0.81</v>
      </c>
      <c r="DR116" s="228">
        <v>-0.02</v>
      </c>
      <c r="DS116" s="229">
        <v>-2.47E-2</v>
      </c>
      <c r="DT116" s="231">
        <v>1300</v>
      </c>
      <c r="DU116" s="231">
        <v>1100</v>
      </c>
      <c r="DV116" s="228">
        <v>0.74</v>
      </c>
      <c r="DW116" s="228">
        <v>0.52</v>
      </c>
      <c r="DX116" s="228">
        <v>0.22</v>
      </c>
      <c r="DY116" s="229">
        <v>0.42309999999999998</v>
      </c>
      <c r="DZ116" s="229">
        <v>5.8299999999999998E-2</v>
      </c>
      <c r="EA116" s="230">
        <v>242000</v>
      </c>
      <c r="EB116" s="229">
        <v>-2.3E-3</v>
      </c>
      <c r="EC116" s="229">
        <v>5.8299999999999998E-2</v>
      </c>
      <c r="ED116" s="228">
        <v>-5.17</v>
      </c>
      <c r="EE116" s="229">
        <v>-4.4999999999999997E-3</v>
      </c>
      <c r="EF116" s="230">
        <v>314004</v>
      </c>
      <c r="EG116" s="230">
        <v>247040</v>
      </c>
      <c r="EH116" s="229">
        <v>0.27110000000000001</v>
      </c>
      <c r="EI116" s="229">
        <v>0.40620000000000001</v>
      </c>
      <c r="EJ116" s="231">
        <v>37097.97</v>
      </c>
      <c r="EK116" s="231">
        <v>25481.94</v>
      </c>
      <c r="EL116" s="231">
        <v>11013</v>
      </c>
      <c r="EM116" s="231">
        <v>9670</v>
      </c>
      <c r="EN116" s="231">
        <v>73592.91</v>
      </c>
      <c r="EO116" s="231">
        <v>42295.61</v>
      </c>
      <c r="EP116" s="231">
        <v>31297.3</v>
      </c>
      <c r="EQ116" s="229">
        <v>0.74</v>
      </c>
      <c r="ER116" s="231">
        <v>32512</v>
      </c>
      <c r="ES116" s="231">
        <v>23066</v>
      </c>
      <c r="ET116" s="231">
        <v>51182</v>
      </c>
      <c r="EU116" s="231">
        <v>24568295</v>
      </c>
      <c r="EV116" s="231">
        <v>106760</v>
      </c>
      <c r="EW116" s="231">
        <v>101525</v>
      </c>
      <c r="EX116" s="231">
        <v>5235</v>
      </c>
      <c r="EY116" s="229">
        <v>5.16E-2</v>
      </c>
      <c r="EZ116" s="229">
        <v>0.37090000000000001</v>
      </c>
      <c r="FA116" s="227" t="s">
        <v>556</v>
      </c>
      <c r="FB116" s="161">
        <f t="shared" si="1"/>
        <v>258000</v>
      </c>
    </row>
    <row r="117" spans="1:158" ht="17.25" hidden="1" thickBot="1" x14ac:dyDescent="0.3">
      <c r="A117" s="226">
        <v>45936</v>
      </c>
      <c r="B117" s="227" t="s">
        <v>170</v>
      </c>
      <c r="C117" s="227" t="s">
        <v>535</v>
      </c>
      <c r="D117" s="228">
        <v>1700</v>
      </c>
      <c r="E117" s="228">
        <v>868.35</v>
      </c>
      <c r="F117" s="228">
        <v>872.75</v>
      </c>
      <c r="G117" s="228">
        <v>-4.4000000000000004</v>
      </c>
      <c r="H117" s="229">
        <v>-5.0000000000000001E-3</v>
      </c>
      <c r="I117" s="228">
        <v>863</v>
      </c>
      <c r="J117" s="228">
        <v>864.4</v>
      </c>
      <c r="K117" s="228">
        <v>-1.4</v>
      </c>
      <c r="L117" s="229">
        <v>-1.6000000000000001E-3</v>
      </c>
      <c r="M117" s="228">
        <v>868.35</v>
      </c>
      <c r="N117" s="228">
        <v>872.75</v>
      </c>
      <c r="O117" s="228">
        <v>-4.4000000000000004</v>
      </c>
      <c r="P117" s="229">
        <v>-5.0000000000000001E-3</v>
      </c>
      <c r="Q117" s="228">
        <v>873.65</v>
      </c>
      <c r="R117" s="228">
        <v>876.2</v>
      </c>
      <c r="S117" s="228">
        <v>-2.5499999999999998</v>
      </c>
      <c r="T117" s="229">
        <v>-2.8999999999999998E-3</v>
      </c>
      <c r="U117" s="228">
        <v>874</v>
      </c>
      <c r="V117" s="228">
        <v>881</v>
      </c>
      <c r="W117" s="228">
        <v>-7</v>
      </c>
      <c r="X117" s="229">
        <v>-7.9000000000000008E-3</v>
      </c>
      <c r="Y117" s="228">
        <v>5.35</v>
      </c>
      <c r="Z117" s="228">
        <v>8.35</v>
      </c>
      <c r="AA117" s="228">
        <v>-3</v>
      </c>
      <c r="AB117" s="229">
        <v>6.1999999999999998E-3</v>
      </c>
      <c r="AC117" s="228">
        <v>5.35</v>
      </c>
      <c r="AD117" s="228">
        <v>8.35</v>
      </c>
      <c r="AE117" s="228">
        <v>-3</v>
      </c>
      <c r="AF117" s="229">
        <v>6.1999999999999998E-3</v>
      </c>
      <c r="AG117" s="228">
        <v>10.65</v>
      </c>
      <c r="AH117" s="228">
        <v>11.8</v>
      </c>
      <c r="AI117" s="228">
        <v>-1.1499999999999999</v>
      </c>
      <c r="AJ117" s="229">
        <v>1.23E-2</v>
      </c>
      <c r="AK117" s="228">
        <v>11</v>
      </c>
      <c r="AL117" s="228">
        <v>16.600000000000001</v>
      </c>
      <c r="AM117" s="228">
        <v>-5.6</v>
      </c>
      <c r="AN117" s="229">
        <v>1.2699999999999999E-2</v>
      </c>
      <c r="AO117" s="228">
        <v>866.73</v>
      </c>
      <c r="AP117" s="228">
        <v>871.56</v>
      </c>
      <c r="AQ117" s="228">
        <v>0</v>
      </c>
      <c r="AR117" s="230">
        <v>2640100</v>
      </c>
      <c r="AS117" s="230">
        <v>4532200</v>
      </c>
      <c r="AT117" s="230">
        <v>-1892100</v>
      </c>
      <c r="AU117" s="229">
        <v>-0.41749999999999998</v>
      </c>
      <c r="AV117" s="230">
        <v>2541500</v>
      </c>
      <c r="AW117" s="230">
        <v>4277200</v>
      </c>
      <c r="AX117" s="230">
        <v>-1735700</v>
      </c>
      <c r="AY117" s="229">
        <v>-0.40579999999999999</v>
      </c>
      <c r="AZ117" s="230">
        <v>90100</v>
      </c>
      <c r="BA117" s="230">
        <v>244800</v>
      </c>
      <c r="BB117" s="230">
        <v>-154700</v>
      </c>
      <c r="BC117" s="229">
        <v>-0.63190000000000002</v>
      </c>
      <c r="BD117" s="230">
        <v>8500</v>
      </c>
      <c r="BE117" s="230">
        <v>10200</v>
      </c>
      <c r="BF117" s="230">
        <v>-1700</v>
      </c>
      <c r="BG117" s="229">
        <v>-0.16669999999999999</v>
      </c>
      <c r="BH117" s="230">
        <v>7412000</v>
      </c>
      <c r="BI117" s="230">
        <v>9734200</v>
      </c>
      <c r="BJ117" s="230">
        <v>-2322200</v>
      </c>
      <c r="BK117" s="229">
        <v>-0.23860000000000001</v>
      </c>
      <c r="BL117" s="230">
        <v>3253800</v>
      </c>
      <c r="BM117" s="230">
        <v>5174800</v>
      </c>
      <c r="BN117" s="230">
        <v>-1921000</v>
      </c>
      <c r="BO117" s="229">
        <v>-0.37119999999999997</v>
      </c>
      <c r="BP117" s="230">
        <v>13305900</v>
      </c>
      <c r="BQ117" s="230">
        <v>19441200</v>
      </c>
      <c r="BR117" s="230">
        <v>-6135300</v>
      </c>
      <c r="BS117" s="229">
        <v>-0.31559999999999999</v>
      </c>
      <c r="BT117" s="230">
        <v>1552883</v>
      </c>
      <c r="BU117" s="230">
        <v>2053613</v>
      </c>
      <c r="BV117" s="230">
        <v>-500730</v>
      </c>
      <c r="BW117" s="229">
        <v>-0.24379999999999999</v>
      </c>
      <c r="BX117" s="230">
        <v>19033200</v>
      </c>
      <c r="BY117" s="230">
        <v>18557200</v>
      </c>
      <c r="BZ117" s="230">
        <v>476000</v>
      </c>
      <c r="CA117" s="229">
        <v>2.5700000000000001E-2</v>
      </c>
      <c r="CB117" s="230">
        <v>18407600</v>
      </c>
      <c r="CC117" s="230">
        <v>17962200</v>
      </c>
      <c r="CD117" s="230">
        <v>445400</v>
      </c>
      <c r="CE117" s="229">
        <v>2.4799999999999999E-2</v>
      </c>
      <c r="CF117" s="230">
        <v>595000</v>
      </c>
      <c r="CG117" s="230">
        <v>564400</v>
      </c>
      <c r="CH117" s="230">
        <v>30600</v>
      </c>
      <c r="CI117" s="229">
        <v>5.4199999999999998E-2</v>
      </c>
      <c r="CJ117" s="230">
        <v>30600</v>
      </c>
      <c r="CK117" s="230">
        <v>30600</v>
      </c>
      <c r="CL117" s="228">
        <v>0</v>
      </c>
      <c r="CM117" s="229">
        <v>0</v>
      </c>
      <c r="CN117" s="230">
        <v>9593100</v>
      </c>
      <c r="CO117" s="230">
        <v>9101800</v>
      </c>
      <c r="CP117" s="230">
        <v>491300</v>
      </c>
      <c r="CQ117" s="229">
        <v>5.3999999999999999E-2</v>
      </c>
      <c r="CR117" s="230">
        <v>5798700</v>
      </c>
      <c r="CS117" s="230">
        <v>5739200</v>
      </c>
      <c r="CT117" s="230">
        <v>59500</v>
      </c>
      <c r="CU117" s="229">
        <v>1.04E-2</v>
      </c>
      <c r="CV117" s="230">
        <v>34425000</v>
      </c>
      <c r="CW117" s="230">
        <v>33398200</v>
      </c>
      <c r="CX117" s="230">
        <v>1026800</v>
      </c>
      <c r="CY117" s="229">
        <v>3.0700000000000002E-2</v>
      </c>
      <c r="CZ117" s="228">
        <v>32.97</v>
      </c>
      <c r="DA117" s="228">
        <v>32.54</v>
      </c>
      <c r="DB117" s="228">
        <v>0.43</v>
      </c>
      <c r="DC117" s="228">
        <v>0.43</v>
      </c>
      <c r="DD117" s="228">
        <v>41.53</v>
      </c>
      <c r="DE117" s="228">
        <v>41.63</v>
      </c>
      <c r="DF117" s="228">
        <v>-8.56</v>
      </c>
      <c r="DG117" s="228">
        <v>-0.1</v>
      </c>
      <c r="DH117" s="228">
        <v>32.950000000000003</v>
      </c>
      <c r="DI117" s="228">
        <v>32.590000000000003</v>
      </c>
      <c r="DJ117" s="228">
        <v>0.36</v>
      </c>
      <c r="DK117" s="228">
        <v>0.36</v>
      </c>
      <c r="DL117" s="228">
        <v>33.01</v>
      </c>
      <c r="DM117" s="228">
        <v>32.46</v>
      </c>
      <c r="DN117" s="228">
        <v>0.55000000000000004</v>
      </c>
      <c r="DO117" s="228">
        <v>0.55000000000000004</v>
      </c>
      <c r="DP117" s="228">
        <v>0.6</v>
      </c>
      <c r="DQ117" s="228">
        <v>0.63</v>
      </c>
      <c r="DR117" s="228">
        <v>-0.03</v>
      </c>
      <c r="DS117" s="229">
        <v>-4.7600000000000003E-2</v>
      </c>
      <c r="DT117" s="228">
        <v>900</v>
      </c>
      <c r="DU117" s="228">
        <v>800</v>
      </c>
      <c r="DV117" s="228">
        <v>0.44</v>
      </c>
      <c r="DW117" s="228">
        <v>0.53</v>
      </c>
      <c r="DX117" s="228">
        <v>-0.09</v>
      </c>
      <c r="DY117" s="229">
        <v>-0.16980000000000001</v>
      </c>
      <c r="DZ117" s="229">
        <v>3.2899999999999999E-2</v>
      </c>
      <c r="EA117" s="230">
        <v>595000</v>
      </c>
      <c r="EB117" s="229">
        <v>6.1000000000000004E-3</v>
      </c>
      <c r="EC117" s="229">
        <v>3.2899999999999999E-2</v>
      </c>
      <c r="ED117" s="228">
        <v>4.83</v>
      </c>
      <c r="EE117" s="229">
        <v>5.5999999999999999E-3</v>
      </c>
      <c r="EF117" s="230">
        <v>972056</v>
      </c>
      <c r="EG117" s="230">
        <v>1321999</v>
      </c>
      <c r="EH117" s="229">
        <v>-0.26469999999999999</v>
      </c>
      <c r="EI117" s="229">
        <v>0.626</v>
      </c>
      <c r="EJ117" s="231">
        <v>68583.53</v>
      </c>
      <c r="EK117" s="231">
        <v>27546.87</v>
      </c>
      <c r="EL117" s="231">
        <v>22887.49</v>
      </c>
      <c r="EM117" s="231">
        <v>6214</v>
      </c>
      <c r="EN117" s="231">
        <v>119017.89</v>
      </c>
      <c r="EO117" s="231">
        <v>174799</v>
      </c>
      <c r="EP117" s="231">
        <v>-55781.11</v>
      </c>
      <c r="EQ117" s="229">
        <v>-0.31909999999999999</v>
      </c>
      <c r="ER117" s="231">
        <v>88376</v>
      </c>
      <c r="ES117" s="231">
        <v>48491</v>
      </c>
      <c r="ET117" s="231">
        <v>165308</v>
      </c>
      <c r="EU117" s="231">
        <v>58629477</v>
      </c>
      <c r="EV117" s="231">
        <v>302175</v>
      </c>
      <c r="EW117" s="231">
        <v>294173</v>
      </c>
      <c r="EX117" s="231">
        <v>8002</v>
      </c>
      <c r="EY117" s="229">
        <v>2.7199999999999998E-2</v>
      </c>
      <c r="EZ117" s="229">
        <v>0.58720000000000006</v>
      </c>
      <c r="FA117" s="227" t="s">
        <v>567</v>
      </c>
      <c r="FB117" s="161">
        <f t="shared" si="1"/>
        <v>625600</v>
      </c>
    </row>
    <row r="118" spans="1:158" ht="17.25" hidden="1" thickBot="1" x14ac:dyDescent="0.3">
      <c r="A118" s="226">
        <v>45936</v>
      </c>
      <c r="B118" s="227" t="s">
        <v>175</v>
      </c>
      <c r="C118" s="227" t="s">
        <v>248</v>
      </c>
      <c r="D118" s="228">
        <v>1000</v>
      </c>
      <c r="E118" s="228">
        <v>580.20000000000005</v>
      </c>
      <c r="F118" s="228">
        <v>582.54999999999995</v>
      </c>
      <c r="G118" s="228">
        <v>-2.35</v>
      </c>
      <c r="H118" s="229">
        <v>-4.0000000000000001E-3</v>
      </c>
      <c r="I118" s="228">
        <v>576.85</v>
      </c>
      <c r="J118" s="228">
        <v>578.45000000000005</v>
      </c>
      <c r="K118" s="228">
        <v>-1.6</v>
      </c>
      <c r="L118" s="229">
        <v>-2.8E-3</v>
      </c>
      <c r="M118" s="228">
        <v>580.20000000000005</v>
      </c>
      <c r="N118" s="228">
        <v>582.54999999999995</v>
      </c>
      <c r="O118" s="228">
        <v>-2.35</v>
      </c>
      <c r="P118" s="229">
        <v>-4.0000000000000001E-3</v>
      </c>
      <c r="Q118" s="228">
        <v>583.65</v>
      </c>
      <c r="R118" s="228">
        <v>585.79999999999995</v>
      </c>
      <c r="S118" s="228">
        <v>-2.15</v>
      </c>
      <c r="T118" s="229">
        <v>-3.7000000000000002E-3</v>
      </c>
      <c r="U118" s="228">
        <v>587.29999999999995</v>
      </c>
      <c r="V118" s="228">
        <v>587.9</v>
      </c>
      <c r="W118" s="228">
        <v>-0.6</v>
      </c>
      <c r="X118" s="229">
        <v>-1E-3</v>
      </c>
      <c r="Y118" s="228">
        <v>3.35</v>
      </c>
      <c r="Z118" s="228">
        <v>4.0999999999999996</v>
      </c>
      <c r="AA118" s="228">
        <v>-0.75</v>
      </c>
      <c r="AB118" s="229">
        <v>5.7999999999999996E-3</v>
      </c>
      <c r="AC118" s="228">
        <v>3.35</v>
      </c>
      <c r="AD118" s="228">
        <v>4.0999999999999996</v>
      </c>
      <c r="AE118" s="228">
        <v>-0.75</v>
      </c>
      <c r="AF118" s="229">
        <v>5.7999999999999996E-3</v>
      </c>
      <c r="AG118" s="228">
        <v>6.8</v>
      </c>
      <c r="AH118" s="228">
        <v>7.35</v>
      </c>
      <c r="AI118" s="228">
        <v>-0.55000000000000004</v>
      </c>
      <c r="AJ118" s="229">
        <v>1.18E-2</v>
      </c>
      <c r="AK118" s="228">
        <v>10.45</v>
      </c>
      <c r="AL118" s="228">
        <v>9.4499999999999993</v>
      </c>
      <c r="AM118" s="228">
        <v>1</v>
      </c>
      <c r="AN118" s="229">
        <v>1.8100000000000002E-2</v>
      </c>
      <c r="AO118" s="228">
        <v>579.95000000000005</v>
      </c>
      <c r="AP118" s="228">
        <v>583.11</v>
      </c>
      <c r="AQ118" s="228">
        <v>0</v>
      </c>
      <c r="AR118" s="230">
        <v>1947000</v>
      </c>
      <c r="AS118" s="230">
        <v>2646000</v>
      </c>
      <c r="AT118" s="230">
        <v>-699000</v>
      </c>
      <c r="AU118" s="229">
        <v>-0.26419999999999999</v>
      </c>
      <c r="AV118" s="230">
        <v>1860000</v>
      </c>
      <c r="AW118" s="230">
        <v>2353000</v>
      </c>
      <c r="AX118" s="230">
        <v>-493000</v>
      </c>
      <c r="AY118" s="229">
        <v>-0.20949999999999999</v>
      </c>
      <c r="AZ118" s="230">
        <v>84000</v>
      </c>
      <c r="BA118" s="230">
        <v>287000</v>
      </c>
      <c r="BB118" s="230">
        <v>-203000</v>
      </c>
      <c r="BC118" s="229">
        <v>-0.70730000000000004</v>
      </c>
      <c r="BD118" s="230">
        <v>3000</v>
      </c>
      <c r="BE118" s="230">
        <v>6000</v>
      </c>
      <c r="BF118" s="230">
        <v>-3000</v>
      </c>
      <c r="BG118" s="229">
        <v>-0.5</v>
      </c>
      <c r="BH118" s="230">
        <v>3425000</v>
      </c>
      <c r="BI118" s="230">
        <v>4594000</v>
      </c>
      <c r="BJ118" s="230">
        <v>-1169000</v>
      </c>
      <c r="BK118" s="229">
        <v>-0.2545</v>
      </c>
      <c r="BL118" s="230">
        <v>831000</v>
      </c>
      <c r="BM118" s="230">
        <v>1429000</v>
      </c>
      <c r="BN118" s="230">
        <v>-598000</v>
      </c>
      <c r="BO118" s="229">
        <v>-0.41849999999999998</v>
      </c>
      <c r="BP118" s="230">
        <v>6203000</v>
      </c>
      <c r="BQ118" s="230">
        <v>8669000</v>
      </c>
      <c r="BR118" s="230">
        <v>-2466000</v>
      </c>
      <c r="BS118" s="229">
        <v>-0.28449999999999998</v>
      </c>
      <c r="BT118" s="230">
        <v>676739</v>
      </c>
      <c r="BU118" s="230">
        <v>905803</v>
      </c>
      <c r="BV118" s="230">
        <v>-229064</v>
      </c>
      <c r="BW118" s="229">
        <v>-0.25290000000000001</v>
      </c>
      <c r="BX118" s="230">
        <v>29479000</v>
      </c>
      <c r="BY118" s="230">
        <v>29183000</v>
      </c>
      <c r="BZ118" s="230">
        <v>296000</v>
      </c>
      <c r="CA118" s="229">
        <v>1.01E-2</v>
      </c>
      <c r="CB118" s="230">
        <v>28831000</v>
      </c>
      <c r="CC118" s="230">
        <v>28565000</v>
      </c>
      <c r="CD118" s="230">
        <v>266000</v>
      </c>
      <c r="CE118" s="229">
        <v>9.2999999999999992E-3</v>
      </c>
      <c r="CF118" s="230">
        <v>637000</v>
      </c>
      <c r="CG118" s="230">
        <v>610000</v>
      </c>
      <c r="CH118" s="230">
        <v>27000</v>
      </c>
      <c r="CI118" s="229">
        <v>4.4299999999999999E-2</v>
      </c>
      <c r="CJ118" s="230">
        <v>11000</v>
      </c>
      <c r="CK118" s="230">
        <v>8000</v>
      </c>
      <c r="CL118" s="230">
        <v>3000</v>
      </c>
      <c r="CM118" s="229">
        <v>0.375</v>
      </c>
      <c r="CN118" s="230">
        <v>6992000</v>
      </c>
      <c r="CO118" s="230">
        <v>6947000</v>
      </c>
      <c r="CP118" s="230">
        <v>45000</v>
      </c>
      <c r="CQ118" s="229">
        <v>6.4999999999999997E-3</v>
      </c>
      <c r="CR118" s="230">
        <v>5494000</v>
      </c>
      <c r="CS118" s="230">
        <v>5428000</v>
      </c>
      <c r="CT118" s="230">
        <v>66000</v>
      </c>
      <c r="CU118" s="229">
        <v>1.2200000000000001E-2</v>
      </c>
      <c r="CV118" s="230">
        <v>41965000</v>
      </c>
      <c r="CW118" s="230">
        <v>41558000</v>
      </c>
      <c r="CX118" s="230">
        <v>407000</v>
      </c>
      <c r="CY118" s="229">
        <v>9.7999999999999997E-3</v>
      </c>
      <c r="CZ118" s="228">
        <v>21.05</v>
      </c>
      <c r="DA118" s="228">
        <v>20.170000000000002</v>
      </c>
      <c r="DB118" s="228">
        <v>0.88</v>
      </c>
      <c r="DC118" s="228">
        <v>0.88</v>
      </c>
      <c r="DD118" s="228">
        <v>35.07</v>
      </c>
      <c r="DE118" s="228">
        <v>35.15</v>
      </c>
      <c r="DF118" s="228">
        <v>-14.02</v>
      </c>
      <c r="DG118" s="228">
        <v>-0.08</v>
      </c>
      <c r="DH118" s="228">
        <v>21</v>
      </c>
      <c r="DI118" s="228">
        <v>20.04</v>
      </c>
      <c r="DJ118" s="228">
        <v>0.96</v>
      </c>
      <c r="DK118" s="228">
        <v>0.96</v>
      </c>
      <c r="DL118" s="228">
        <v>21.24</v>
      </c>
      <c r="DM118" s="228">
        <v>20.57</v>
      </c>
      <c r="DN118" s="228">
        <v>0.67</v>
      </c>
      <c r="DO118" s="228">
        <v>0.67</v>
      </c>
      <c r="DP118" s="228">
        <v>0.79</v>
      </c>
      <c r="DQ118" s="228">
        <v>0.78</v>
      </c>
      <c r="DR118" s="228">
        <v>0.01</v>
      </c>
      <c r="DS118" s="229">
        <v>1.2800000000000001E-2</v>
      </c>
      <c r="DT118" s="228">
        <v>600</v>
      </c>
      <c r="DU118" s="228">
        <v>600</v>
      </c>
      <c r="DV118" s="228">
        <v>0.24</v>
      </c>
      <c r="DW118" s="228">
        <v>0.31</v>
      </c>
      <c r="DX118" s="228">
        <v>-7.0000000000000007E-2</v>
      </c>
      <c r="DY118" s="229">
        <v>-0.2258</v>
      </c>
      <c r="DZ118" s="229">
        <v>2.1999999999999999E-2</v>
      </c>
      <c r="EA118" s="230">
        <v>618000</v>
      </c>
      <c r="EB118" s="229">
        <v>5.8999999999999999E-3</v>
      </c>
      <c r="EC118" s="229">
        <v>2.1999999999999999E-2</v>
      </c>
      <c r="ED118" s="228">
        <v>3.16</v>
      </c>
      <c r="EE118" s="229">
        <v>5.4000000000000003E-3</v>
      </c>
      <c r="EF118" s="230">
        <v>359639</v>
      </c>
      <c r="EG118" s="230">
        <v>398857</v>
      </c>
      <c r="EH118" s="229">
        <v>-9.8299999999999998E-2</v>
      </c>
      <c r="EI118" s="229">
        <v>0.53139999999999998</v>
      </c>
      <c r="EJ118" s="231">
        <v>20608.599999999999</v>
      </c>
      <c r="EK118" s="231">
        <v>4757.8</v>
      </c>
      <c r="EL118" s="231">
        <v>11294.63</v>
      </c>
      <c r="EM118" s="231">
        <v>8880</v>
      </c>
      <c r="EN118" s="231">
        <v>36661.03</v>
      </c>
      <c r="EO118" s="231">
        <v>51327.199999999997</v>
      </c>
      <c r="EP118" s="231">
        <v>-14666.17</v>
      </c>
      <c r="EQ118" s="229">
        <v>-0.28570000000000001</v>
      </c>
      <c r="ER118" s="231">
        <v>41700</v>
      </c>
      <c r="ES118" s="231">
        <v>31747</v>
      </c>
      <c r="ET118" s="231">
        <v>171060</v>
      </c>
      <c r="EU118" s="231">
        <v>45183075</v>
      </c>
      <c r="EV118" s="231">
        <v>244507</v>
      </c>
      <c r="EW118" s="231">
        <v>242864</v>
      </c>
      <c r="EX118" s="231">
        <v>1643</v>
      </c>
      <c r="EY118" s="229">
        <v>6.7999999999999996E-3</v>
      </c>
      <c r="EZ118" s="229">
        <v>0.92879999999999996</v>
      </c>
      <c r="FA118" s="227" t="s">
        <v>567</v>
      </c>
      <c r="FB118" s="161">
        <f t="shared" si="1"/>
        <v>648000</v>
      </c>
    </row>
    <row r="119" spans="1:158" ht="17.25" hidden="1" thickBot="1" x14ac:dyDescent="0.3">
      <c r="A119" s="226">
        <v>45936</v>
      </c>
      <c r="B119" s="227" t="s">
        <v>175</v>
      </c>
      <c r="C119" s="227" t="s">
        <v>608</v>
      </c>
      <c r="D119" s="228">
        <v>700</v>
      </c>
      <c r="E119" s="228">
        <v>912.9</v>
      </c>
      <c r="F119" s="228">
        <v>911.25</v>
      </c>
      <c r="G119" s="228">
        <v>1.65</v>
      </c>
      <c r="H119" s="229">
        <v>1.8E-3</v>
      </c>
      <c r="I119" s="228">
        <v>907.15</v>
      </c>
      <c r="J119" s="228">
        <v>905.25</v>
      </c>
      <c r="K119" s="228">
        <v>1.9</v>
      </c>
      <c r="L119" s="229">
        <v>2.0999999999999999E-3</v>
      </c>
      <c r="M119" s="228">
        <v>912.9</v>
      </c>
      <c r="N119" s="228">
        <v>911.25</v>
      </c>
      <c r="O119" s="228">
        <v>1.65</v>
      </c>
      <c r="P119" s="229">
        <v>1.8E-3</v>
      </c>
      <c r="Q119" s="228">
        <v>916.95</v>
      </c>
      <c r="R119" s="228">
        <v>914.95</v>
      </c>
      <c r="S119" s="228">
        <v>2</v>
      </c>
      <c r="T119" s="229">
        <v>2.2000000000000001E-3</v>
      </c>
      <c r="U119" s="228">
        <v>919.1</v>
      </c>
      <c r="V119" s="228">
        <v>917.4</v>
      </c>
      <c r="W119" s="228">
        <v>1.7</v>
      </c>
      <c r="X119" s="229">
        <v>1.9E-3</v>
      </c>
      <c r="Y119" s="228">
        <v>5.75</v>
      </c>
      <c r="Z119" s="228">
        <v>6</v>
      </c>
      <c r="AA119" s="228">
        <v>-0.25</v>
      </c>
      <c r="AB119" s="229">
        <v>6.3E-3</v>
      </c>
      <c r="AC119" s="228">
        <v>5.75</v>
      </c>
      <c r="AD119" s="228">
        <v>6</v>
      </c>
      <c r="AE119" s="228">
        <v>-0.25</v>
      </c>
      <c r="AF119" s="229">
        <v>6.3E-3</v>
      </c>
      <c r="AG119" s="228">
        <v>9.8000000000000007</v>
      </c>
      <c r="AH119" s="228">
        <v>9.6999999999999993</v>
      </c>
      <c r="AI119" s="228">
        <v>0.1</v>
      </c>
      <c r="AJ119" s="229">
        <v>1.0800000000000001E-2</v>
      </c>
      <c r="AK119" s="228">
        <v>11.95</v>
      </c>
      <c r="AL119" s="228">
        <v>12.15</v>
      </c>
      <c r="AM119" s="228">
        <v>-0.2</v>
      </c>
      <c r="AN119" s="229">
        <v>1.32E-2</v>
      </c>
      <c r="AO119" s="228">
        <v>912.3</v>
      </c>
      <c r="AP119" s="228">
        <v>915.46</v>
      </c>
      <c r="AQ119" s="228">
        <v>0</v>
      </c>
      <c r="AR119" s="230">
        <v>1219400</v>
      </c>
      <c r="AS119" s="230">
        <v>1173900</v>
      </c>
      <c r="AT119" s="230">
        <v>45500</v>
      </c>
      <c r="AU119" s="229">
        <v>3.8800000000000001E-2</v>
      </c>
      <c r="AV119" s="230">
        <v>1047200</v>
      </c>
      <c r="AW119" s="230">
        <v>1089200</v>
      </c>
      <c r="AX119" s="230">
        <v>-42000</v>
      </c>
      <c r="AY119" s="229">
        <v>-3.8600000000000002E-2</v>
      </c>
      <c r="AZ119" s="230">
        <v>162400</v>
      </c>
      <c r="BA119" s="230">
        <v>79800</v>
      </c>
      <c r="BB119" s="230">
        <v>82600</v>
      </c>
      <c r="BC119" s="229">
        <v>1.0350999999999999</v>
      </c>
      <c r="BD119" s="230">
        <v>9800</v>
      </c>
      <c r="BE119" s="230">
        <v>4900</v>
      </c>
      <c r="BF119" s="230">
        <v>4900</v>
      </c>
      <c r="BG119" s="229">
        <v>1</v>
      </c>
      <c r="BH119" s="230">
        <v>2276400</v>
      </c>
      <c r="BI119" s="230">
        <v>2975000</v>
      </c>
      <c r="BJ119" s="230">
        <v>-698600</v>
      </c>
      <c r="BK119" s="229">
        <v>-0.23480000000000001</v>
      </c>
      <c r="BL119" s="230">
        <v>644000</v>
      </c>
      <c r="BM119" s="230">
        <v>876400</v>
      </c>
      <c r="BN119" s="230">
        <v>-232400</v>
      </c>
      <c r="BO119" s="229">
        <v>-0.26519999999999999</v>
      </c>
      <c r="BP119" s="230">
        <v>4139800</v>
      </c>
      <c r="BQ119" s="230">
        <v>5025300</v>
      </c>
      <c r="BR119" s="230">
        <v>-885500</v>
      </c>
      <c r="BS119" s="229">
        <v>-0.1762</v>
      </c>
      <c r="BT119" s="230">
        <v>1432908</v>
      </c>
      <c r="BU119" s="230">
        <v>990246</v>
      </c>
      <c r="BV119" s="230">
        <v>442662</v>
      </c>
      <c r="BW119" s="229">
        <v>0.44700000000000001</v>
      </c>
      <c r="BX119" s="230">
        <v>7433300</v>
      </c>
      <c r="BY119" s="230">
        <v>7141400</v>
      </c>
      <c r="BZ119" s="230">
        <v>291900</v>
      </c>
      <c r="CA119" s="229">
        <v>4.0899999999999999E-2</v>
      </c>
      <c r="CB119" s="230">
        <v>7059500</v>
      </c>
      <c r="CC119" s="230">
        <v>6869800</v>
      </c>
      <c r="CD119" s="230">
        <v>189700</v>
      </c>
      <c r="CE119" s="229">
        <v>2.76E-2</v>
      </c>
      <c r="CF119" s="230">
        <v>364000</v>
      </c>
      <c r="CG119" s="230">
        <v>266000</v>
      </c>
      <c r="CH119" s="230">
        <v>98000</v>
      </c>
      <c r="CI119" s="229">
        <v>0.36840000000000001</v>
      </c>
      <c r="CJ119" s="230">
        <v>9800</v>
      </c>
      <c r="CK119" s="230">
        <v>5600</v>
      </c>
      <c r="CL119" s="230">
        <v>4200</v>
      </c>
      <c r="CM119" s="229">
        <v>0.75</v>
      </c>
      <c r="CN119" s="230">
        <v>3472700</v>
      </c>
      <c r="CO119" s="230">
        <v>3201800</v>
      </c>
      <c r="CP119" s="230">
        <v>270900</v>
      </c>
      <c r="CQ119" s="229">
        <v>8.4599999999999995E-2</v>
      </c>
      <c r="CR119" s="230">
        <v>1513400</v>
      </c>
      <c r="CS119" s="230">
        <v>1416800</v>
      </c>
      <c r="CT119" s="230">
        <v>96600</v>
      </c>
      <c r="CU119" s="229">
        <v>6.8199999999999997E-2</v>
      </c>
      <c r="CV119" s="230">
        <v>12419400</v>
      </c>
      <c r="CW119" s="230">
        <v>11760000</v>
      </c>
      <c r="CX119" s="230">
        <v>659400</v>
      </c>
      <c r="CY119" s="229">
        <v>5.6099999999999997E-2</v>
      </c>
      <c r="CZ119" s="228">
        <v>23.09</v>
      </c>
      <c r="DA119" s="228">
        <v>22.3</v>
      </c>
      <c r="DB119" s="228">
        <v>0.79</v>
      </c>
      <c r="DC119" s="228">
        <v>0.79</v>
      </c>
      <c r="DD119" s="228">
        <v>32.619999999999997</v>
      </c>
      <c r="DE119" s="228">
        <v>32.71</v>
      </c>
      <c r="DF119" s="228">
        <v>-9.5299999999999994</v>
      </c>
      <c r="DG119" s="228">
        <v>-0.09</v>
      </c>
      <c r="DH119" s="228">
        <v>23.07</v>
      </c>
      <c r="DI119" s="228">
        <v>22.32</v>
      </c>
      <c r="DJ119" s="228">
        <v>0.75</v>
      </c>
      <c r="DK119" s="228">
        <v>0.75</v>
      </c>
      <c r="DL119" s="228">
        <v>23.17</v>
      </c>
      <c r="DM119" s="228">
        <v>22.23</v>
      </c>
      <c r="DN119" s="228">
        <v>0.94</v>
      </c>
      <c r="DO119" s="228">
        <v>0.94</v>
      </c>
      <c r="DP119" s="228">
        <v>0.44</v>
      </c>
      <c r="DQ119" s="228">
        <v>0.44</v>
      </c>
      <c r="DR119" s="228">
        <v>0</v>
      </c>
      <c r="DS119" s="229">
        <v>0</v>
      </c>
      <c r="DT119" s="231">
        <v>1000</v>
      </c>
      <c r="DU119" s="228">
        <v>900</v>
      </c>
      <c r="DV119" s="228">
        <v>0.28000000000000003</v>
      </c>
      <c r="DW119" s="228">
        <v>0.28999999999999998</v>
      </c>
      <c r="DX119" s="228">
        <v>-0.01</v>
      </c>
      <c r="DY119" s="229">
        <v>-3.4500000000000003E-2</v>
      </c>
      <c r="DZ119" s="229">
        <v>5.0299999999999997E-2</v>
      </c>
      <c r="EA119" s="230">
        <v>271600</v>
      </c>
      <c r="EB119" s="229">
        <v>4.4000000000000003E-3</v>
      </c>
      <c r="EC119" s="229">
        <v>5.0299999999999997E-2</v>
      </c>
      <c r="ED119" s="228">
        <v>3.16</v>
      </c>
      <c r="EE119" s="229">
        <v>3.5000000000000001E-3</v>
      </c>
      <c r="EF119" s="230">
        <v>879390</v>
      </c>
      <c r="EG119" s="230">
        <v>558124</v>
      </c>
      <c r="EH119" s="229">
        <v>0.5756</v>
      </c>
      <c r="EI119" s="229">
        <v>0.61370000000000002</v>
      </c>
      <c r="EJ119" s="231">
        <v>21582.17</v>
      </c>
      <c r="EK119" s="231">
        <v>5746.14</v>
      </c>
      <c r="EL119" s="231">
        <v>11130.42</v>
      </c>
      <c r="EM119" s="231">
        <v>4897</v>
      </c>
      <c r="EN119" s="231">
        <v>38458.730000000003</v>
      </c>
      <c r="EO119" s="231">
        <v>47060.9</v>
      </c>
      <c r="EP119" s="231">
        <v>-8602.17</v>
      </c>
      <c r="EQ119" s="229">
        <v>-0.18279999999999999</v>
      </c>
      <c r="ER119" s="231">
        <v>32862</v>
      </c>
      <c r="ES119" s="231">
        <v>13234</v>
      </c>
      <c r="ET119" s="231">
        <v>67874</v>
      </c>
      <c r="EU119" s="231">
        <v>32057152</v>
      </c>
      <c r="EV119" s="231">
        <v>113970</v>
      </c>
      <c r="EW119" s="231">
        <v>107754</v>
      </c>
      <c r="EX119" s="231">
        <v>6216</v>
      </c>
      <c r="EY119" s="229">
        <v>5.7700000000000001E-2</v>
      </c>
      <c r="EZ119" s="229">
        <v>0.38740000000000002</v>
      </c>
      <c r="FA119" s="227" t="s">
        <v>555</v>
      </c>
      <c r="FB119" s="161">
        <f t="shared" si="1"/>
        <v>373800</v>
      </c>
    </row>
    <row r="120" spans="1:158" ht="17.25" hidden="1" thickBot="1" x14ac:dyDescent="0.3">
      <c r="A120" s="226">
        <v>45936</v>
      </c>
      <c r="B120" s="227" t="s">
        <v>206</v>
      </c>
      <c r="C120" s="227" t="s">
        <v>589</v>
      </c>
      <c r="D120" s="228">
        <v>450</v>
      </c>
      <c r="E120" s="231">
        <v>1122.5</v>
      </c>
      <c r="F120" s="231">
        <v>1120.4000000000001</v>
      </c>
      <c r="G120" s="228">
        <v>2.1</v>
      </c>
      <c r="H120" s="229">
        <v>1.9E-3</v>
      </c>
      <c r="I120" s="231">
        <v>1115.0999999999999</v>
      </c>
      <c r="J120" s="231">
        <v>1113</v>
      </c>
      <c r="K120" s="228">
        <v>2.1</v>
      </c>
      <c r="L120" s="229">
        <v>1.9E-3</v>
      </c>
      <c r="M120" s="231">
        <v>1122.5</v>
      </c>
      <c r="N120" s="231">
        <v>1120.4000000000001</v>
      </c>
      <c r="O120" s="228">
        <v>2.1</v>
      </c>
      <c r="P120" s="229">
        <v>1.9E-3</v>
      </c>
      <c r="Q120" s="231">
        <v>1128.3</v>
      </c>
      <c r="R120" s="231">
        <v>1127.0999999999999</v>
      </c>
      <c r="S120" s="228">
        <v>1.2</v>
      </c>
      <c r="T120" s="229">
        <v>1.1000000000000001E-3</v>
      </c>
      <c r="U120" s="231">
        <v>1134.8</v>
      </c>
      <c r="V120" s="231">
        <v>1132.7</v>
      </c>
      <c r="W120" s="228">
        <v>2.1</v>
      </c>
      <c r="X120" s="229">
        <v>1.9E-3</v>
      </c>
      <c r="Y120" s="228">
        <v>7.4</v>
      </c>
      <c r="Z120" s="228">
        <v>7.4</v>
      </c>
      <c r="AA120" s="228">
        <v>0</v>
      </c>
      <c r="AB120" s="229">
        <v>6.6E-3</v>
      </c>
      <c r="AC120" s="228">
        <v>7.4</v>
      </c>
      <c r="AD120" s="228">
        <v>7.4</v>
      </c>
      <c r="AE120" s="228">
        <v>0</v>
      </c>
      <c r="AF120" s="229">
        <v>6.6E-3</v>
      </c>
      <c r="AG120" s="228">
        <v>13.2</v>
      </c>
      <c r="AH120" s="228">
        <v>14.1</v>
      </c>
      <c r="AI120" s="228">
        <v>-0.9</v>
      </c>
      <c r="AJ120" s="229">
        <v>1.18E-2</v>
      </c>
      <c r="AK120" s="228">
        <v>19.7</v>
      </c>
      <c r="AL120" s="228">
        <v>19.7</v>
      </c>
      <c r="AM120" s="228">
        <v>0</v>
      </c>
      <c r="AN120" s="229">
        <v>1.77E-2</v>
      </c>
      <c r="AO120" s="231">
        <v>1118.99</v>
      </c>
      <c r="AP120" s="231">
        <v>1125.71</v>
      </c>
      <c r="AQ120" s="228">
        <v>0</v>
      </c>
      <c r="AR120" s="230">
        <v>1557000</v>
      </c>
      <c r="AS120" s="230">
        <v>1891350</v>
      </c>
      <c r="AT120" s="230">
        <v>-334350</v>
      </c>
      <c r="AU120" s="229">
        <v>-0.17680000000000001</v>
      </c>
      <c r="AV120" s="230">
        <v>1452150</v>
      </c>
      <c r="AW120" s="230">
        <v>1648800</v>
      </c>
      <c r="AX120" s="230">
        <v>-196650</v>
      </c>
      <c r="AY120" s="229">
        <v>-0.1193</v>
      </c>
      <c r="AZ120" s="230">
        <v>98550</v>
      </c>
      <c r="BA120" s="230">
        <v>227700</v>
      </c>
      <c r="BB120" s="230">
        <v>-129150</v>
      </c>
      <c r="BC120" s="229">
        <v>-0.56720000000000004</v>
      </c>
      <c r="BD120" s="230">
        <v>6300</v>
      </c>
      <c r="BE120" s="230">
        <v>14850</v>
      </c>
      <c r="BF120" s="230">
        <v>-8550</v>
      </c>
      <c r="BG120" s="229">
        <v>-0.57579999999999998</v>
      </c>
      <c r="BH120" s="230">
        <v>3848850</v>
      </c>
      <c r="BI120" s="230">
        <v>3397950</v>
      </c>
      <c r="BJ120" s="230">
        <v>450900</v>
      </c>
      <c r="BK120" s="229">
        <v>0.13270000000000001</v>
      </c>
      <c r="BL120" s="230">
        <v>1057950</v>
      </c>
      <c r="BM120" s="230">
        <v>1520550</v>
      </c>
      <c r="BN120" s="230">
        <v>-462600</v>
      </c>
      <c r="BO120" s="229">
        <v>-0.30420000000000003</v>
      </c>
      <c r="BP120" s="230">
        <v>6463800</v>
      </c>
      <c r="BQ120" s="230">
        <v>6809850</v>
      </c>
      <c r="BR120" s="230">
        <v>-346050</v>
      </c>
      <c r="BS120" s="229">
        <v>-5.0799999999999998E-2</v>
      </c>
      <c r="BT120" s="230">
        <v>1442729</v>
      </c>
      <c r="BU120" s="230">
        <v>1725508</v>
      </c>
      <c r="BV120" s="230">
        <v>-282779</v>
      </c>
      <c r="BW120" s="229">
        <v>-0.16389999999999999</v>
      </c>
      <c r="BX120" s="230">
        <v>10950300</v>
      </c>
      <c r="BY120" s="230">
        <v>10463400</v>
      </c>
      <c r="BZ120" s="230">
        <v>486900</v>
      </c>
      <c r="CA120" s="229">
        <v>4.65E-2</v>
      </c>
      <c r="CB120" s="230">
        <v>10613250</v>
      </c>
      <c r="CC120" s="230">
        <v>10159200</v>
      </c>
      <c r="CD120" s="230">
        <v>454050</v>
      </c>
      <c r="CE120" s="229">
        <v>4.4699999999999997E-2</v>
      </c>
      <c r="CF120" s="230">
        <v>319500</v>
      </c>
      <c r="CG120" s="230">
        <v>290700</v>
      </c>
      <c r="CH120" s="230">
        <v>28800</v>
      </c>
      <c r="CI120" s="229">
        <v>9.9099999999999994E-2</v>
      </c>
      <c r="CJ120" s="230">
        <v>17550</v>
      </c>
      <c r="CK120" s="230">
        <v>13500</v>
      </c>
      <c r="CL120" s="230">
        <v>4050</v>
      </c>
      <c r="CM120" s="229">
        <v>0.3</v>
      </c>
      <c r="CN120" s="230">
        <v>2619000</v>
      </c>
      <c r="CO120" s="230">
        <v>2403000</v>
      </c>
      <c r="CP120" s="230">
        <v>216000</v>
      </c>
      <c r="CQ120" s="229">
        <v>8.9899999999999994E-2</v>
      </c>
      <c r="CR120" s="230">
        <v>1305900</v>
      </c>
      <c r="CS120" s="230">
        <v>1166850</v>
      </c>
      <c r="CT120" s="230">
        <v>139050</v>
      </c>
      <c r="CU120" s="229">
        <v>0.1192</v>
      </c>
      <c r="CV120" s="230">
        <v>14875200</v>
      </c>
      <c r="CW120" s="230">
        <v>14033250</v>
      </c>
      <c r="CX120" s="230">
        <v>841950</v>
      </c>
      <c r="CY120" s="229">
        <v>0.06</v>
      </c>
      <c r="CZ120" s="228">
        <v>34.49</v>
      </c>
      <c r="DA120" s="228">
        <v>33.44</v>
      </c>
      <c r="DB120" s="228">
        <v>1.05</v>
      </c>
      <c r="DC120" s="228">
        <v>1.05</v>
      </c>
      <c r="DD120" s="228">
        <v>48.03</v>
      </c>
      <c r="DE120" s="228">
        <v>48.15</v>
      </c>
      <c r="DF120" s="228">
        <v>-13.54</v>
      </c>
      <c r="DG120" s="228">
        <v>-0.12</v>
      </c>
      <c r="DH120" s="228">
        <v>34.6</v>
      </c>
      <c r="DI120" s="228">
        <v>33.53</v>
      </c>
      <c r="DJ120" s="228">
        <v>1.07</v>
      </c>
      <c r="DK120" s="228">
        <v>1.07</v>
      </c>
      <c r="DL120" s="228">
        <v>34.090000000000003</v>
      </c>
      <c r="DM120" s="228">
        <v>33.25</v>
      </c>
      <c r="DN120" s="228">
        <v>0.84</v>
      </c>
      <c r="DO120" s="228">
        <v>0.84</v>
      </c>
      <c r="DP120" s="228">
        <v>0.5</v>
      </c>
      <c r="DQ120" s="228">
        <v>0.49</v>
      </c>
      <c r="DR120" s="228">
        <v>0.01</v>
      </c>
      <c r="DS120" s="229">
        <v>2.0400000000000001E-2</v>
      </c>
      <c r="DT120" s="231">
        <v>1200</v>
      </c>
      <c r="DU120" s="231">
        <v>1100</v>
      </c>
      <c r="DV120" s="228">
        <v>0.27</v>
      </c>
      <c r="DW120" s="228">
        <v>0.45</v>
      </c>
      <c r="DX120" s="228">
        <v>-0.18</v>
      </c>
      <c r="DY120" s="229">
        <v>-0.4</v>
      </c>
      <c r="DZ120" s="229">
        <v>3.0800000000000001E-2</v>
      </c>
      <c r="EA120" s="230">
        <v>304200</v>
      </c>
      <c r="EB120" s="229">
        <v>5.1999999999999998E-3</v>
      </c>
      <c r="EC120" s="229">
        <v>3.0800000000000001E-2</v>
      </c>
      <c r="ED120" s="228">
        <v>6.72</v>
      </c>
      <c r="EE120" s="229">
        <v>6.0000000000000001E-3</v>
      </c>
      <c r="EF120" s="230">
        <v>939532</v>
      </c>
      <c r="EG120" s="230">
        <v>1003083</v>
      </c>
      <c r="EH120" s="229">
        <v>-6.3399999999999998E-2</v>
      </c>
      <c r="EI120" s="229">
        <v>0.6512</v>
      </c>
      <c r="EJ120" s="231">
        <v>46138.96</v>
      </c>
      <c r="EK120" s="231">
        <v>11779.65</v>
      </c>
      <c r="EL120" s="231">
        <v>17430.03</v>
      </c>
      <c r="EM120" s="231">
        <v>7549</v>
      </c>
      <c r="EN120" s="231">
        <v>75348.639999999999</v>
      </c>
      <c r="EO120" s="231">
        <v>79228.710000000006</v>
      </c>
      <c r="EP120" s="231">
        <v>-3880.07</v>
      </c>
      <c r="EQ120" s="229">
        <v>-4.9000000000000002E-2</v>
      </c>
      <c r="ER120" s="231">
        <v>31289</v>
      </c>
      <c r="ES120" s="231">
        <v>14575</v>
      </c>
      <c r="ET120" s="231">
        <v>122938</v>
      </c>
      <c r="EU120" s="231">
        <v>42060143</v>
      </c>
      <c r="EV120" s="231">
        <v>168802</v>
      </c>
      <c r="EW120" s="231">
        <v>159257</v>
      </c>
      <c r="EX120" s="231">
        <v>9545</v>
      </c>
      <c r="EY120" s="229">
        <v>5.9900000000000002E-2</v>
      </c>
      <c r="EZ120" s="229">
        <v>0.35370000000000001</v>
      </c>
      <c r="FA120" s="227" t="s">
        <v>555</v>
      </c>
      <c r="FB120" s="161">
        <f t="shared" si="1"/>
        <v>337050</v>
      </c>
    </row>
    <row r="121" spans="1:158" ht="17.25" hidden="1" thickBot="1" x14ac:dyDescent="0.3">
      <c r="A121" s="226">
        <v>45936</v>
      </c>
      <c r="B121" s="227" t="s">
        <v>184</v>
      </c>
      <c r="C121" s="227" t="s">
        <v>249</v>
      </c>
      <c r="D121" s="228">
        <v>175</v>
      </c>
      <c r="E121" s="231">
        <v>3753.4</v>
      </c>
      <c r="F121" s="231">
        <v>3751.1</v>
      </c>
      <c r="G121" s="228">
        <v>2.2999999999999998</v>
      </c>
      <c r="H121" s="229">
        <v>5.9999999999999995E-4</v>
      </c>
      <c r="I121" s="231">
        <v>3737</v>
      </c>
      <c r="J121" s="231">
        <v>3733.1</v>
      </c>
      <c r="K121" s="228">
        <v>3.9</v>
      </c>
      <c r="L121" s="229">
        <v>1E-3</v>
      </c>
      <c r="M121" s="231">
        <v>3753.4</v>
      </c>
      <c r="N121" s="231">
        <v>3751.1</v>
      </c>
      <c r="O121" s="228">
        <v>2.2999999999999998</v>
      </c>
      <c r="P121" s="229">
        <v>5.9999999999999995E-4</v>
      </c>
      <c r="Q121" s="231">
        <v>3777.1</v>
      </c>
      <c r="R121" s="231">
        <v>3772.1</v>
      </c>
      <c r="S121" s="228">
        <v>5</v>
      </c>
      <c r="T121" s="229">
        <v>1.2999999999999999E-3</v>
      </c>
      <c r="U121" s="231">
        <v>3792.8</v>
      </c>
      <c r="V121" s="231">
        <v>3790.9</v>
      </c>
      <c r="W121" s="228">
        <v>1.9</v>
      </c>
      <c r="X121" s="229">
        <v>5.0000000000000001E-4</v>
      </c>
      <c r="Y121" s="228">
        <v>16.399999999999999</v>
      </c>
      <c r="Z121" s="228">
        <v>18</v>
      </c>
      <c r="AA121" s="228">
        <v>-1.6</v>
      </c>
      <c r="AB121" s="229">
        <v>4.4000000000000003E-3</v>
      </c>
      <c r="AC121" s="228">
        <v>16.399999999999999</v>
      </c>
      <c r="AD121" s="228">
        <v>18</v>
      </c>
      <c r="AE121" s="228">
        <v>-1.6</v>
      </c>
      <c r="AF121" s="229">
        <v>4.4000000000000003E-3</v>
      </c>
      <c r="AG121" s="228">
        <v>40.1</v>
      </c>
      <c r="AH121" s="228">
        <v>39</v>
      </c>
      <c r="AI121" s="228">
        <v>1.1000000000000001</v>
      </c>
      <c r="AJ121" s="229">
        <v>1.0699999999999999E-2</v>
      </c>
      <c r="AK121" s="228">
        <v>55.8</v>
      </c>
      <c r="AL121" s="228">
        <v>57.8</v>
      </c>
      <c r="AM121" s="228">
        <v>-2</v>
      </c>
      <c r="AN121" s="229">
        <v>1.49E-2</v>
      </c>
      <c r="AO121" s="231">
        <v>3754.34</v>
      </c>
      <c r="AP121" s="231">
        <v>3775</v>
      </c>
      <c r="AQ121" s="228">
        <v>0</v>
      </c>
      <c r="AR121" s="230">
        <v>1791300</v>
      </c>
      <c r="AS121" s="230">
        <v>2525950</v>
      </c>
      <c r="AT121" s="230">
        <v>-734650</v>
      </c>
      <c r="AU121" s="229">
        <v>-0.2908</v>
      </c>
      <c r="AV121" s="230">
        <v>1711850</v>
      </c>
      <c r="AW121" s="230">
        <v>2277800</v>
      </c>
      <c r="AX121" s="230">
        <v>-565950</v>
      </c>
      <c r="AY121" s="229">
        <v>-0.2485</v>
      </c>
      <c r="AZ121" s="230">
        <v>63000</v>
      </c>
      <c r="BA121" s="230">
        <v>66500</v>
      </c>
      <c r="BB121" s="230">
        <v>-3500</v>
      </c>
      <c r="BC121" s="229">
        <v>-5.2600000000000001E-2</v>
      </c>
      <c r="BD121" s="230">
        <v>16450</v>
      </c>
      <c r="BE121" s="230">
        <v>181650</v>
      </c>
      <c r="BF121" s="230">
        <v>-165200</v>
      </c>
      <c r="BG121" s="229">
        <v>-0.90939999999999999</v>
      </c>
      <c r="BH121" s="230">
        <v>10507000</v>
      </c>
      <c r="BI121" s="230">
        <v>8442875</v>
      </c>
      <c r="BJ121" s="230">
        <v>2064125</v>
      </c>
      <c r="BK121" s="229">
        <v>0.2445</v>
      </c>
      <c r="BL121" s="230">
        <v>2943850</v>
      </c>
      <c r="BM121" s="230">
        <v>2998275</v>
      </c>
      <c r="BN121" s="230">
        <v>-54425</v>
      </c>
      <c r="BO121" s="229">
        <v>-1.8200000000000001E-2</v>
      </c>
      <c r="BP121" s="230">
        <v>15242150</v>
      </c>
      <c r="BQ121" s="230">
        <v>13967100</v>
      </c>
      <c r="BR121" s="230">
        <v>1275050</v>
      </c>
      <c r="BS121" s="229">
        <v>9.1300000000000006E-2</v>
      </c>
      <c r="BT121" s="230">
        <v>1698977</v>
      </c>
      <c r="BU121" s="230">
        <v>2040998</v>
      </c>
      <c r="BV121" s="230">
        <v>-342021</v>
      </c>
      <c r="BW121" s="229">
        <v>-0.1676</v>
      </c>
      <c r="BX121" s="230">
        <v>16647925</v>
      </c>
      <c r="BY121" s="230">
        <v>16642325</v>
      </c>
      <c r="BZ121" s="230">
        <v>5600</v>
      </c>
      <c r="CA121" s="229">
        <v>2.9999999999999997E-4</v>
      </c>
      <c r="CB121" s="230">
        <v>16291450</v>
      </c>
      <c r="CC121" s="230">
        <v>16297575</v>
      </c>
      <c r="CD121" s="230">
        <v>-6125</v>
      </c>
      <c r="CE121" s="229">
        <v>-4.0000000000000002E-4</v>
      </c>
      <c r="CF121" s="230">
        <v>170625</v>
      </c>
      <c r="CG121" s="230">
        <v>165550</v>
      </c>
      <c r="CH121" s="230">
        <v>5075</v>
      </c>
      <c r="CI121" s="229">
        <v>3.0700000000000002E-2</v>
      </c>
      <c r="CJ121" s="230">
        <v>185850</v>
      </c>
      <c r="CK121" s="230">
        <v>179200</v>
      </c>
      <c r="CL121" s="230">
        <v>6650</v>
      </c>
      <c r="CM121" s="229">
        <v>3.7100000000000001E-2</v>
      </c>
      <c r="CN121" s="230">
        <v>5266975</v>
      </c>
      <c r="CO121" s="230">
        <v>4538100</v>
      </c>
      <c r="CP121" s="230">
        <v>728875</v>
      </c>
      <c r="CQ121" s="229">
        <v>0.16059999999999999</v>
      </c>
      <c r="CR121" s="230">
        <v>2620450</v>
      </c>
      <c r="CS121" s="230">
        <v>2496900</v>
      </c>
      <c r="CT121" s="230">
        <v>123550</v>
      </c>
      <c r="CU121" s="229">
        <v>4.9500000000000002E-2</v>
      </c>
      <c r="CV121" s="230">
        <v>24535350</v>
      </c>
      <c r="CW121" s="230">
        <v>23677325</v>
      </c>
      <c r="CX121" s="230">
        <v>858025</v>
      </c>
      <c r="CY121" s="229">
        <v>3.6200000000000003E-2</v>
      </c>
      <c r="CZ121" s="228">
        <v>19.47</v>
      </c>
      <c r="DA121" s="228">
        <v>18.59</v>
      </c>
      <c r="DB121" s="228">
        <v>0.88</v>
      </c>
      <c r="DC121" s="228">
        <v>0.88</v>
      </c>
      <c r="DD121" s="228">
        <v>28.33</v>
      </c>
      <c r="DE121" s="228">
        <v>28.4</v>
      </c>
      <c r="DF121" s="228">
        <v>-8.86</v>
      </c>
      <c r="DG121" s="228">
        <v>-7.0000000000000007E-2</v>
      </c>
      <c r="DH121" s="228">
        <v>19.48</v>
      </c>
      <c r="DI121" s="228">
        <v>18.52</v>
      </c>
      <c r="DJ121" s="228">
        <v>0.96</v>
      </c>
      <c r="DK121" s="228">
        <v>0.96</v>
      </c>
      <c r="DL121" s="228">
        <v>19.43</v>
      </c>
      <c r="DM121" s="228">
        <v>18.8</v>
      </c>
      <c r="DN121" s="228">
        <v>0.63</v>
      </c>
      <c r="DO121" s="228">
        <v>0.63</v>
      </c>
      <c r="DP121" s="228">
        <v>0.5</v>
      </c>
      <c r="DQ121" s="228">
        <v>0.55000000000000004</v>
      </c>
      <c r="DR121" s="228">
        <v>-0.05</v>
      </c>
      <c r="DS121" s="229">
        <v>-9.0899999999999995E-2</v>
      </c>
      <c r="DT121" s="231">
        <v>3800</v>
      </c>
      <c r="DU121" s="231">
        <v>3600</v>
      </c>
      <c r="DV121" s="228">
        <v>0.28000000000000003</v>
      </c>
      <c r="DW121" s="228">
        <v>0.36</v>
      </c>
      <c r="DX121" s="228">
        <v>-0.08</v>
      </c>
      <c r="DY121" s="229">
        <v>-0.22220000000000001</v>
      </c>
      <c r="DZ121" s="229">
        <v>2.1399999999999999E-2</v>
      </c>
      <c r="EA121" s="230">
        <v>344750</v>
      </c>
      <c r="EB121" s="229">
        <v>6.3E-3</v>
      </c>
      <c r="EC121" s="229">
        <v>2.1399999999999999E-2</v>
      </c>
      <c r="ED121" s="228">
        <v>20.66</v>
      </c>
      <c r="EE121" s="229">
        <v>5.4999999999999997E-3</v>
      </c>
      <c r="EF121" s="230">
        <v>1021931</v>
      </c>
      <c r="EG121" s="230">
        <v>1319348</v>
      </c>
      <c r="EH121" s="229">
        <v>-0.22539999999999999</v>
      </c>
      <c r="EI121" s="229">
        <v>0.60150000000000003</v>
      </c>
      <c r="EJ121" s="231">
        <v>408547.14</v>
      </c>
      <c r="EK121" s="231">
        <v>109085.75999999999</v>
      </c>
      <c r="EL121" s="231">
        <v>67271.13</v>
      </c>
      <c r="EM121" s="231">
        <v>29725</v>
      </c>
      <c r="EN121" s="231">
        <v>584904.03</v>
      </c>
      <c r="EO121" s="231">
        <v>529082.68999999994</v>
      </c>
      <c r="EP121" s="231">
        <v>55821.34</v>
      </c>
      <c r="EQ121" s="229">
        <v>0.1055</v>
      </c>
      <c r="ER121" s="231">
        <v>203089</v>
      </c>
      <c r="ES121" s="231">
        <v>94870</v>
      </c>
      <c r="ET121" s="231">
        <v>624977</v>
      </c>
      <c r="EU121" s="231">
        <v>136007303</v>
      </c>
      <c r="EV121" s="231">
        <v>922936</v>
      </c>
      <c r="EW121" s="231">
        <v>889134</v>
      </c>
      <c r="EX121" s="231">
        <v>33802</v>
      </c>
      <c r="EY121" s="229">
        <v>3.7999999999999999E-2</v>
      </c>
      <c r="EZ121" s="229">
        <v>0.1804</v>
      </c>
      <c r="FA121" s="227" t="s">
        <v>555</v>
      </c>
      <c r="FB121" s="161">
        <f t="shared" si="1"/>
        <v>356475</v>
      </c>
    </row>
    <row r="122" spans="1:158" ht="17.25" hidden="1" thickBot="1" x14ac:dyDescent="0.3">
      <c r="A122" s="226">
        <v>45936</v>
      </c>
      <c r="B122" s="227" t="s">
        <v>175</v>
      </c>
      <c r="C122" s="227" t="s">
        <v>565</v>
      </c>
      <c r="D122" s="228">
        <v>4462</v>
      </c>
      <c r="E122" s="228">
        <v>261.11</v>
      </c>
      <c r="F122" s="228">
        <v>263.36</v>
      </c>
      <c r="G122" s="228">
        <v>-2.25</v>
      </c>
      <c r="H122" s="229">
        <v>-8.5000000000000006E-3</v>
      </c>
      <c r="I122" s="228">
        <v>259.87</v>
      </c>
      <c r="J122" s="228">
        <v>262.33</v>
      </c>
      <c r="K122" s="228">
        <v>-2.46</v>
      </c>
      <c r="L122" s="229">
        <v>-9.4000000000000004E-3</v>
      </c>
      <c r="M122" s="228">
        <v>261.11</v>
      </c>
      <c r="N122" s="228">
        <v>263.36</v>
      </c>
      <c r="O122" s="228">
        <v>-2.25</v>
      </c>
      <c r="P122" s="229">
        <v>-8.5000000000000006E-3</v>
      </c>
      <c r="Q122" s="228">
        <v>261.70999999999998</v>
      </c>
      <c r="R122" s="228">
        <v>263.61</v>
      </c>
      <c r="S122" s="228">
        <v>-1.9</v>
      </c>
      <c r="T122" s="229">
        <v>-7.1999999999999998E-3</v>
      </c>
      <c r="U122" s="228">
        <v>261.83999999999997</v>
      </c>
      <c r="V122" s="228">
        <v>264.14</v>
      </c>
      <c r="W122" s="228">
        <v>-2.2999999999999998</v>
      </c>
      <c r="X122" s="229">
        <v>-8.6999999999999994E-3</v>
      </c>
      <c r="Y122" s="228">
        <v>1.24</v>
      </c>
      <c r="Z122" s="228">
        <v>1.03</v>
      </c>
      <c r="AA122" s="228">
        <v>0.21</v>
      </c>
      <c r="AB122" s="229">
        <v>4.7999999999999996E-3</v>
      </c>
      <c r="AC122" s="228">
        <v>1.24</v>
      </c>
      <c r="AD122" s="228">
        <v>1.03</v>
      </c>
      <c r="AE122" s="228">
        <v>0.21</v>
      </c>
      <c r="AF122" s="229">
        <v>4.7999999999999996E-3</v>
      </c>
      <c r="AG122" s="228">
        <v>1.84</v>
      </c>
      <c r="AH122" s="228">
        <v>1.28</v>
      </c>
      <c r="AI122" s="228">
        <v>0.56000000000000005</v>
      </c>
      <c r="AJ122" s="229">
        <v>7.1000000000000004E-3</v>
      </c>
      <c r="AK122" s="228">
        <v>1.97</v>
      </c>
      <c r="AL122" s="228">
        <v>1.81</v>
      </c>
      <c r="AM122" s="228">
        <v>0.16</v>
      </c>
      <c r="AN122" s="229">
        <v>7.6E-3</v>
      </c>
      <c r="AO122" s="228">
        <v>257.93</v>
      </c>
      <c r="AP122" s="228">
        <v>258.70999999999998</v>
      </c>
      <c r="AQ122" s="228">
        <v>0</v>
      </c>
      <c r="AR122" s="230">
        <v>28061518</v>
      </c>
      <c r="AS122" s="230">
        <v>19427548</v>
      </c>
      <c r="AT122" s="230">
        <v>8633970</v>
      </c>
      <c r="AU122" s="229">
        <v>0.44440000000000002</v>
      </c>
      <c r="AV122" s="230">
        <v>26633678</v>
      </c>
      <c r="AW122" s="230">
        <v>18512838</v>
      </c>
      <c r="AX122" s="230">
        <v>8120840</v>
      </c>
      <c r="AY122" s="229">
        <v>0.43869999999999998</v>
      </c>
      <c r="AZ122" s="230">
        <v>1276132</v>
      </c>
      <c r="BA122" s="230">
        <v>821008</v>
      </c>
      <c r="BB122" s="230">
        <v>455124</v>
      </c>
      <c r="BC122" s="229">
        <v>0.55430000000000001</v>
      </c>
      <c r="BD122" s="230">
        <v>151708</v>
      </c>
      <c r="BE122" s="230">
        <v>93702</v>
      </c>
      <c r="BF122" s="230">
        <v>58006</v>
      </c>
      <c r="BG122" s="229">
        <v>0.61899999999999999</v>
      </c>
      <c r="BH122" s="230">
        <v>53334286</v>
      </c>
      <c r="BI122" s="230">
        <v>46967012</v>
      </c>
      <c r="BJ122" s="230">
        <v>6367274</v>
      </c>
      <c r="BK122" s="229">
        <v>0.1356</v>
      </c>
      <c r="BL122" s="230">
        <v>29409042</v>
      </c>
      <c r="BM122" s="230">
        <v>24661474</v>
      </c>
      <c r="BN122" s="230">
        <v>4747568</v>
      </c>
      <c r="BO122" s="229">
        <v>0.1925</v>
      </c>
      <c r="BP122" s="230">
        <v>110804846</v>
      </c>
      <c r="BQ122" s="230">
        <v>91056034</v>
      </c>
      <c r="BR122" s="230">
        <v>19748812</v>
      </c>
      <c r="BS122" s="229">
        <v>0.21690000000000001</v>
      </c>
      <c r="BT122" s="230">
        <v>10017508</v>
      </c>
      <c r="BU122" s="230">
        <v>9355519</v>
      </c>
      <c r="BV122" s="230">
        <v>661989</v>
      </c>
      <c r="BW122" s="229">
        <v>7.0800000000000002E-2</v>
      </c>
      <c r="BX122" s="230">
        <v>47917418</v>
      </c>
      <c r="BY122" s="230">
        <v>48113746</v>
      </c>
      <c r="BZ122" s="230">
        <v>-196328</v>
      </c>
      <c r="CA122" s="229">
        <v>-4.1000000000000003E-3</v>
      </c>
      <c r="CB122" s="230">
        <v>46235244</v>
      </c>
      <c r="CC122" s="230">
        <v>46632362</v>
      </c>
      <c r="CD122" s="230">
        <v>-397118</v>
      </c>
      <c r="CE122" s="229">
        <v>-8.5000000000000006E-3</v>
      </c>
      <c r="CF122" s="230">
        <v>1534928</v>
      </c>
      <c r="CG122" s="230">
        <v>1405530</v>
      </c>
      <c r="CH122" s="230">
        <v>129398</v>
      </c>
      <c r="CI122" s="229">
        <v>9.2100000000000001E-2</v>
      </c>
      <c r="CJ122" s="230">
        <v>147246</v>
      </c>
      <c r="CK122" s="230">
        <v>75854</v>
      </c>
      <c r="CL122" s="230">
        <v>71392</v>
      </c>
      <c r="CM122" s="229">
        <v>0.94120000000000004</v>
      </c>
      <c r="CN122" s="230">
        <v>23465658</v>
      </c>
      <c r="CO122" s="230">
        <v>20792920</v>
      </c>
      <c r="CP122" s="230">
        <v>2672738</v>
      </c>
      <c r="CQ122" s="229">
        <v>0.1285</v>
      </c>
      <c r="CR122" s="230">
        <v>22341234</v>
      </c>
      <c r="CS122" s="230">
        <v>22359082</v>
      </c>
      <c r="CT122" s="230">
        <v>-17848</v>
      </c>
      <c r="CU122" s="229">
        <v>-8.0000000000000004E-4</v>
      </c>
      <c r="CV122" s="230">
        <v>93724310</v>
      </c>
      <c r="CW122" s="230">
        <v>91265748</v>
      </c>
      <c r="CX122" s="230">
        <v>2458562</v>
      </c>
      <c r="CY122" s="229">
        <v>2.69E-2</v>
      </c>
      <c r="CZ122" s="228">
        <v>32.97</v>
      </c>
      <c r="DA122" s="228">
        <v>31.43</v>
      </c>
      <c r="DB122" s="228">
        <v>1.54</v>
      </c>
      <c r="DC122" s="228">
        <v>1.54</v>
      </c>
      <c r="DD122" s="228">
        <v>38.83</v>
      </c>
      <c r="DE122" s="228">
        <v>38.909999999999997</v>
      </c>
      <c r="DF122" s="228">
        <v>-5.86</v>
      </c>
      <c r="DG122" s="228">
        <v>-0.08</v>
      </c>
      <c r="DH122" s="228">
        <v>31.88</v>
      </c>
      <c r="DI122" s="228">
        <v>30.41</v>
      </c>
      <c r="DJ122" s="228">
        <v>1.47</v>
      </c>
      <c r="DK122" s="228">
        <v>1.47</v>
      </c>
      <c r="DL122" s="228">
        <v>34.97</v>
      </c>
      <c r="DM122" s="228">
        <v>33.369999999999997</v>
      </c>
      <c r="DN122" s="228">
        <v>1.6</v>
      </c>
      <c r="DO122" s="228">
        <v>1.6</v>
      </c>
      <c r="DP122" s="228">
        <v>0.95</v>
      </c>
      <c r="DQ122" s="228">
        <v>1.08</v>
      </c>
      <c r="DR122" s="228">
        <v>-0.13</v>
      </c>
      <c r="DS122" s="229">
        <v>-0.12039999999999999</v>
      </c>
      <c r="DT122" s="228">
        <v>265</v>
      </c>
      <c r="DU122" s="228">
        <v>230</v>
      </c>
      <c r="DV122" s="228">
        <v>0.55000000000000004</v>
      </c>
      <c r="DW122" s="228">
        <v>0.53</v>
      </c>
      <c r="DX122" s="228">
        <v>0.02</v>
      </c>
      <c r="DY122" s="229">
        <v>3.7699999999999997E-2</v>
      </c>
      <c r="DZ122" s="229">
        <v>3.5099999999999999E-2</v>
      </c>
      <c r="EA122" s="230">
        <v>1481384</v>
      </c>
      <c r="EB122" s="229">
        <v>2.3E-3</v>
      </c>
      <c r="EC122" s="229">
        <v>3.5099999999999999E-2</v>
      </c>
      <c r="ED122" s="228">
        <v>0.78</v>
      </c>
      <c r="EE122" s="229">
        <v>3.0000000000000001E-3</v>
      </c>
      <c r="EF122" s="230">
        <v>2714024</v>
      </c>
      <c r="EG122" s="230">
        <v>4352059</v>
      </c>
      <c r="EH122" s="229">
        <v>-0.37640000000000001</v>
      </c>
      <c r="EI122" s="229">
        <v>0.27089999999999997</v>
      </c>
      <c r="EJ122" s="231">
        <v>144817.47</v>
      </c>
      <c r="EK122" s="231">
        <v>73525.39</v>
      </c>
      <c r="EL122" s="231">
        <v>72390.039999999994</v>
      </c>
      <c r="EM122" s="231">
        <v>6774</v>
      </c>
      <c r="EN122" s="231">
        <v>290732.90000000002</v>
      </c>
      <c r="EO122" s="231">
        <v>241560.91</v>
      </c>
      <c r="EP122" s="231">
        <v>49171.99</v>
      </c>
      <c r="EQ122" s="229">
        <v>0.2036</v>
      </c>
      <c r="ER122" s="231">
        <v>61509</v>
      </c>
      <c r="ES122" s="231">
        <v>53190</v>
      </c>
      <c r="ET122" s="231">
        <v>125127</v>
      </c>
      <c r="EU122" s="231">
        <v>126777205</v>
      </c>
      <c r="EV122" s="231">
        <v>239826</v>
      </c>
      <c r="EW122" s="231">
        <v>234081</v>
      </c>
      <c r="EX122" s="231">
        <v>5745</v>
      </c>
      <c r="EY122" s="229">
        <v>2.4500000000000001E-2</v>
      </c>
      <c r="EZ122" s="229">
        <v>0.73929999999999996</v>
      </c>
      <c r="FA122" s="227" t="s">
        <v>568</v>
      </c>
      <c r="FB122" s="161">
        <f t="shared" si="1"/>
        <v>1682174</v>
      </c>
    </row>
    <row r="123" spans="1:158" ht="17.25" hidden="1" thickBot="1" x14ac:dyDescent="0.3">
      <c r="A123" s="226">
        <v>45936</v>
      </c>
      <c r="B123" s="227" t="s">
        <v>221</v>
      </c>
      <c r="C123" s="227" t="s">
        <v>561</v>
      </c>
      <c r="D123" s="228">
        <v>150</v>
      </c>
      <c r="E123" s="231">
        <v>5264.5</v>
      </c>
      <c r="F123" s="231">
        <v>5116.5</v>
      </c>
      <c r="G123" s="228">
        <v>148</v>
      </c>
      <c r="H123" s="229">
        <v>2.8899999999999999E-2</v>
      </c>
      <c r="I123" s="231">
        <v>5274</v>
      </c>
      <c r="J123" s="231">
        <v>5120</v>
      </c>
      <c r="K123" s="228">
        <v>154</v>
      </c>
      <c r="L123" s="229">
        <v>3.0099999999999998E-2</v>
      </c>
      <c r="M123" s="231">
        <v>5264.5</v>
      </c>
      <c r="N123" s="231">
        <v>5116.5</v>
      </c>
      <c r="O123" s="228">
        <v>148</v>
      </c>
      <c r="P123" s="229">
        <v>2.8899999999999999E-2</v>
      </c>
      <c r="Q123" s="231">
        <v>5234.5</v>
      </c>
      <c r="R123" s="231">
        <v>5086</v>
      </c>
      <c r="S123" s="228">
        <v>148.5</v>
      </c>
      <c r="T123" s="229">
        <v>2.92E-2</v>
      </c>
      <c r="U123" s="231">
        <v>5212</v>
      </c>
      <c r="V123" s="231">
        <v>5064.5</v>
      </c>
      <c r="W123" s="228">
        <v>147.5</v>
      </c>
      <c r="X123" s="229">
        <v>2.9100000000000001E-2</v>
      </c>
      <c r="Y123" s="228">
        <v>-9.5</v>
      </c>
      <c r="Z123" s="228">
        <v>-3.5</v>
      </c>
      <c r="AA123" s="228">
        <v>-6</v>
      </c>
      <c r="AB123" s="229">
        <v>-1.8E-3</v>
      </c>
      <c r="AC123" s="228">
        <v>-9.5</v>
      </c>
      <c r="AD123" s="228">
        <v>-3.5</v>
      </c>
      <c r="AE123" s="228">
        <v>-6</v>
      </c>
      <c r="AF123" s="229">
        <v>-1.8E-3</v>
      </c>
      <c r="AG123" s="228">
        <v>-39.5</v>
      </c>
      <c r="AH123" s="228">
        <v>-34</v>
      </c>
      <c r="AI123" s="228">
        <v>-5.5</v>
      </c>
      <c r="AJ123" s="229">
        <v>-7.4999999999999997E-3</v>
      </c>
      <c r="AK123" s="228">
        <v>-62</v>
      </c>
      <c r="AL123" s="228">
        <v>-55.5</v>
      </c>
      <c r="AM123" s="228">
        <v>-6.5</v>
      </c>
      <c r="AN123" s="229">
        <v>-1.18E-2</v>
      </c>
      <c r="AO123" s="231">
        <v>5225.47</v>
      </c>
      <c r="AP123" s="231">
        <v>5183.59</v>
      </c>
      <c r="AQ123" s="228">
        <v>0</v>
      </c>
      <c r="AR123" s="230">
        <v>545550</v>
      </c>
      <c r="AS123" s="230">
        <v>312600</v>
      </c>
      <c r="AT123" s="230">
        <v>232950</v>
      </c>
      <c r="AU123" s="229">
        <v>0.74519999999999997</v>
      </c>
      <c r="AV123" s="230">
        <v>524400</v>
      </c>
      <c r="AW123" s="230">
        <v>303900</v>
      </c>
      <c r="AX123" s="230">
        <v>220500</v>
      </c>
      <c r="AY123" s="229">
        <v>0.72560000000000002</v>
      </c>
      <c r="AZ123" s="230">
        <v>19500</v>
      </c>
      <c r="BA123" s="230">
        <v>7500</v>
      </c>
      <c r="BB123" s="230">
        <v>12000</v>
      </c>
      <c r="BC123" s="229">
        <v>1.6</v>
      </c>
      <c r="BD123" s="230">
        <v>1650</v>
      </c>
      <c r="BE123" s="230">
        <v>1200</v>
      </c>
      <c r="BF123" s="228">
        <v>450</v>
      </c>
      <c r="BG123" s="229">
        <v>0.375</v>
      </c>
      <c r="BH123" s="230">
        <v>2400750</v>
      </c>
      <c r="BI123" s="230">
        <v>663450</v>
      </c>
      <c r="BJ123" s="230">
        <v>1737300</v>
      </c>
      <c r="BK123" s="229">
        <v>2.6185999999999998</v>
      </c>
      <c r="BL123" s="230">
        <v>555150</v>
      </c>
      <c r="BM123" s="230">
        <v>239550</v>
      </c>
      <c r="BN123" s="230">
        <v>315600</v>
      </c>
      <c r="BO123" s="229">
        <v>1.3174999999999999</v>
      </c>
      <c r="BP123" s="230">
        <v>3501450</v>
      </c>
      <c r="BQ123" s="230">
        <v>1215600</v>
      </c>
      <c r="BR123" s="230">
        <v>2285850</v>
      </c>
      <c r="BS123" s="229">
        <v>1.8804000000000001</v>
      </c>
      <c r="BT123" s="230">
        <v>225840</v>
      </c>
      <c r="BU123" s="230">
        <v>123776</v>
      </c>
      <c r="BV123" s="230">
        <v>102064</v>
      </c>
      <c r="BW123" s="229">
        <v>0.8246</v>
      </c>
      <c r="BX123" s="230">
        <v>2564250</v>
      </c>
      <c r="BY123" s="230">
        <v>2608500</v>
      </c>
      <c r="BZ123" s="230">
        <v>-44250</v>
      </c>
      <c r="CA123" s="229">
        <v>-1.7000000000000001E-2</v>
      </c>
      <c r="CB123" s="230">
        <v>2512050</v>
      </c>
      <c r="CC123" s="230">
        <v>2555100</v>
      </c>
      <c r="CD123" s="230">
        <v>-43050</v>
      </c>
      <c r="CE123" s="229">
        <v>-1.6799999999999999E-2</v>
      </c>
      <c r="CF123" s="230">
        <v>50250</v>
      </c>
      <c r="CG123" s="230">
        <v>52050</v>
      </c>
      <c r="CH123" s="230">
        <v>-1800</v>
      </c>
      <c r="CI123" s="229">
        <v>-3.4599999999999999E-2</v>
      </c>
      <c r="CJ123" s="230">
        <v>1950</v>
      </c>
      <c r="CK123" s="230">
        <v>1350</v>
      </c>
      <c r="CL123" s="228">
        <v>600</v>
      </c>
      <c r="CM123" s="229">
        <v>0.44440000000000002</v>
      </c>
      <c r="CN123" s="230">
        <v>643200</v>
      </c>
      <c r="CO123" s="230">
        <v>540300</v>
      </c>
      <c r="CP123" s="230">
        <v>102900</v>
      </c>
      <c r="CQ123" s="229">
        <v>0.19040000000000001</v>
      </c>
      <c r="CR123" s="230">
        <v>415500</v>
      </c>
      <c r="CS123" s="230">
        <v>393150</v>
      </c>
      <c r="CT123" s="230">
        <v>22350</v>
      </c>
      <c r="CU123" s="229">
        <v>5.6800000000000003E-2</v>
      </c>
      <c r="CV123" s="230">
        <v>3622950</v>
      </c>
      <c r="CW123" s="230">
        <v>3541950</v>
      </c>
      <c r="CX123" s="230">
        <v>81000</v>
      </c>
      <c r="CY123" s="229">
        <v>2.29E-2</v>
      </c>
      <c r="CZ123" s="228">
        <v>30.49</v>
      </c>
      <c r="DA123" s="228">
        <v>29.97</v>
      </c>
      <c r="DB123" s="228">
        <v>0.52</v>
      </c>
      <c r="DC123" s="228">
        <v>0.52</v>
      </c>
      <c r="DD123" s="228">
        <v>34.19</v>
      </c>
      <c r="DE123" s="228">
        <v>34.06</v>
      </c>
      <c r="DF123" s="228">
        <v>-3.7</v>
      </c>
      <c r="DG123" s="228">
        <v>0.13</v>
      </c>
      <c r="DH123" s="228">
        <v>30.33</v>
      </c>
      <c r="DI123" s="228">
        <v>29.84</v>
      </c>
      <c r="DJ123" s="228">
        <v>0.49</v>
      </c>
      <c r="DK123" s="228">
        <v>0.49</v>
      </c>
      <c r="DL123" s="228">
        <v>31.14</v>
      </c>
      <c r="DM123" s="228">
        <v>30.31</v>
      </c>
      <c r="DN123" s="228">
        <v>0.83</v>
      </c>
      <c r="DO123" s="228">
        <v>0.83</v>
      </c>
      <c r="DP123" s="228">
        <v>0.65</v>
      </c>
      <c r="DQ123" s="228">
        <v>0.73</v>
      </c>
      <c r="DR123" s="228">
        <v>-0.08</v>
      </c>
      <c r="DS123" s="229">
        <v>-0.1096</v>
      </c>
      <c r="DT123" s="231">
        <v>6000</v>
      </c>
      <c r="DU123" s="231">
        <v>5000</v>
      </c>
      <c r="DV123" s="228">
        <v>0.23</v>
      </c>
      <c r="DW123" s="228">
        <v>0.36</v>
      </c>
      <c r="DX123" s="228">
        <v>-0.13</v>
      </c>
      <c r="DY123" s="229">
        <v>-0.36109999999999998</v>
      </c>
      <c r="DZ123" s="229">
        <v>2.0400000000000001E-2</v>
      </c>
      <c r="EA123" s="230">
        <v>53400</v>
      </c>
      <c r="EB123" s="229">
        <v>-5.7000000000000002E-3</v>
      </c>
      <c r="EC123" s="229">
        <v>2.0400000000000001E-2</v>
      </c>
      <c r="ED123" s="228">
        <v>-41.88</v>
      </c>
      <c r="EE123" s="229">
        <v>-8.0000000000000002E-3</v>
      </c>
      <c r="EF123" s="230">
        <v>65541</v>
      </c>
      <c r="EG123" s="230">
        <v>72828</v>
      </c>
      <c r="EH123" s="229">
        <v>-0.10009999999999999</v>
      </c>
      <c r="EI123" s="229">
        <v>0.29020000000000001</v>
      </c>
      <c r="EJ123" s="231">
        <v>131992.65</v>
      </c>
      <c r="EK123" s="231">
        <v>28239.24</v>
      </c>
      <c r="EL123" s="231">
        <v>28498.1</v>
      </c>
      <c r="EM123" s="231">
        <v>6658</v>
      </c>
      <c r="EN123" s="231">
        <v>188729.99</v>
      </c>
      <c r="EO123" s="231">
        <v>64602.06</v>
      </c>
      <c r="EP123" s="231">
        <v>124127.93</v>
      </c>
      <c r="EQ123" s="229">
        <v>1.9214</v>
      </c>
      <c r="ER123" s="231">
        <v>35656</v>
      </c>
      <c r="ES123" s="231">
        <v>20297</v>
      </c>
      <c r="ET123" s="231">
        <v>134979</v>
      </c>
      <c r="EU123" s="231">
        <v>9315942</v>
      </c>
      <c r="EV123" s="231">
        <v>190932</v>
      </c>
      <c r="EW123" s="231">
        <v>182357</v>
      </c>
      <c r="EX123" s="231">
        <v>8575</v>
      </c>
      <c r="EY123" s="229">
        <v>4.7E-2</v>
      </c>
      <c r="EZ123" s="229">
        <v>0.38890000000000002</v>
      </c>
      <c r="FA123" s="227" t="s">
        <v>556</v>
      </c>
      <c r="FB123" s="161">
        <f t="shared" si="1"/>
        <v>52200</v>
      </c>
    </row>
    <row r="124" spans="1:158" ht="17.25" hidden="1" thickBot="1" x14ac:dyDescent="0.3">
      <c r="A124" s="226">
        <v>45936</v>
      </c>
      <c r="B124" s="227" t="s">
        <v>170</v>
      </c>
      <c r="C124" s="227" t="s">
        <v>250</v>
      </c>
      <c r="D124" s="228">
        <v>425</v>
      </c>
      <c r="E124" s="231">
        <v>1949</v>
      </c>
      <c r="F124" s="231">
        <v>1986.3</v>
      </c>
      <c r="G124" s="228">
        <v>-37.299999999999997</v>
      </c>
      <c r="H124" s="229">
        <v>-1.8800000000000001E-2</v>
      </c>
      <c r="I124" s="231">
        <v>1937.3</v>
      </c>
      <c r="J124" s="231">
        <v>1973.6</v>
      </c>
      <c r="K124" s="228">
        <v>-36.299999999999997</v>
      </c>
      <c r="L124" s="229">
        <v>-1.84E-2</v>
      </c>
      <c r="M124" s="231">
        <v>1949</v>
      </c>
      <c r="N124" s="231">
        <v>1986.3</v>
      </c>
      <c r="O124" s="228">
        <v>-37.299999999999997</v>
      </c>
      <c r="P124" s="229">
        <v>-1.8800000000000001E-2</v>
      </c>
      <c r="Q124" s="231">
        <v>1960.2</v>
      </c>
      <c r="R124" s="231">
        <v>1996.8</v>
      </c>
      <c r="S124" s="228">
        <v>-36.6</v>
      </c>
      <c r="T124" s="229">
        <v>-1.83E-2</v>
      </c>
      <c r="U124" s="231">
        <v>1966.1</v>
      </c>
      <c r="V124" s="231">
        <v>2007</v>
      </c>
      <c r="W124" s="228">
        <v>-40.9</v>
      </c>
      <c r="X124" s="229">
        <v>-2.0400000000000001E-2</v>
      </c>
      <c r="Y124" s="228">
        <v>11.7</v>
      </c>
      <c r="Z124" s="228">
        <v>12.7</v>
      </c>
      <c r="AA124" s="228">
        <v>-1</v>
      </c>
      <c r="AB124" s="229">
        <v>6.0000000000000001E-3</v>
      </c>
      <c r="AC124" s="228">
        <v>11.7</v>
      </c>
      <c r="AD124" s="228">
        <v>12.7</v>
      </c>
      <c r="AE124" s="228">
        <v>-1</v>
      </c>
      <c r="AF124" s="229">
        <v>6.0000000000000001E-3</v>
      </c>
      <c r="AG124" s="228">
        <v>22.9</v>
      </c>
      <c r="AH124" s="228">
        <v>23.2</v>
      </c>
      <c r="AI124" s="228">
        <v>-0.3</v>
      </c>
      <c r="AJ124" s="229">
        <v>1.18E-2</v>
      </c>
      <c r="AK124" s="228">
        <v>28.8</v>
      </c>
      <c r="AL124" s="228">
        <v>33.4</v>
      </c>
      <c r="AM124" s="228">
        <v>-4.5999999999999996</v>
      </c>
      <c r="AN124" s="229">
        <v>1.49E-2</v>
      </c>
      <c r="AO124" s="231">
        <v>1951.29</v>
      </c>
      <c r="AP124" s="231">
        <v>1962.69</v>
      </c>
      <c r="AQ124" s="228">
        <v>0</v>
      </c>
      <c r="AR124" s="230">
        <v>1620525</v>
      </c>
      <c r="AS124" s="230">
        <v>907375</v>
      </c>
      <c r="AT124" s="230">
        <v>713150</v>
      </c>
      <c r="AU124" s="229">
        <v>0.78590000000000004</v>
      </c>
      <c r="AV124" s="230">
        <v>1561025</v>
      </c>
      <c r="AW124" s="230">
        <v>878050</v>
      </c>
      <c r="AX124" s="230">
        <v>682975</v>
      </c>
      <c r="AY124" s="229">
        <v>0.77780000000000005</v>
      </c>
      <c r="AZ124" s="230">
        <v>50150</v>
      </c>
      <c r="BA124" s="230">
        <v>25500</v>
      </c>
      <c r="BB124" s="230">
        <v>24650</v>
      </c>
      <c r="BC124" s="229">
        <v>0.9667</v>
      </c>
      <c r="BD124" s="230">
        <v>9350</v>
      </c>
      <c r="BE124" s="230">
        <v>3825</v>
      </c>
      <c r="BF124" s="230">
        <v>5525</v>
      </c>
      <c r="BG124" s="229">
        <v>1.4443999999999999</v>
      </c>
      <c r="BH124" s="230">
        <v>4485875</v>
      </c>
      <c r="BI124" s="230">
        <v>2496025</v>
      </c>
      <c r="BJ124" s="230">
        <v>1989850</v>
      </c>
      <c r="BK124" s="229">
        <v>0.79720000000000002</v>
      </c>
      <c r="BL124" s="230">
        <v>2847075</v>
      </c>
      <c r="BM124" s="230">
        <v>1481125</v>
      </c>
      <c r="BN124" s="230">
        <v>1365950</v>
      </c>
      <c r="BO124" s="229">
        <v>0.92220000000000002</v>
      </c>
      <c r="BP124" s="230">
        <v>8953475</v>
      </c>
      <c r="BQ124" s="230">
        <v>4884525</v>
      </c>
      <c r="BR124" s="230">
        <v>4068950</v>
      </c>
      <c r="BS124" s="229">
        <v>0.83299999999999996</v>
      </c>
      <c r="BT124" s="230">
        <v>1014988</v>
      </c>
      <c r="BU124" s="230">
        <v>779055</v>
      </c>
      <c r="BV124" s="230">
        <v>235933</v>
      </c>
      <c r="BW124" s="229">
        <v>0.30280000000000001</v>
      </c>
      <c r="BX124" s="230">
        <v>10701500</v>
      </c>
      <c r="BY124" s="230">
        <v>10647950</v>
      </c>
      <c r="BZ124" s="230">
        <v>53550</v>
      </c>
      <c r="CA124" s="229">
        <v>5.0000000000000001E-3</v>
      </c>
      <c r="CB124" s="230">
        <v>10606725</v>
      </c>
      <c r="CC124" s="230">
        <v>10569750</v>
      </c>
      <c r="CD124" s="230">
        <v>36975</v>
      </c>
      <c r="CE124" s="229">
        <v>3.5000000000000001E-3</v>
      </c>
      <c r="CF124" s="230">
        <v>84150</v>
      </c>
      <c r="CG124" s="230">
        <v>71400</v>
      </c>
      <c r="CH124" s="230">
        <v>12750</v>
      </c>
      <c r="CI124" s="229">
        <v>0.17860000000000001</v>
      </c>
      <c r="CJ124" s="230">
        <v>10625</v>
      </c>
      <c r="CK124" s="230">
        <v>6800</v>
      </c>
      <c r="CL124" s="230">
        <v>3825</v>
      </c>
      <c r="CM124" s="229">
        <v>0.5625</v>
      </c>
      <c r="CN124" s="230">
        <v>2558075</v>
      </c>
      <c r="CO124" s="230">
        <v>1725500</v>
      </c>
      <c r="CP124" s="230">
        <v>832575</v>
      </c>
      <c r="CQ124" s="229">
        <v>0.48249999999999998</v>
      </c>
      <c r="CR124" s="230">
        <v>1845350</v>
      </c>
      <c r="CS124" s="230">
        <v>1471350</v>
      </c>
      <c r="CT124" s="230">
        <v>374000</v>
      </c>
      <c r="CU124" s="229">
        <v>0.25419999999999998</v>
      </c>
      <c r="CV124" s="230">
        <v>15104925</v>
      </c>
      <c r="CW124" s="230">
        <v>13844800</v>
      </c>
      <c r="CX124" s="230">
        <v>1260125</v>
      </c>
      <c r="CY124" s="229">
        <v>9.0999999999999998E-2</v>
      </c>
      <c r="CZ124" s="228">
        <v>22.98</v>
      </c>
      <c r="DA124" s="228">
        <v>22.47</v>
      </c>
      <c r="DB124" s="228">
        <v>0.51</v>
      </c>
      <c r="DC124" s="228">
        <v>0.51</v>
      </c>
      <c r="DD124" s="228">
        <v>32.700000000000003</v>
      </c>
      <c r="DE124" s="228">
        <v>32.69</v>
      </c>
      <c r="DF124" s="228">
        <v>-9.7200000000000006</v>
      </c>
      <c r="DG124" s="228">
        <v>0.01</v>
      </c>
      <c r="DH124" s="228">
        <v>23.13</v>
      </c>
      <c r="DI124" s="228">
        <v>22.32</v>
      </c>
      <c r="DJ124" s="228">
        <v>0.81</v>
      </c>
      <c r="DK124" s="228">
        <v>0.81</v>
      </c>
      <c r="DL124" s="228">
        <v>22.74</v>
      </c>
      <c r="DM124" s="228">
        <v>22.72</v>
      </c>
      <c r="DN124" s="228">
        <v>0.02</v>
      </c>
      <c r="DO124" s="228">
        <v>0.02</v>
      </c>
      <c r="DP124" s="228">
        <v>0.72</v>
      </c>
      <c r="DQ124" s="228">
        <v>0.85</v>
      </c>
      <c r="DR124" s="228">
        <v>-0.13</v>
      </c>
      <c r="DS124" s="229">
        <v>-0.15290000000000001</v>
      </c>
      <c r="DT124" s="231">
        <v>2000</v>
      </c>
      <c r="DU124" s="231">
        <v>1860</v>
      </c>
      <c r="DV124" s="228">
        <v>0.63</v>
      </c>
      <c r="DW124" s="228">
        <v>0.59</v>
      </c>
      <c r="DX124" s="228">
        <v>0.04</v>
      </c>
      <c r="DY124" s="229">
        <v>6.7799999999999999E-2</v>
      </c>
      <c r="DZ124" s="229">
        <v>8.8999999999999999E-3</v>
      </c>
      <c r="EA124" s="230">
        <v>78200</v>
      </c>
      <c r="EB124" s="229">
        <v>5.7000000000000002E-3</v>
      </c>
      <c r="EC124" s="229">
        <v>8.8999999999999999E-3</v>
      </c>
      <c r="ED124" s="228">
        <v>11.4</v>
      </c>
      <c r="EE124" s="229">
        <v>5.7999999999999996E-3</v>
      </c>
      <c r="EF124" s="230">
        <v>608043</v>
      </c>
      <c r="EG124" s="230">
        <v>544477</v>
      </c>
      <c r="EH124" s="229">
        <v>0.1167</v>
      </c>
      <c r="EI124" s="229">
        <v>0.59909999999999997</v>
      </c>
      <c r="EJ124" s="231">
        <v>91101.7</v>
      </c>
      <c r="EK124" s="231">
        <v>55730.25</v>
      </c>
      <c r="EL124" s="231">
        <v>31628.78</v>
      </c>
      <c r="EM124" s="231">
        <v>7849</v>
      </c>
      <c r="EN124" s="231">
        <v>178460.73</v>
      </c>
      <c r="EO124" s="231">
        <v>98943.15</v>
      </c>
      <c r="EP124" s="231">
        <v>79517.58</v>
      </c>
      <c r="EQ124" s="229">
        <v>0.80369999999999997</v>
      </c>
      <c r="ER124" s="231">
        <v>52213</v>
      </c>
      <c r="ES124" s="231">
        <v>35297</v>
      </c>
      <c r="ET124" s="231">
        <v>208583</v>
      </c>
      <c r="EU124" s="231">
        <v>35341043</v>
      </c>
      <c r="EV124" s="231">
        <v>296093</v>
      </c>
      <c r="EW124" s="231">
        <v>275467</v>
      </c>
      <c r="EX124" s="231">
        <v>20626</v>
      </c>
      <c r="EY124" s="229">
        <v>7.4899999999999994E-2</v>
      </c>
      <c r="EZ124" s="229">
        <v>0.4274</v>
      </c>
      <c r="FA124" s="227" t="s">
        <v>567</v>
      </c>
      <c r="FB124" s="161">
        <f t="shared" si="1"/>
        <v>94775</v>
      </c>
    </row>
    <row r="125" spans="1:158" ht="17.25" hidden="1" thickBot="1" x14ac:dyDescent="0.3">
      <c r="A125" s="226">
        <v>45936</v>
      </c>
      <c r="B125" s="227" t="s">
        <v>162</v>
      </c>
      <c r="C125" s="227" t="s">
        <v>251</v>
      </c>
      <c r="D125" s="228">
        <v>200</v>
      </c>
      <c r="E125" s="231">
        <v>3492.2</v>
      </c>
      <c r="F125" s="231">
        <v>3474.3</v>
      </c>
      <c r="G125" s="228">
        <v>17.899999999999999</v>
      </c>
      <c r="H125" s="229">
        <v>5.1999999999999998E-3</v>
      </c>
      <c r="I125" s="231">
        <v>3472</v>
      </c>
      <c r="J125" s="231">
        <v>3462</v>
      </c>
      <c r="K125" s="228">
        <v>10</v>
      </c>
      <c r="L125" s="229">
        <v>2.8999999999999998E-3</v>
      </c>
      <c r="M125" s="231">
        <v>3492.2</v>
      </c>
      <c r="N125" s="231">
        <v>3474.3</v>
      </c>
      <c r="O125" s="228">
        <v>17.899999999999999</v>
      </c>
      <c r="P125" s="229">
        <v>5.1999999999999998E-3</v>
      </c>
      <c r="Q125" s="231">
        <v>3511.7</v>
      </c>
      <c r="R125" s="231">
        <v>3492.3</v>
      </c>
      <c r="S125" s="228">
        <v>19.399999999999999</v>
      </c>
      <c r="T125" s="229">
        <v>5.5999999999999999E-3</v>
      </c>
      <c r="U125" s="231">
        <v>3529.2</v>
      </c>
      <c r="V125" s="231">
        <v>3509.3</v>
      </c>
      <c r="W125" s="228">
        <v>19.899999999999999</v>
      </c>
      <c r="X125" s="229">
        <v>5.7000000000000002E-3</v>
      </c>
      <c r="Y125" s="228">
        <v>20.2</v>
      </c>
      <c r="Z125" s="228">
        <v>12.3</v>
      </c>
      <c r="AA125" s="228">
        <v>7.9</v>
      </c>
      <c r="AB125" s="229">
        <v>5.7999999999999996E-3</v>
      </c>
      <c r="AC125" s="228">
        <v>20.2</v>
      </c>
      <c r="AD125" s="228">
        <v>12.3</v>
      </c>
      <c r="AE125" s="228">
        <v>7.9</v>
      </c>
      <c r="AF125" s="229">
        <v>5.7999999999999996E-3</v>
      </c>
      <c r="AG125" s="228">
        <v>39.700000000000003</v>
      </c>
      <c r="AH125" s="228">
        <v>30.3</v>
      </c>
      <c r="AI125" s="228">
        <v>9.4</v>
      </c>
      <c r="AJ125" s="229">
        <v>1.14E-2</v>
      </c>
      <c r="AK125" s="228">
        <v>57.2</v>
      </c>
      <c r="AL125" s="228">
        <v>47.3</v>
      </c>
      <c r="AM125" s="228">
        <v>9.9</v>
      </c>
      <c r="AN125" s="229">
        <v>1.6500000000000001E-2</v>
      </c>
      <c r="AO125" s="231">
        <v>3475.76</v>
      </c>
      <c r="AP125" s="231">
        <v>3492.63</v>
      </c>
      <c r="AQ125" s="228">
        <v>0</v>
      </c>
      <c r="AR125" s="230">
        <v>1297600</v>
      </c>
      <c r="AS125" s="230">
        <v>3277200</v>
      </c>
      <c r="AT125" s="230">
        <v>-1979600</v>
      </c>
      <c r="AU125" s="229">
        <v>-0.60409999999999997</v>
      </c>
      <c r="AV125" s="230">
        <v>1240800</v>
      </c>
      <c r="AW125" s="230">
        <v>3083000</v>
      </c>
      <c r="AX125" s="230">
        <v>-1842200</v>
      </c>
      <c r="AY125" s="229">
        <v>-0.59750000000000003</v>
      </c>
      <c r="AZ125" s="230">
        <v>49800</v>
      </c>
      <c r="BA125" s="230">
        <v>77400</v>
      </c>
      <c r="BB125" s="230">
        <v>-27600</v>
      </c>
      <c r="BC125" s="229">
        <v>-0.35659999999999997</v>
      </c>
      <c r="BD125" s="230">
        <v>7000</v>
      </c>
      <c r="BE125" s="230">
        <v>116800</v>
      </c>
      <c r="BF125" s="230">
        <v>-109800</v>
      </c>
      <c r="BG125" s="229">
        <v>-0.94010000000000005</v>
      </c>
      <c r="BH125" s="230">
        <v>4789800</v>
      </c>
      <c r="BI125" s="230">
        <v>6354800</v>
      </c>
      <c r="BJ125" s="230">
        <v>-1565000</v>
      </c>
      <c r="BK125" s="229">
        <v>-0.24629999999999999</v>
      </c>
      <c r="BL125" s="230">
        <v>2005200</v>
      </c>
      <c r="BM125" s="230">
        <v>3589600</v>
      </c>
      <c r="BN125" s="230">
        <v>-1584400</v>
      </c>
      <c r="BO125" s="229">
        <v>-0.44140000000000001</v>
      </c>
      <c r="BP125" s="230">
        <v>8092600</v>
      </c>
      <c r="BQ125" s="230">
        <v>13221600</v>
      </c>
      <c r="BR125" s="230">
        <v>-5129000</v>
      </c>
      <c r="BS125" s="229">
        <v>-0.38790000000000002</v>
      </c>
      <c r="BT125" s="230">
        <v>1218133</v>
      </c>
      <c r="BU125" s="230">
        <v>2392186</v>
      </c>
      <c r="BV125" s="230">
        <v>-1174053</v>
      </c>
      <c r="BW125" s="229">
        <v>-0.49080000000000001</v>
      </c>
      <c r="BX125" s="230">
        <v>20078800</v>
      </c>
      <c r="BY125" s="230">
        <v>20074000</v>
      </c>
      <c r="BZ125" s="230">
        <v>4800</v>
      </c>
      <c r="CA125" s="229">
        <v>2.0000000000000001E-4</v>
      </c>
      <c r="CB125" s="230">
        <v>19745800</v>
      </c>
      <c r="CC125" s="230">
        <v>19745800</v>
      </c>
      <c r="CD125" s="228">
        <v>0</v>
      </c>
      <c r="CE125" s="229">
        <v>0</v>
      </c>
      <c r="CF125" s="230">
        <v>222400</v>
      </c>
      <c r="CG125" s="230">
        <v>219200</v>
      </c>
      <c r="CH125" s="230">
        <v>3200</v>
      </c>
      <c r="CI125" s="229">
        <v>1.46E-2</v>
      </c>
      <c r="CJ125" s="230">
        <v>110600</v>
      </c>
      <c r="CK125" s="230">
        <v>109000</v>
      </c>
      <c r="CL125" s="230">
        <v>1600</v>
      </c>
      <c r="CM125" s="229">
        <v>1.47E-2</v>
      </c>
      <c r="CN125" s="230">
        <v>4454600</v>
      </c>
      <c r="CO125" s="230">
        <v>4207400</v>
      </c>
      <c r="CP125" s="230">
        <v>247200</v>
      </c>
      <c r="CQ125" s="229">
        <v>5.8799999999999998E-2</v>
      </c>
      <c r="CR125" s="230">
        <v>2681600</v>
      </c>
      <c r="CS125" s="230">
        <v>2719000</v>
      </c>
      <c r="CT125" s="230">
        <v>-37400</v>
      </c>
      <c r="CU125" s="229">
        <v>-1.38E-2</v>
      </c>
      <c r="CV125" s="230">
        <v>27215000</v>
      </c>
      <c r="CW125" s="230">
        <v>27000400</v>
      </c>
      <c r="CX125" s="230">
        <v>214600</v>
      </c>
      <c r="CY125" s="229">
        <v>7.9000000000000008E-3</v>
      </c>
      <c r="CZ125" s="228">
        <v>24.32</v>
      </c>
      <c r="DA125" s="228">
        <v>24.27</v>
      </c>
      <c r="DB125" s="228">
        <v>0.05</v>
      </c>
      <c r="DC125" s="228">
        <v>0.05</v>
      </c>
      <c r="DD125" s="228">
        <v>34.69</v>
      </c>
      <c r="DE125" s="228">
        <v>34.78</v>
      </c>
      <c r="DF125" s="228">
        <v>-10.37</v>
      </c>
      <c r="DG125" s="228">
        <v>-0.09</v>
      </c>
      <c r="DH125" s="228">
        <v>24.23</v>
      </c>
      <c r="DI125" s="228">
        <v>24.27</v>
      </c>
      <c r="DJ125" s="228">
        <v>-0.04</v>
      </c>
      <c r="DK125" s="228">
        <v>-0.04</v>
      </c>
      <c r="DL125" s="228">
        <v>24.53</v>
      </c>
      <c r="DM125" s="228">
        <v>24.28</v>
      </c>
      <c r="DN125" s="228">
        <v>0.25</v>
      </c>
      <c r="DO125" s="228">
        <v>0.25</v>
      </c>
      <c r="DP125" s="228">
        <v>0.6</v>
      </c>
      <c r="DQ125" s="228">
        <v>0.65</v>
      </c>
      <c r="DR125" s="228">
        <v>-0.05</v>
      </c>
      <c r="DS125" s="229">
        <v>-7.6899999999999996E-2</v>
      </c>
      <c r="DT125" s="231">
        <v>3600</v>
      </c>
      <c r="DU125" s="231">
        <v>3400</v>
      </c>
      <c r="DV125" s="228">
        <v>0.42</v>
      </c>
      <c r="DW125" s="228">
        <v>0.56000000000000005</v>
      </c>
      <c r="DX125" s="228">
        <v>-0.14000000000000001</v>
      </c>
      <c r="DY125" s="229">
        <v>-0.25</v>
      </c>
      <c r="DZ125" s="229">
        <v>1.66E-2</v>
      </c>
      <c r="EA125" s="230">
        <v>328200</v>
      </c>
      <c r="EB125" s="229">
        <v>5.5999999999999999E-3</v>
      </c>
      <c r="EC125" s="229">
        <v>1.66E-2</v>
      </c>
      <c r="ED125" s="228">
        <v>16.87</v>
      </c>
      <c r="EE125" s="229">
        <v>4.8999999999999998E-3</v>
      </c>
      <c r="EF125" s="230">
        <v>654915</v>
      </c>
      <c r="EG125" s="230">
        <v>1548515</v>
      </c>
      <c r="EH125" s="229">
        <v>-0.57709999999999995</v>
      </c>
      <c r="EI125" s="229">
        <v>0.53759999999999997</v>
      </c>
      <c r="EJ125" s="231">
        <v>174546.21</v>
      </c>
      <c r="EK125" s="231">
        <v>67880.990000000005</v>
      </c>
      <c r="EL125" s="231">
        <v>45112.31</v>
      </c>
      <c r="EM125" s="231">
        <v>25767</v>
      </c>
      <c r="EN125" s="231">
        <v>287539.51</v>
      </c>
      <c r="EO125" s="231">
        <v>466773.26</v>
      </c>
      <c r="EP125" s="231">
        <v>-179233.75</v>
      </c>
      <c r="EQ125" s="229">
        <v>-0.38400000000000001</v>
      </c>
      <c r="ER125" s="231">
        <v>162467</v>
      </c>
      <c r="ES125" s="231">
        <v>90460</v>
      </c>
      <c r="ET125" s="231">
        <v>701276</v>
      </c>
      <c r="EU125" s="231">
        <v>100261459</v>
      </c>
      <c r="EV125" s="231">
        <v>954203</v>
      </c>
      <c r="EW125" s="231">
        <v>942427</v>
      </c>
      <c r="EX125" s="231">
        <v>11776</v>
      </c>
      <c r="EY125" s="229">
        <v>1.2500000000000001E-2</v>
      </c>
      <c r="EZ125" s="229">
        <v>0.27139999999999997</v>
      </c>
      <c r="FA125" s="227" t="s">
        <v>555</v>
      </c>
      <c r="FB125" s="161">
        <f t="shared" si="1"/>
        <v>333000</v>
      </c>
    </row>
    <row r="126" spans="1:158" ht="17.25" hidden="1" thickBot="1" x14ac:dyDescent="0.3">
      <c r="A126" s="226">
        <v>45936</v>
      </c>
      <c r="B126" s="227" t="s">
        <v>175</v>
      </c>
      <c r="C126" s="227" t="s">
        <v>253</v>
      </c>
      <c r="D126" s="228">
        <v>3000</v>
      </c>
      <c r="E126" s="228">
        <v>292.5</v>
      </c>
      <c r="F126" s="228">
        <v>287.45</v>
      </c>
      <c r="G126" s="228">
        <v>5.05</v>
      </c>
      <c r="H126" s="229">
        <v>1.7600000000000001E-2</v>
      </c>
      <c r="I126" s="228">
        <v>290.75</v>
      </c>
      <c r="J126" s="228">
        <v>286.2</v>
      </c>
      <c r="K126" s="228">
        <v>4.55</v>
      </c>
      <c r="L126" s="229">
        <v>1.5900000000000001E-2</v>
      </c>
      <c r="M126" s="228">
        <v>292.5</v>
      </c>
      <c r="N126" s="228">
        <v>287.45</v>
      </c>
      <c r="O126" s="228">
        <v>5.05</v>
      </c>
      <c r="P126" s="229">
        <v>1.7600000000000001E-2</v>
      </c>
      <c r="Q126" s="228">
        <v>293.10000000000002</v>
      </c>
      <c r="R126" s="228">
        <v>287.7</v>
      </c>
      <c r="S126" s="228">
        <v>5.4</v>
      </c>
      <c r="T126" s="229">
        <v>1.8800000000000001E-2</v>
      </c>
      <c r="U126" s="228">
        <v>296</v>
      </c>
      <c r="V126" s="228">
        <v>288.8</v>
      </c>
      <c r="W126" s="228">
        <v>7.2</v>
      </c>
      <c r="X126" s="229">
        <v>2.4899999999999999E-2</v>
      </c>
      <c r="Y126" s="228">
        <v>1.75</v>
      </c>
      <c r="Z126" s="228">
        <v>1.25</v>
      </c>
      <c r="AA126" s="228">
        <v>0.5</v>
      </c>
      <c r="AB126" s="229">
        <v>6.0000000000000001E-3</v>
      </c>
      <c r="AC126" s="228">
        <v>1.75</v>
      </c>
      <c r="AD126" s="228">
        <v>1.25</v>
      </c>
      <c r="AE126" s="228">
        <v>0.5</v>
      </c>
      <c r="AF126" s="229">
        <v>6.0000000000000001E-3</v>
      </c>
      <c r="AG126" s="228">
        <v>2.35</v>
      </c>
      <c r="AH126" s="228">
        <v>1.5</v>
      </c>
      <c r="AI126" s="228">
        <v>0.85</v>
      </c>
      <c r="AJ126" s="229">
        <v>8.0999999999999996E-3</v>
      </c>
      <c r="AK126" s="228">
        <v>5.25</v>
      </c>
      <c r="AL126" s="228">
        <v>2.6</v>
      </c>
      <c r="AM126" s="228">
        <v>2.65</v>
      </c>
      <c r="AN126" s="229">
        <v>1.8100000000000002E-2</v>
      </c>
      <c r="AO126" s="228">
        <v>291.41000000000003</v>
      </c>
      <c r="AP126" s="228">
        <v>292.52</v>
      </c>
      <c r="AQ126" s="228">
        <v>0</v>
      </c>
      <c r="AR126" s="230">
        <v>6171000</v>
      </c>
      <c r="AS126" s="230">
        <v>3132000</v>
      </c>
      <c r="AT126" s="230">
        <v>3039000</v>
      </c>
      <c r="AU126" s="229">
        <v>0.97030000000000005</v>
      </c>
      <c r="AV126" s="230">
        <v>5862000</v>
      </c>
      <c r="AW126" s="230">
        <v>2985000</v>
      </c>
      <c r="AX126" s="230">
        <v>2877000</v>
      </c>
      <c r="AY126" s="229">
        <v>0.96379999999999999</v>
      </c>
      <c r="AZ126" s="230">
        <v>276000</v>
      </c>
      <c r="BA126" s="230">
        <v>123000</v>
      </c>
      <c r="BB126" s="230">
        <v>153000</v>
      </c>
      <c r="BC126" s="229">
        <v>1.2439</v>
      </c>
      <c r="BD126" s="230">
        <v>33000</v>
      </c>
      <c r="BE126" s="230">
        <v>24000</v>
      </c>
      <c r="BF126" s="230">
        <v>9000</v>
      </c>
      <c r="BG126" s="229">
        <v>0.375</v>
      </c>
      <c r="BH126" s="230">
        <v>18606000</v>
      </c>
      <c r="BI126" s="230">
        <v>7317000</v>
      </c>
      <c r="BJ126" s="230">
        <v>11289000</v>
      </c>
      <c r="BK126" s="229">
        <v>1.5427999999999999</v>
      </c>
      <c r="BL126" s="230">
        <v>5673000</v>
      </c>
      <c r="BM126" s="230">
        <v>2445000</v>
      </c>
      <c r="BN126" s="230">
        <v>3228000</v>
      </c>
      <c r="BO126" s="229">
        <v>1.3202</v>
      </c>
      <c r="BP126" s="230">
        <v>30450000</v>
      </c>
      <c r="BQ126" s="230">
        <v>12894000</v>
      </c>
      <c r="BR126" s="230">
        <v>17556000</v>
      </c>
      <c r="BS126" s="229">
        <v>1.3615999999999999</v>
      </c>
      <c r="BT126" s="230">
        <v>3781648</v>
      </c>
      <c r="BU126" s="230">
        <v>1964734</v>
      </c>
      <c r="BV126" s="230">
        <v>1816914</v>
      </c>
      <c r="BW126" s="229">
        <v>0.92479999999999996</v>
      </c>
      <c r="BX126" s="230">
        <v>27129000</v>
      </c>
      <c r="BY126" s="230">
        <v>27633000</v>
      </c>
      <c r="BZ126" s="230">
        <v>-504000</v>
      </c>
      <c r="CA126" s="229">
        <v>-1.8200000000000001E-2</v>
      </c>
      <c r="CB126" s="230">
        <v>26700000</v>
      </c>
      <c r="CC126" s="230">
        <v>27264000</v>
      </c>
      <c r="CD126" s="230">
        <v>-564000</v>
      </c>
      <c r="CE126" s="229">
        <v>-2.07E-2</v>
      </c>
      <c r="CF126" s="230">
        <v>375000</v>
      </c>
      <c r="CG126" s="230">
        <v>342000</v>
      </c>
      <c r="CH126" s="230">
        <v>33000</v>
      </c>
      <c r="CI126" s="229">
        <v>9.6500000000000002E-2</v>
      </c>
      <c r="CJ126" s="230">
        <v>54000</v>
      </c>
      <c r="CK126" s="230">
        <v>27000</v>
      </c>
      <c r="CL126" s="230">
        <v>27000</v>
      </c>
      <c r="CM126" s="229">
        <v>1</v>
      </c>
      <c r="CN126" s="230">
        <v>9147000</v>
      </c>
      <c r="CO126" s="230">
        <v>7737000</v>
      </c>
      <c r="CP126" s="230">
        <v>1410000</v>
      </c>
      <c r="CQ126" s="229">
        <v>0.1822</v>
      </c>
      <c r="CR126" s="230">
        <v>4608000</v>
      </c>
      <c r="CS126" s="230">
        <v>4335000</v>
      </c>
      <c r="CT126" s="230">
        <v>273000</v>
      </c>
      <c r="CU126" s="229">
        <v>6.3E-2</v>
      </c>
      <c r="CV126" s="230">
        <v>40884000</v>
      </c>
      <c r="CW126" s="230">
        <v>39705000</v>
      </c>
      <c r="CX126" s="230">
        <v>1179000</v>
      </c>
      <c r="CY126" s="229">
        <v>2.9700000000000001E-2</v>
      </c>
      <c r="CZ126" s="228">
        <v>32.19</v>
      </c>
      <c r="DA126" s="228">
        <v>30.23</v>
      </c>
      <c r="DB126" s="228">
        <v>1.96</v>
      </c>
      <c r="DC126" s="228">
        <v>1.96</v>
      </c>
      <c r="DD126" s="228">
        <v>43.78</v>
      </c>
      <c r="DE126" s="228">
        <v>43.84</v>
      </c>
      <c r="DF126" s="228">
        <v>-11.59</v>
      </c>
      <c r="DG126" s="228">
        <v>-0.06</v>
      </c>
      <c r="DH126" s="228">
        <v>32.01</v>
      </c>
      <c r="DI126" s="228">
        <v>30.14</v>
      </c>
      <c r="DJ126" s="228">
        <v>1.87</v>
      </c>
      <c r="DK126" s="228">
        <v>1.87</v>
      </c>
      <c r="DL126" s="228">
        <v>32.78</v>
      </c>
      <c r="DM126" s="228">
        <v>30.5</v>
      </c>
      <c r="DN126" s="228">
        <v>2.2799999999999998</v>
      </c>
      <c r="DO126" s="228">
        <v>2.2799999999999998</v>
      </c>
      <c r="DP126" s="228">
        <v>0.5</v>
      </c>
      <c r="DQ126" s="228">
        <v>0.56000000000000005</v>
      </c>
      <c r="DR126" s="228">
        <v>-0.06</v>
      </c>
      <c r="DS126" s="229">
        <v>-0.1071</v>
      </c>
      <c r="DT126" s="228">
        <v>300</v>
      </c>
      <c r="DU126" s="228">
        <v>260</v>
      </c>
      <c r="DV126" s="228">
        <v>0.3</v>
      </c>
      <c r="DW126" s="228">
        <v>0.33</v>
      </c>
      <c r="DX126" s="228">
        <v>-0.03</v>
      </c>
      <c r="DY126" s="229">
        <v>-9.0899999999999995E-2</v>
      </c>
      <c r="DZ126" s="229">
        <v>1.5800000000000002E-2</v>
      </c>
      <c r="EA126" s="230">
        <v>369000</v>
      </c>
      <c r="EB126" s="229">
        <v>2.0999999999999999E-3</v>
      </c>
      <c r="EC126" s="229">
        <v>1.5800000000000002E-2</v>
      </c>
      <c r="ED126" s="228">
        <v>1.1100000000000001</v>
      </c>
      <c r="EE126" s="229">
        <v>3.8E-3</v>
      </c>
      <c r="EF126" s="230">
        <v>1213988</v>
      </c>
      <c r="EG126" s="230">
        <v>869736</v>
      </c>
      <c r="EH126" s="229">
        <v>0.39579999999999999</v>
      </c>
      <c r="EI126" s="229">
        <v>0.32100000000000001</v>
      </c>
      <c r="EJ126" s="231">
        <v>56981.3</v>
      </c>
      <c r="EK126" s="231">
        <v>16041.26</v>
      </c>
      <c r="EL126" s="231">
        <v>17986.27</v>
      </c>
      <c r="EM126" s="231">
        <v>3437</v>
      </c>
      <c r="EN126" s="231">
        <v>91008.83</v>
      </c>
      <c r="EO126" s="231">
        <v>37866.379999999997</v>
      </c>
      <c r="EP126" s="231">
        <v>53142.45</v>
      </c>
      <c r="EQ126" s="229">
        <v>1.4034</v>
      </c>
      <c r="ER126" s="231">
        <v>27383</v>
      </c>
      <c r="ES126" s="231">
        <v>12577</v>
      </c>
      <c r="ET126" s="231">
        <v>79356</v>
      </c>
      <c r="EU126" s="231">
        <v>82205057</v>
      </c>
      <c r="EV126" s="231">
        <v>119317</v>
      </c>
      <c r="EW126" s="231">
        <v>114267</v>
      </c>
      <c r="EX126" s="231">
        <v>5050</v>
      </c>
      <c r="EY126" s="229">
        <v>4.4200000000000003E-2</v>
      </c>
      <c r="EZ126" s="229">
        <v>0.49730000000000002</v>
      </c>
      <c r="FA126" s="227" t="s">
        <v>556</v>
      </c>
      <c r="FB126" s="161">
        <f t="shared" si="1"/>
        <v>429000</v>
      </c>
    </row>
    <row r="127" spans="1:158" ht="17.25" hidden="1" thickBot="1" x14ac:dyDescent="0.3">
      <c r="A127" s="226">
        <v>45936</v>
      </c>
      <c r="B127" s="227" t="s">
        <v>170</v>
      </c>
      <c r="C127" s="227" t="s">
        <v>674</v>
      </c>
      <c r="D127" s="228">
        <v>225</v>
      </c>
      <c r="E127" s="231">
        <v>2468.9</v>
      </c>
      <c r="F127" s="231">
        <v>2456</v>
      </c>
      <c r="G127" s="228">
        <v>12.9</v>
      </c>
      <c r="H127" s="229">
        <v>5.3E-3</v>
      </c>
      <c r="I127" s="231">
        <v>2456.3000000000002</v>
      </c>
      <c r="J127" s="231">
        <v>2448</v>
      </c>
      <c r="K127" s="228">
        <v>8.3000000000000007</v>
      </c>
      <c r="L127" s="229">
        <v>3.3999999999999998E-3</v>
      </c>
      <c r="M127" s="231">
        <v>2468.9</v>
      </c>
      <c r="N127" s="231">
        <v>2456</v>
      </c>
      <c r="O127" s="228">
        <v>12.9</v>
      </c>
      <c r="P127" s="229">
        <v>5.3E-3</v>
      </c>
      <c r="Q127" s="231">
        <v>2482.5</v>
      </c>
      <c r="R127" s="231">
        <v>2473.4</v>
      </c>
      <c r="S127" s="228">
        <v>9.1</v>
      </c>
      <c r="T127" s="229">
        <v>3.7000000000000002E-3</v>
      </c>
      <c r="U127" s="231">
        <v>2486.3000000000002</v>
      </c>
      <c r="V127" s="231">
        <v>2464.6</v>
      </c>
      <c r="W127" s="228">
        <v>21.7</v>
      </c>
      <c r="X127" s="229">
        <v>8.8000000000000005E-3</v>
      </c>
      <c r="Y127" s="228">
        <v>12.6</v>
      </c>
      <c r="Z127" s="228">
        <v>8</v>
      </c>
      <c r="AA127" s="228">
        <v>4.5999999999999996</v>
      </c>
      <c r="AB127" s="229">
        <v>5.1000000000000004E-3</v>
      </c>
      <c r="AC127" s="228">
        <v>12.6</v>
      </c>
      <c r="AD127" s="228">
        <v>8</v>
      </c>
      <c r="AE127" s="228">
        <v>4.5999999999999996</v>
      </c>
      <c r="AF127" s="229">
        <v>5.1000000000000004E-3</v>
      </c>
      <c r="AG127" s="228">
        <v>26.2</v>
      </c>
      <c r="AH127" s="228">
        <v>25.4</v>
      </c>
      <c r="AI127" s="228">
        <v>0.8</v>
      </c>
      <c r="AJ127" s="229">
        <v>1.0699999999999999E-2</v>
      </c>
      <c r="AK127" s="228">
        <v>30</v>
      </c>
      <c r="AL127" s="228">
        <v>16.600000000000001</v>
      </c>
      <c r="AM127" s="228">
        <v>13.4</v>
      </c>
      <c r="AN127" s="229">
        <v>1.2200000000000001E-2</v>
      </c>
      <c r="AO127" s="231">
        <v>2443.6799999999998</v>
      </c>
      <c r="AP127" s="231">
        <v>2452.67</v>
      </c>
      <c r="AQ127" s="228">
        <v>0</v>
      </c>
      <c r="AR127" s="230">
        <v>343800</v>
      </c>
      <c r="AS127" s="230">
        <v>402075</v>
      </c>
      <c r="AT127" s="230">
        <v>-58275</v>
      </c>
      <c r="AU127" s="229">
        <v>-0.1449</v>
      </c>
      <c r="AV127" s="230">
        <v>328950</v>
      </c>
      <c r="AW127" s="230">
        <v>377550</v>
      </c>
      <c r="AX127" s="230">
        <v>-48600</v>
      </c>
      <c r="AY127" s="229">
        <v>-0.12870000000000001</v>
      </c>
      <c r="AZ127" s="230">
        <v>13500</v>
      </c>
      <c r="BA127" s="230">
        <v>24300</v>
      </c>
      <c r="BB127" s="230">
        <v>-10800</v>
      </c>
      <c r="BC127" s="229">
        <v>-0.44440000000000002</v>
      </c>
      <c r="BD127" s="230">
        <v>1350</v>
      </c>
      <c r="BE127" s="228">
        <v>225</v>
      </c>
      <c r="BF127" s="230">
        <v>1125</v>
      </c>
      <c r="BG127" s="229">
        <v>5</v>
      </c>
      <c r="BH127" s="230">
        <v>425700</v>
      </c>
      <c r="BI127" s="230">
        <v>349200</v>
      </c>
      <c r="BJ127" s="230">
        <v>76500</v>
      </c>
      <c r="BK127" s="229">
        <v>0.21909999999999999</v>
      </c>
      <c r="BL127" s="230">
        <v>223650</v>
      </c>
      <c r="BM127" s="230">
        <v>202050</v>
      </c>
      <c r="BN127" s="230">
        <v>21600</v>
      </c>
      <c r="BO127" s="229">
        <v>0.1069</v>
      </c>
      <c r="BP127" s="230">
        <v>993150</v>
      </c>
      <c r="BQ127" s="230">
        <v>953325</v>
      </c>
      <c r="BR127" s="230">
        <v>39825</v>
      </c>
      <c r="BS127" s="229">
        <v>4.1799999999999997E-2</v>
      </c>
      <c r="BT127" s="230">
        <v>395008</v>
      </c>
      <c r="BU127" s="230">
        <v>611459</v>
      </c>
      <c r="BV127" s="230">
        <v>-216451</v>
      </c>
      <c r="BW127" s="229">
        <v>-0.35399999999999998</v>
      </c>
      <c r="BX127" s="230">
        <v>1716300</v>
      </c>
      <c r="BY127" s="230">
        <v>1648125</v>
      </c>
      <c r="BZ127" s="230">
        <v>68175</v>
      </c>
      <c r="CA127" s="229">
        <v>4.1399999999999999E-2</v>
      </c>
      <c r="CB127" s="230">
        <v>1669950</v>
      </c>
      <c r="CC127" s="230">
        <v>1606500</v>
      </c>
      <c r="CD127" s="230">
        <v>63450</v>
      </c>
      <c r="CE127" s="229">
        <v>3.95E-2</v>
      </c>
      <c r="CF127" s="230">
        <v>43650</v>
      </c>
      <c r="CG127" s="230">
        <v>40050</v>
      </c>
      <c r="CH127" s="230">
        <v>3600</v>
      </c>
      <c r="CI127" s="229">
        <v>8.9899999999999994E-2</v>
      </c>
      <c r="CJ127" s="230">
        <v>2700</v>
      </c>
      <c r="CK127" s="230">
        <v>1575</v>
      </c>
      <c r="CL127" s="230">
        <v>1125</v>
      </c>
      <c r="CM127" s="229">
        <v>0.71430000000000005</v>
      </c>
      <c r="CN127" s="230">
        <v>484200</v>
      </c>
      <c r="CO127" s="230">
        <v>423675</v>
      </c>
      <c r="CP127" s="230">
        <v>60525</v>
      </c>
      <c r="CQ127" s="229">
        <v>0.1429</v>
      </c>
      <c r="CR127" s="230">
        <v>287775</v>
      </c>
      <c r="CS127" s="230">
        <v>276525</v>
      </c>
      <c r="CT127" s="230">
        <v>11250</v>
      </c>
      <c r="CU127" s="229">
        <v>4.07E-2</v>
      </c>
      <c r="CV127" s="230">
        <v>2488275</v>
      </c>
      <c r="CW127" s="230">
        <v>2348325</v>
      </c>
      <c r="CX127" s="230">
        <v>139950</v>
      </c>
      <c r="CY127" s="229">
        <v>5.96E-2</v>
      </c>
      <c r="CZ127" s="228">
        <v>27.84</v>
      </c>
      <c r="DA127" s="228">
        <v>27.69</v>
      </c>
      <c r="DB127" s="228">
        <v>0.15</v>
      </c>
      <c r="DC127" s="228">
        <v>0.15</v>
      </c>
      <c r="DD127" s="228">
        <v>35.03</v>
      </c>
      <c r="DE127" s="228">
        <v>35.11</v>
      </c>
      <c r="DF127" s="228">
        <v>-7.19</v>
      </c>
      <c r="DG127" s="228">
        <v>-0.08</v>
      </c>
      <c r="DH127" s="228">
        <v>27.52</v>
      </c>
      <c r="DI127" s="228">
        <v>27.8</v>
      </c>
      <c r="DJ127" s="228">
        <v>-0.28000000000000003</v>
      </c>
      <c r="DK127" s="228">
        <v>-0.28000000000000003</v>
      </c>
      <c r="DL127" s="228">
        <v>28.46</v>
      </c>
      <c r="DM127" s="228">
        <v>27.51</v>
      </c>
      <c r="DN127" s="228">
        <v>0.95</v>
      </c>
      <c r="DO127" s="228">
        <v>0.95</v>
      </c>
      <c r="DP127" s="228">
        <v>0.59</v>
      </c>
      <c r="DQ127" s="228">
        <v>0.65</v>
      </c>
      <c r="DR127" s="228">
        <v>-0.06</v>
      </c>
      <c r="DS127" s="229">
        <v>-9.2299999999999993E-2</v>
      </c>
      <c r="DT127" s="231">
        <v>2600</v>
      </c>
      <c r="DU127" s="231">
        <v>2300</v>
      </c>
      <c r="DV127" s="228">
        <v>0.53</v>
      </c>
      <c r="DW127" s="228">
        <v>0.57999999999999996</v>
      </c>
      <c r="DX127" s="228">
        <v>-0.05</v>
      </c>
      <c r="DY127" s="229">
        <v>-8.6199999999999999E-2</v>
      </c>
      <c r="DZ127" s="229">
        <v>2.7E-2</v>
      </c>
      <c r="EA127" s="230">
        <v>41625</v>
      </c>
      <c r="EB127" s="229">
        <v>5.4999999999999997E-3</v>
      </c>
      <c r="EC127" s="229">
        <v>2.7E-2</v>
      </c>
      <c r="ED127" s="228">
        <v>8.99</v>
      </c>
      <c r="EE127" s="229">
        <v>3.7000000000000002E-3</v>
      </c>
      <c r="EF127" s="230">
        <v>192502</v>
      </c>
      <c r="EG127" s="230">
        <v>410715</v>
      </c>
      <c r="EH127" s="229">
        <v>-0.53129999999999999</v>
      </c>
      <c r="EI127" s="229">
        <v>0.48730000000000001</v>
      </c>
      <c r="EJ127" s="231">
        <v>11049.37</v>
      </c>
      <c r="EK127" s="231">
        <v>5309.15</v>
      </c>
      <c r="EL127" s="231">
        <v>8402.9699999999993</v>
      </c>
      <c r="EM127" s="231">
        <v>3398</v>
      </c>
      <c r="EN127" s="231">
        <v>24761.49</v>
      </c>
      <c r="EO127" s="231">
        <v>23831.94</v>
      </c>
      <c r="EP127" s="228">
        <v>929.55</v>
      </c>
      <c r="EQ127" s="229">
        <v>3.9E-2</v>
      </c>
      <c r="ER127" s="231">
        <v>12848</v>
      </c>
      <c r="ES127" s="231">
        <v>6900</v>
      </c>
      <c r="ET127" s="231">
        <v>42380</v>
      </c>
      <c r="EU127" s="231">
        <v>16915220</v>
      </c>
      <c r="EV127" s="231">
        <v>62128</v>
      </c>
      <c r="EW127" s="231">
        <v>58391</v>
      </c>
      <c r="EX127" s="231">
        <v>3737</v>
      </c>
      <c r="EY127" s="229">
        <v>6.4000000000000001E-2</v>
      </c>
      <c r="EZ127" s="229">
        <v>0.14710000000000001</v>
      </c>
      <c r="FA127" s="227" t="s">
        <v>555</v>
      </c>
      <c r="FB127" s="161">
        <f t="shared" si="1"/>
        <v>46350</v>
      </c>
    </row>
    <row r="128" spans="1:158" ht="17.25" hidden="1" thickBot="1" x14ac:dyDescent="0.3">
      <c r="A128" s="226">
        <v>45936</v>
      </c>
      <c r="B128" s="227" t="s">
        <v>168</v>
      </c>
      <c r="C128" s="227" t="s">
        <v>254</v>
      </c>
      <c r="D128" s="228">
        <v>1200</v>
      </c>
      <c r="E128" s="228">
        <v>719.3</v>
      </c>
      <c r="F128" s="228">
        <v>713.65</v>
      </c>
      <c r="G128" s="228">
        <v>5.65</v>
      </c>
      <c r="H128" s="229">
        <v>7.9000000000000008E-3</v>
      </c>
      <c r="I128" s="228">
        <v>715.55</v>
      </c>
      <c r="J128" s="228">
        <v>710.95</v>
      </c>
      <c r="K128" s="228">
        <v>4.5999999999999996</v>
      </c>
      <c r="L128" s="229">
        <v>6.4999999999999997E-3</v>
      </c>
      <c r="M128" s="228">
        <v>719.3</v>
      </c>
      <c r="N128" s="228">
        <v>713.65</v>
      </c>
      <c r="O128" s="228">
        <v>5.65</v>
      </c>
      <c r="P128" s="229">
        <v>7.9000000000000008E-3</v>
      </c>
      <c r="Q128" s="228">
        <v>720.95</v>
      </c>
      <c r="R128" s="228">
        <v>715.25</v>
      </c>
      <c r="S128" s="228">
        <v>5.7</v>
      </c>
      <c r="T128" s="229">
        <v>8.0000000000000002E-3</v>
      </c>
      <c r="U128" s="228">
        <v>722.1</v>
      </c>
      <c r="V128" s="228">
        <v>0</v>
      </c>
      <c r="W128" s="228">
        <v>722.1</v>
      </c>
      <c r="X128" s="229">
        <v>0</v>
      </c>
      <c r="Y128" s="228">
        <v>3.75</v>
      </c>
      <c r="Z128" s="228">
        <v>2.7</v>
      </c>
      <c r="AA128" s="228">
        <v>1.05</v>
      </c>
      <c r="AB128" s="229">
        <v>5.1999999999999998E-3</v>
      </c>
      <c r="AC128" s="228">
        <v>3.75</v>
      </c>
      <c r="AD128" s="228">
        <v>2.7</v>
      </c>
      <c r="AE128" s="228">
        <v>1.05</v>
      </c>
      <c r="AF128" s="229">
        <v>5.1999999999999998E-3</v>
      </c>
      <c r="AG128" s="228">
        <v>5.4</v>
      </c>
      <c r="AH128" s="228">
        <v>4.3</v>
      </c>
      <c r="AI128" s="228">
        <v>1.1000000000000001</v>
      </c>
      <c r="AJ128" s="229">
        <v>7.4999999999999997E-3</v>
      </c>
      <c r="AK128" s="228">
        <v>6.55</v>
      </c>
      <c r="AL128" s="228">
        <v>0</v>
      </c>
      <c r="AM128" s="228">
        <v>6.55</v>
      </c>
      <c r="AN128" s="229">
        <v>9.1999999999999998E-3</v>
      </c>
      <c r="AO128" s="228">
        <v>714.7</v>
      </c>
      <c r="AP128" s="228">
        <v>716.48</v>
      </c>
      <c r="AQ128" s="228">
        <v>0</v>
      </c>
      <c r="AR128" s="230">
        <v>2966400</v>
      </c>
      <c r="AS128" s="230">
        <v>2352000</v>
      </c>
      <c r="AT128" s="230">
        <v>614400</v>
      </c>
      <c r="AU128" s="229">
        <v>0.26119999999999999</v>
      </c>
      <c r="AV128" s="230">
        <v>2912400</v>
      </c>
      <c r="AW128" s="230">
        <v>2318400</v>
      </c>
      <c r="AX128" s="230">
        <v>594000</v>
      </c>
      <c r="AY128" s="229">
        <v>0.25619999999999998</v>
      </c>
      <c r="AZ128" s="230">
        <v>49200</v>
      </c>
      <c r="BA128" s="230">
        <v>33600</v>
      </c>
      <c r="BB128" s="230">
        <v>15600</v>
      </c>
      <c r="BC128" s="229">
        <v>0.46429999999999999</v>
      </c>
      <c r="BD128" s="230">
        <v>4800</v>
      </c>
      <c r="BE128" s="228">
        <v>0</v>
      </c>
      <c r="BF128" s="230">
        <v>4800</v>
      </c>
      <c r="BG128" s="229">
        <v>0</v>
      </c>
      <c r="BH128" s="230">
        <v>6271200</v>
      </c>
      <c r="BI128" s="230">
        <v>4284000</v>
      </c>
      <c r="BJ128" s="230">
        <v>1987200</v>
      </c>
      <c r="BK128" s="229">
        <v>0.46389999999999998</v>
      </c>
      <c r="BL128" s="230">
        <v>3325200</v>
      </c>
      <c r="BM128" s="230">
        <v>1713600</v>
      </c>
      <c r="BN128" s="230">
        <v>1611600</v>
      </c>
      <c r="BO128" s="229">
        <v>0.9405</v>
      </c>
      <c r="BP128" s="230">
        <v>12562800</v>
      </c>
      <c r="BQ128" s="230">
        <v>8349600</v>
      </c>
      <c r="BR128" s="230">
        <v>4213200</v>
      </c>
      <c r="BS128" s="229">
        <v>0.50460000000000005</v>
      </c>
      <c r="BT128" s="230">
        <v>2004937</v>
      </c>
      <c r="BU128" s="230">
        <v>1512054</v>
      </c>
      <c r="BV128" s="230">
        <v>492883</v>
      </c>
      <c r="BW128" s="229">
        <v>0.32600000000000001</v>
      </c>
      <c r="BX128" s="230">
        <v>28614000</v>
      </c>
      <c r="BY128" s="230">
        <v>28456800</v>
      </c>
      <c r="BZ128" s="230">
        <v>157200</v>
      </c>
      <c r="CA128" s="229">
        <v>5.4999999999999997E-3</v>
      </c>
      <c r="CB128" s="230">
        <v>28488000</v>
      </c>
      <c r="CC128" s="230">
        <v>28336800</v>
      </c>
      <c r="CD128" s="230">
        <v>151200</v>
      </c>
      <c r="CE128" s="229">
        <v>5.3E-3</v>
      </c>
      <c r="CF128" s="230">
        <v>123600</v>
      </c>
      <c r="CG128" s="230">
        <v>120000</v>
      </c>
      <c r="CH128" s="230">
        <v>3600</v>
      </c>
      <c r="CI128" s="229">
        <v>0.03</v>
      </c>
      <c r="CJ128" s="230">
        <v>2400</v>
      </c>
      <c r="CK128" s="228">
        <v>0</v>
      </c>
      <c r="CL128" s="230">
        <v>2400</v>
      </c>
      <c r="CM128" s="229">
        <v>0</v>
      </c>
      <c r="CN128" s="230">
        <v>2797200</v>
      </c>
      <c r="CO128" s="230">
        <v>3187200</v>
      </c>
      <c r="CP128" s="230">
        <v>-390000</v>
      </c>
      <c r="CQ128" s="229">
        <v>-0.12239999999999999</v>
      </c>
      <c r="CR128" s="230">
        <v>2263200</v>
      </c>
      <c r="CS128" s="230">
        <v>2352000</v>
      </c>
      <c r="CT128" s="230">
        <v>-88800</v>
      </c>
      <c r="CU128" s="229">
        <v>-3.78E-2</v>
      </c>
      <c r="CV128" s="230">
        <v>33674400</v>
      </c>
      <c r="CW128" s="230">
        <v>33996000</v>
      </c>
      <c r="CX128" s="230">
        <v>-321600</v>
      </c>
      <c r="CY128" s="229">
        <v>-9.4999999999999998E-3</v>
      </c>
      <c r="CZ128" s="228">
        <v>20.27</v>
      </c>
      <c r="DA128" s="228">
        <v>21.46</v>
      </c>
      <c r="DB128" s="228">
        <v>-1.19</v>
      </c>
      <c r="DC128" s="228">
        <v>-1.19</v>
      </c>
      <c r="DD128" s="228">
        <v>26.15</v>
      </c>
      <c r="DE128" s="228">
        <v>26.2</v>
      </c>
      <c r="DF128" s="228">
        <v>-5.88</v>
      </c>
      <c r="DG128" s="228">
        <v>-0.05</v>
      </c>
      <c r="DH128" s="228">
        <v>20.13</v>
      </c>
      <c r="DI128" s="228">
        <v>21.36</v>
      </c>
      <c r="DJ128" s="228">
        <v>-1.23</v>
      </c>
      <c r="DK128" s="228">
        <v>-1.23</v>
      </c>
      <c r="DL128" s="228">
        <v>20.55</v>
      </c>
      <c r="DM128" s="228">
        <v>21.7</v>
      </c>
      <c r="DN128" s="228">
        <v>-1.1499999999999999</v>
      </c>
      <c r="DO128" s="228">
        <v>-1.1499999999999999</v>
      </c>
      <c r="DP128" s="228">
        <v>0.81</v>
      </c>
      <c r="DQ128" s="228">
        <v>0.74</v>
      </c>
      <c r="DR128" s="228">
        <v>7.0000000000000007E-2</v>
      </c>
      <c r="DS128" s="229">
        <v>9.4600000000000004E-2</v>
      </c>
      <c r="DT128" s="228">
        <v>740</v>
      </c>
      <c r="DU128" s="228">
        <v>700</v>
      </c>
      <c r="DV128" s="228">
        <v>0.53</v>
      </c>
      <c r="DW128" s="228">
        <v>0.4</v>
      </c>
      <c r="DX128" s="228">
        <v>0.13</v>
      </c>
      <c r="DY128" s="229">
        <v>0.32500000000000001</v>
      </c>
      <c r="DZ128" s="229">
        <v>4.4000000000000003E-3</v>
      </c>
      <c r="EA128" s="230">
        <v>120000</v>
      </c>
      <c r="EB128" s="229">
        <v>2.3E-3</v>
      </c>
      <c r="EC128" s="229">
        <v>4.4000000000000003E-3</v>
      </c>
      <c r="ED128" s="228">
        <v>1.78</v>
      </c>
      <c r="EE128" s="229">
        <v>2.5000000000000001E-3</v>
      </c>
      <c r="EF128" s="230">
        <v>1304078</v>
      </c>
      <c r="EG128" s="230">
        <v>995022</v>
      </c>
      <c r="EH128" s="229">
        <v>0.31059999999999999</v>
      </c>
      <c r="EI128" s="229">
        <v>0.65039999999999998</v>
      </c>
      <c r="EJ128" s="231">
        <v>46338.02</v>
      </c>
      <c r="EK128" s="231">
        <v>23354.86</v>
      </c>
      <c r="EL128" s="231">
        <v>21201.96</v>
      </c>
      <c r="EM128" s="231">
        <v>5469</v>
      </c>
      <c r="EN128" s="231">
        <v>90894.84</v>
      </c>
      <c r="EO128" s="231">
        <v>60388.2</v>
      </c>
      <c r="EP128" s="231">
        <v>30506.639999999999</v>
      </c>
      <c r="EQ128" s="229">
        <v>0.50519999999999998</v>
      </c>
      <c r="ER128" s="231">
        <v>20685</v>
      </c>
      <c r="ES128" s="231">
        <v>15614</v>
      </c>
      <c r="ET128" s="231">
        <v>205823</v>
      </c>
      <c r="EU128" s="231">
        <v>79408529</v>
      </c>
      <c r="EV128" s="231">
        <v>242121</v>
      </c>
      <c r="EW128" s="231">
        <v>242789</v>
      </c>
      <c r="EX128" s="228">
        <v>-668</v>
      </c>
      <c r="EY128" s="229">
        <v>-2.8E-3</v>
      </c>
      <c r="EZ128" s="229">
        <v>0.42409999999999998</v>
      </c>
      <c r="FA128" s="227" t="s">
        <v>555</v>
      </c>
      <c r="FB128" s="161">
        <f t="shared" si="1"/>
        <v>126000</v>
      </c>
    </row>
    <row r="129" spans="1:158" ht="17.25" hidden="1" thickBot="1" x14ac:dyDescent="0.3">
      <c r="A129" s="226">
        <v>45936</v>
      </c>
      <c r="B129" s="227" t="s">
        <v>162</v>
      </c>
      <c r="C129" s="227" t="s">
        <v>255</v>
      </c>
      <c r="D129" s="228">
        <v>50</v>
      </c>
      <c r="E129" s="231">
        <v>16063</v>
      </c>
      <c r="F129" s="231">
        <v>15904</v>
      </c>
      <c r="G129" s="228">
        <v>159</v>
      </c>
      <c r="H129" s="229">
        <v>0.01</v>
      </c>
      <c r="I129" s="231">
        <v>15998</v>
      </c>
      <c r="J129" s="231">
        <v>15806</v>
      </c>
      <c r="K129" s="228">
        <v>192</v>
      </c>
      <c r="L129" s="229">
        <v>1.21E-2</v>
      </c>
      <c r="M129" s="231">
        <v>16063</v>
      </c>
      <c r="N129" s="231">
        <v>15904</v>
      </c>
      <c r="O129" s="228">
        <v>159</v>
      </c>
      <c r="P129" s="229">
        <v>0.01</v>
      </c>
      <c r="Q129" s="231">
        <v>16150</v>
      </c>
      <c r="R129" s="231">
        <v>15985</v>
      </c>
      <c r="S129" s="228">
        <v>165</v>
      </c>
      <c r="T129" s="229">
        <v>1.03E-2</v>
      </c>
      <c r="U129" s="231">
        <v>16218</v>
      </c>
      <c r="V129" s="231">
        <v>16056</v>
      </c>
      <c r="W129" s="228">
        <v>162</v>
      </c>
      <c r="X129" s="229">
        <v>1.01E-2</v>
      </c>
      <c r="Y129" s="228">
        <v>65</v>
      </c>
      <c r="Z129" s="228">
        <v>98</v>
      </c>
      <c r="AA129" s="228">
        <v>-33</v>
      </c>
      <c r="AB129" s="229">
        <v>4.1000000000000003E-3</v>
      </c>
      <c r="AC129" s="228">
        <v>65</v>
      </c>
      <c r="AD129" s="228">
        <v>98</v>
      </c>
      <c r="AE129" s="228">
        <v>-33</v>
      </c>
      <c r="AF129" s="229">
        <v>4.1000000000000003E-3</v>
      </c>
      <c r="AG129" s="228">
        <v>152</v>
      </c>
      <c r="AH129" s="228">
        <v>179</v>
      </c>
      <c r="AI129" s="228">
        <v>-27</v>
      </c>
      <c r="AJ129" s="229">
        <v>9.4999999999999998E-3</v>
      </c>
      <c r="AK129" s="228">
        <v>220</v>
      </c>
      <c r="AL129" s="228">
        <v>250</v>
      </c>
      <c r="AM129" s="228">
        <v>-30</v>
      </c>
      <c r="AN129" s="229">
        <v>1.38E-2</v>
      </c>
      <c r="AO129" s="231">
        <v>16014.23</v>
      </c>
      <c r="AP129" s="231">
        <v>16127.21</v>
      </c>
      <c r="AQ129" s="228">
        <v>0</v>
      </c>
      <c r="AR129" s="230">
        <v>560450</v>
      </c>
      <c r="AS129" s="230">
        <v>814800</v>
      </c>
      <c r="AT129" s="230">
        <v>-254350</v>
      </c>
      <c r="AU129" s="229">
        <v>-0.31219999999999998</v>
      </c>
      <c r="AV129" s="230">
        <v>522700</v>
      </c>
      <c r="AW129" s="230">
        <v>787350</v>
      </c>
      <c r="AX129" s="230">
        <v>-264650</v>
      </c>
      <c r="AY129" s="229">
        <v>-0.33610000000000001</v>
      </c>
      <c r="AZ129" s="230">
        <v>34800</v>
      </c>
      <c r="BA129" s="230">
        <v>25000</v>
      </c>
      <c r="BB129" s="230">
        <v>9800</v>
      </c>
      <c r="BC129" s="229">
        <v>0.39200000000000002</v>
      </c>
      <c r="BD129" s="230">
        <v>2950</v>
      </c>
      <c r="BE129" s="230">
        <v>2450</v>
      </c>
      <c r="BF129" s="228">
        <v>500</v>
      </c>
      <c r="BG129" s="229">
        <v>0.2041</v>
      </c>
      <c r="BH129" s="230">
        <v>4806100</v>
      </c>
      <c r="BI129" s="230">
        <v>4584800</v>
      </c>
      <c r="BJ129" s="230">
        <v>221300</v>
      </c>
      <c r="BK129" s="229">
        <v>4.8300000000000003E-2</v>
      </c>
      <c r="BL129" s="230">
        <v>2055700</v>
      </c>
      <c r="BM129" s="230">
        <v>2414400</v>
      </c>
      <c r="BN129" s="230">
        <v>-358700</v>
      </c>
      <c r="BO129" s="229">
        <v>-0.14860000000000001</v>
      </c>
      <c r="BP129" s="230">
        <v>7422250</v>
      </c>
      <c r="BQ129" s="230">
        <v>7814000</v>
      </c>
      <c r="BR129" s="230">
        <v>-391750</v>
      </c>
      <c r="BS129" s="229">
        <v>-5.0099999999999999E-2</v>
      </c>
      <c r="BT129" s="230">
        <v>287363</v>
      </c>
      <c r="BU129" s="230">
        <v>480702</v>
      </c>
      <c r="BV129" s="230">
        <v>-193339</v>
      </c>
      <c r="BW129" s="229">
        <v>-0.4022</v>
      </c>
      <c r="BX129" s="230">
        <v>2861650</v>
      </c>
      <c r="BY129" s="230">
        <v>2905900</v>
      </c>
      <c r="BZ129" s="230">
        <v>-44250</v>
      </c>
      <c r="CA129" s="229">
        <v>-1.52E-2</v>
      </c>
      <c r="CB129" s="230">
        <v>2788800</v>
      </c>
      <c r="CC129" s="230">
        <v>2826050</v>
      </c>
      <c r="CD129" s="230">
        <v>-37250</v>
      </c>
      <c r="CE129" s="229">
        <v>-1.32E-2</v>
      </c>
      <c r="CF129" s="230">
        <v>69950</v>
      </c>
      <c r="CG129" s="230">
        <v>77550</v>
      </c>
      <c r="CH129" s="230">
        <v>-7600</v>
      </c>
      <c r="CI129" s="229">
        <v>-9.8000000000000004E-2</v>
      </c>
      <c r="CJ129" s="230">
        <v>2900</v>
      </c>
      <c r="CK129" s="230">
        <v>2300</v>
      </c>
      <c r="CL129" s="228">
        <v>600</v>
      </c>
      <c r="CM129" s="229">
        <v>0.26090000000000002</v>
      </c>
      <c r="CN129" s="230">
        <v>2383850</v>
      </c>
      <c r="CO129" s="230">
        <v>2336800</v>
      </c>
      <c r="CP129" s="230">
        <v>47050</v>
      </c>
      <c r="CQ129" s="229">
        <v>2.01E-2</v>
      </c>
      <c r="CR129" s="230">
        <v>1303500</v>
      </c>
      <c r="CS129" s="230">
        <v>1197550</v>
      </c>
      <c r="CT129" s="230">
        <v>105950</v>
      </c>
      <c r="CU129" s="229">
        <v>8.8499999999999995E-2</v>
      </c>
      <c r="CV129" s="230">
        <v>6549000</v>
      </c>
      <c r="CW129" s="230">
        <v>6440250</v>
      </c>
      <c r="CX129" s="230">
        <v>108750</v>
      </c>
      <c r="CY129" s="229">
        <v>1.6899999999999998E-2</v>
      </c>
      <c r="CZ129" s="228">
        <v>19.559999999999999</v>
      </c>
      <c r="DA129" s="228">
        <v>20.170000000000002</v>
      </c>
      <c r="DB129" s="228">
        <v>-0.61</v>
      </c>
      <c r="DC129" s="228">
        <v>-0.61</v>
      </c>
      <c r="DD129" s="228">
        <v>26.09</v>
      </c>
      <c r="DE129" s="228">
        <v>26.1</v>
      </c>
      <c r="DF129" s="228">
        <v>-6.53</v>
      </c>
      <c r="DG129" s="228">
        <v>-0.01</v>
      </c>
      <c r="DH129" s="228">
        <v>19.38</v>
      </c>
      <c r="DI129" s="228">
        <v>20.32</v>
      </c>
      <c r="DJ129" s="228">
        <v>-0.94</v>
      </c>
      <c r="DK129" s="228">
        <v>-0.94</v>
      </c>
      <c r="DL129" s="228">
        <v>19.989999999999998</v>
      </c>
      <c r="DM129" s="228">
        <v>19.89</v>
      </c>
      <c r="DN129" s="228">
        <v>0.1</v>
      </c>
      <c r="DO129" s="228">
        <v>0.1</v>
      </c>
      <c r="DP129" s="228">
        <v>0.55000000000000004</v>
      </c>
      <c r="DQ129" s="228">
        <v>0.51</v>
      </c>
      <c r="DR129" s="228">
        <v>0.04</v>
      </c>
      <c r="DS129" s="229">
        <v>7.8399999999999997E-2</v>
      </c>
      <c r="DT129" s="231">
        <v>17000</v>
      </c>
      <c r="DU129" s="231">
        <v>15000</v>
      </c>
      <c r="DV129" s="228">
        <v>0.43</v>
      </c>
      <c r="DW129" s="228">
        <v>0.53</v>
      </c>
      <c r="DX129" s="228">
        <v>-0.1</v>
      </c>
      <c r="DY129" s="229">
        <v>-0.18870000000000001</v>
      </c>
      <c r="DZ129" s="229">
        <v>2.5499999999999998E-2</v>
      </c>
      <c r="EA129" s="230">
        <v>79850</v>
      </c>
      <c r="EB129" s="229">
        <v>5.4000000000000003E-3</v>
      </c>
      <c r="EC129" s="229">
        <v>2.5499999999999998E-2</v>
      </c>
      <c r="ED129" s="228">
        <v>112.98</v>
      </c>
      <c r="EE129" s="229">
        <v>7.1000000000000004E-3</v>
      </c>
      <c r="EF129" s="230">
        <v>142948</v>
      </c>
      <c r="EG129" s="230">
        <v>292068</v>
      </c>
      <c r="EH129" s="229">
        <v>-0.51060000000000005</v>
      </c>
      <c r="EI129" s="229">
        <v>0.49740000000000001</v>
      </c>
      <c r="EJ129" s="231">
        <v>802404.49</v>
      </c>
      <c r="EK129" s="231">
        <v>321881.32</v>
      </c>
      <c r="EL129" s="231">
        <v>89795.57</v>
      </c>
      <c r="EM129" s="231">
        <v>28951</v>
      </c>
      <c r="EN129" s="231">
        <v>1214081.3799999999</v>
      </c>
      <c r="EO129" s="231">
        <v>1275061.1499999999</v>
      </c>
      <c r="EP129" s="231">
        <v>-60979.77</v>
      </c>
      <c r="EQ129" s="229">
        <v>-4.7800000000000002E-2</v>
      </c>
      <c r="ER129" s="231">
        <v>399766</v>
      </c>
      <c r="ES129" s="231">
        <v>197611</v>
      </c>
      <c r="ET129" s="231">
        <v>459732</v>
      </c>
      <c r="EU129" s="231">
        <v>16752897</v>
      </c>
      <c r="EV129" s="231">
        <v>1057110</v>
      </c>
      <c r="EW129" s="231">
        <v>1035117</v>
      </c>
      <c r="EX129" s="231">
        <v>21993</v>
      </c>
      <c r="EY129" s="229">
        <v>2.12E-2</v>
      </c>
      <c r="EZ129" s="229">
        <v>0.39090000000000003</v>
      </c>
      <c r="FA129" s="227" t="s">
        <v>556</v>
      </c>
      <c r="FB129" s="161">
        <f t="shared" si="1"/>
        <v>72850</v>
      </c>
    </row>
    <row r="130" spans="1:158" ht="17.25" hidden="1" thickBot="1" x14ac:dyDescent="0.3">
      <c r="A130" s="226">
        <v>45936</v>
      </c>
      <c r="B130" s="227" t="s">
        <v>170</v>
      </c>
      <c r="C130" s="227" t="s">
        <v>604</v>
      </c>
      <c r="D130" s="228">
        <v>525</v>
      </c>
      <c r="E130" s="231">
        <v>1143.2</v>
      </c>
      <c r="F130" s="231">
        <v>1073.5</v>
      </c>
      <c r="G130" s="228">
        <v>69.7</v>
      </c>
      <c r="H130" s="229">
        <v>6.4899999999999999E-2</v>
      </c>
      <c r="I130" s="231">
        <v>1139.7</v>
      </c>
      <c r="J130" s="231">
        <v>1069.2</v>
      </c>
      <c r="K130" s="228">
        <v>70.5</v>
      </c>
      <c r="L130" s="229">
        <v>6.59E-2</v>
      </c>
      <c r="M130" s="231">
        <v>1143.2</v>
      </c>
      <c r="N130" s="231">
        <v>1073.5</v>
      </c>
      <c r="O130" s="228">
        <v>69.7</v>
      </c>
      <c r="P130" s="229">
        <v>6.4899999999999999E-2</v>
      </c>
      <c r="Q130" s="231">
        <v>1149</v>
      </c>
      <c r="R130" s="231">
        <v>1080</v>
      </c>
      <c r="S130" s="228">
        <v>69</v>
      </c>
      <c r="T130" s="229">
        <v>6.3899999999999998E-2</v>
      </c>
      <c r="U130" s="231">
        <v>1153.5999999999999</v>
      </c>
      <c r="V130" s="231">
        <v>1086.4000000000001</v>
      </c>
      <c r="W130" s="228">
        <v>67.2</v>
      </c>
      <c r="X130" s="229">
        <v>6.1899999999999997E-2</v>
      </c>
      <c r="Y130" s="228">
        <v>3.5</v>
      </c>
      <c r="Z130" s="228">
        <v>4.3</v>
      </c>
      <c r="AA130" s="228">
        <v>-0.8</v>
      </c>
      <c r="AB130" s="229">
        <v>3.0999999999999999E-3</v>
      </c>
      <c r="AC130" s="228">
        <v>3.5</v>
      </c>
      <c r="AD130" s="228">
        <v>4.3</v>
      </c>
      <c r="AE130" s="228">
        <v>-0.8</v>
      </c>
      <c r="AF130" s="229">
        <v>3.0999999999999999E-3</v>
      </c>
      <c r="AG130" s="228">
        <v>9.3000000000000007</v>
      </c>
      <c r="AH130" s="228">
        <v>10.8</v>
      </c>
      <c r="AI130" s="228">
        <v>-1.5</v>
      </c>
      <c r="AJ130" s="229">
        <v>8.2000000000000007E-3</v>
      </c>
      <c r="AK130" s="228">
        <v>13.9</v>
      </c>
      <c r="AL130" s="228">
        <v>17.2</v>
      </c>
      <c r="AM130" s="228">
        <v>-3.3</v>
      </c>
      <c r="AN130" s="229">
        <v>1.2200000000000001E-2</v>
      </c>
      <c r="AO130" s="231">
        <v>1122.43</v>
      </c>
      <c r="AP130" s="231">
        <v>1126.17</v>
      </c>
      <c r="AQ130" s="228">
        <v>0</v>
      </c>
      <c r="AR130" s="230">
        <v>8150100</v>
      </c>
      <c r="AS130" s="230">
        <v>4365900</v>
      </c>
      <c r="AT130" s="230">
        <v>3784200</v>
      </c>
      <c r="AU130" s="229">
        <v>0.86680000000000001</v>
      </c>
      <c r="AV130" s="230">
        <v>7721175</v>
      </c>
      <c r="AW130" s="230">
        <v>4071900</v>
      </c>
      <c r="AX130" s="230">
        <v>3649275</v>
      </c>
      <c r="AY130" s="229">
        <v>0.8962</v>
      </c>
      <c r="AZ130" s="230">
        <v>370125</v>
      </c>
      <c r="BA130" s="230">
        <v>259350</v>
      </c>
      <c r="BB130" s="230">
        <v>110775</v>
      </c>
      <c r="BC130" s="229">
        <v>0.42709999999999998</v>
      </c>
      <c r="BD130" s="230">
        <v>58800</v>
      </c>
      <c r="BE130" s="230">
        <v>34650</v>
      </c>
      <c r="BF130" s="230">
        <v>24150</v>
      </c>
      <c r="BG130" s="229">
        <v>0.69699999999999995</v>
      </c>
      <c r="BH130" s="230">
        <v>32587275</v>
      </c>
      <c r="BI130" s="230">
        <v>13333950</v>
      </c>
      <c r="BJ130" s="230">
        <v>19253325</v>
      </c>
      <c r="BK130" s="229">
        <v>1.4439</v>
      </c>
      <c r="BL130" s="230">
        <v>15106350</v>
      </c>
      <c r="BM130" s="230">
        <v>11251800</v>
      </c>
      <c r="BN130" s="230">
        <v>3854550</v>
      </c>
      <c r="BO130" s="229">
        <v>0.34260000000000002</v>
      </c>
      <c r="BP130" s="230">
        <v>55843725</v>
      </c>
      <c r="BQ130" s="230">
        <v>28951650</v>
      </c>
      <c r="BR130" s="230">
        <v>26892075</v>
      </c>
      <c r="BS130" s="229">
        <v>0.92889999999999995</v>
      </c>
      <c r="BT130" s="230">
        <v>8798675</v>
      </c>
      <c r="BU130" s="230">
        <v>6094094</v>
      </c>
      <c r="BV130" s="230">
        <v>2704581</v>
      </c>
      <c r="BW130" s="229">
        <v>0.44379999999999997</v>
      </c>
      <c r="BX130" s="230">
        <v>18011700</v>
      </c>
      <c r="BY130" s="230">
        <v>18792375</v>
      </c>
      <c r="BZ130" s="230">
        <v>-780675</v>
      </c>
      <c r="CA130" s="229">
        <v>-4.1500000000000002E-2</v>
      </c>
      <c r="CB130" s="230">
        <v>17754450</v>
      </c>
      <c r="CC130" s="230">
        <v>18425925</v>
      </c>
      <c r="CD130" s="230">
        <v>-671475</v>
      </c>
      <c r="CE130" s="229">
        <v>-3.6400000000000002E-2</v>
      </c>
      <c r="CF130" s="230">
        <v>235200</v>
      </c>
      <c r="CG130" s="230">
        <v>335475</v>
      </c>
      <c r="CH130" s="230">
        <v>-100275</v>
      </c>
      <c r="CI130" s="229">
        <v>-0.2989</v>
      </c>
      <c r="CJ130" s="230">
        <v>22050</v>
      </c>
      <c r="CK130" s="230">
        <v>30975</v>
      </c>
      <c r="CL130" s="230">
        <v>-8925</v>
      </c>
      <c r="CM130" s="229">
        <v>-0.28810000000000002</v>
      </c>
      <c r="CN130" s="230">
        <v>3564225</v>
      </c>
      <c r="CO130" s="230">
        <v>4943400</v>
      </c>
      <c r="CP130" s="230">
        <v>-1379175</v>
      </c>
      <c r="CQ130" s="229">
        <v>-0.27900000000000003</v>
      </c>
      <c r="CR130" s="230">
        <v>2924775</v>
      </c>
      <c r="CS130" s="230">
        <v>2464875</v>
      </c>
      <c r="CT130" s="230">
        <v>459900</v>
      </c>
      <c r="CU130" s="229">
        <v>0.18659999999999999</v>
      </c>
      <c r="CV130" s="230">
        <v>24500700</v>
      </c>
      <c r="CW130" s="230">
        <v>26200650</v>
      </c>
      <c r="CX130" s="230">
        <v>-1699950</v>
      </c>
      <c r="CY130" s="229">
        <v>-6.4899999999999999E-2</v>
      </c>
      <c r="CZ130" s="228">
        <v>28.43</v>
      </c>
      <c r="DA130" s="228">
        <v>28.6</v>
      </c>
      <c r="DB130" s="228">
        <v>-0.17</v>
      </c>
      <c r="DC130" s="228">
        <v>-0.17</v>
      </c>
      <c r="DD130" s="228">
        <v>41.77</v>
      </c>
      <c r="DE130" s="228">
        <v>40.97</v>
      </c>
      <c r="DF130" s="228">
        <v>-13.34</v>
      </c>
      <c r="DG130" s="228">
        <v>0.8</v>
      </c>
      <c r="DH130" s="228">
        <v>27.7</v>
      </c>
      <c r="DI130" s="228">
        <v>28.74</v>
      </c>
      <c r="DJ130" s="228">
        <v>-1.04</v>
      </c>
      <c r="DK130" s="228">
        <v>-1.04</v>
      </c>
      <c r="DL130" s="228">
        <v>30</v>
      </c>
      <c r="DM130" s="228">
        <v>28.44</v>
      </c>
      <c r="DN130" s="228">
        <v>1.56</v>
      </c>
      <c r="DO130" s="228">
        <v>1.56</v>
      </c>
      <c r="DP130" s="228">
        <v>0.82</v>
      </c>
      <c r="DQ130" s="228">
        <v>0.5</v>
      </c>
      <c r="DR130" s="228">
        <v>0.32</v>
      </c>
      <c r="DS130" s="229">
        <v>0.64</v>
      </c>
      <c r="DT130" s="231">
        <v>1200</v>
      </c>
      <c r="DU130" s="231">
        <v>1060</v>
      </c>
      <c r="DV130" s="228">
        <v>0.46</v>
      </c>
      <c r="DW130" s="228">
        <v>0.84</v>
      </c>
      <c r="DX130" s="228">
        <v>-0.38</v>
      </c>
      <c r="DY130" s="229">
        <v>-0.45240000000000002</v>
      </c>
      <c r="DZ130" s="229">
        <v>1.43E-2</v>
      </c>
      <c r="EA130" s="230">
        <v>366450</v>
      </c>
      <c r="EB130" s="229">
        <v>5.1000000000000004E-3</v>
      </c>
      <c r="EC130" s="229">
        <v>1.43E-2</v>
      </c>
      <c r="ED130" s="228">
        <v>3.74</v>
      </c>
      <c r="EE130" s="229">
        <v>3.3E-3</v>
      </c>
      <c r="EF130" s="230">
        <v>3355792</v>
      </c>
      <c r="EG130" s="230">
        <v>3600769</v>
      </c>
      <c r="EH130" s="229">
        <v>-6.8000000000000005E-2</v>
      </c>
      <c r="EI130" s="229">
        <v>0.38140000000000002</v>
      </c>
      <c r="EJ130" s="231">
        <v>382824.04</v>
      </c>
      <c r="EK130" s="231">
        <v>166326.48000000001</v>
      </c>
      <c r="EL130" s="231">
        <v>91497.61</v>
      </c>
      <c r="EM130" s="231">
        <v>17820</v>
      </c>
      <c r="EN130" s="231">
        <v>640648.13</v>
      </c>
      <c r="EO130" s="231">
        <v>319879.90999999997</v>
      </c>
      <c r="EP130" s="231">
        <v>320768.21999999997</v>
      </c>
      <c r="EQ130" s="229">
        <v>1.0027999999999999</v>
      </c>
      <c r="ER130" s="231">
        <v>41972</v>
      </c>
      <c r="ES130" s="231">
        <v>32124</v>
      </c>
      <c r="ET130" s="231">
        <v>205926</v>
      </c>
      <c r="EU130" s="231">
        <v>97211768</v>
      </c>
      <c r="EV130" s="231">
        <v>280022</v>
      </c>
      <c r="EW130" s="231">
        <v>285621</v>
      </c>
      <c r="EX130" s="231">
        <v>-5599</v>
      </c>
      <c r="EY130" s="229">
        <v>-1.9599999999999999E-2</v>
      </c>
      <c r="EZ130" s="229">
        <v>0.252</v>
      </c>
      <c r="FA130" s="227" t="s">
        <v>556</v>
      </c>
      <c r="FB130" s="161">
        <f t="shared" si="1"/>
        <v>257250</v>
      </c>
    </row>
    <row r="131" spans="1:158" ht="17.25" hidden="1" thickBot="1" x14ac:dyDescent="0.3">
      <c r="A131" s="226">
        <v>45936</v>
      </c>
      <c r="B131" s="227" t="s">
        <v>215</v>
      </c>
      <c r="C131" s="227" t="s">
        <v>675</v>
      </c>
      <c r="D131" s="228">
        <v>175</v>
      </c>
      <c r="E131" s="231">
        <v>2904.7</v>
      </c>
      <c r="F131" s="231">
        <v>2900.5</v>
      </c>
      <c r="G131" s="228">
        <v>4.2</v>
      </c>
      <c r="H131" s="229">
        <v>1.4E-3</v>
      </c>
      <c r="I131" s="231">
        <v>2888</v>
      </c>
      <c r="J131" s="231">
        <v>2881.3</v>
      </c>
      <c r="K131" s="228">
        <v>6.7</v>
      </c>
      <c r="L131" s="229">
        <v>2.3E-3</v>
      </c>
      <c r="M131" s="231">
        <v>2904.7</v>
      </c>
      <c r="N131" s="231">
        <v>2900.5</v>
      </c>
      <c r="O131" s="228">
        <v>4.2</v>
      </c>
      <c r="P131" s="229">
        <v>1.4E-3</v>
      </c>
      <c r="Q131" s="231">
        <v>2912.6</v>
      </c>
      <c r="R131" s="231">
        <v>2909.6</v>
      </c>
      <c r="S131" s="228">
        <v>3</v>
      </c>
      <c r="T131" s="229">
        <v>1E-3</v>
      </c>
      <c r="U131" s="231">
        <v>2921.4</v>
      </c>
      <c r="V131" s="231">
        <v>2926.3</v>
      </c>
      <c r="W131" s="228">
        <v>-4.9000000000000004</v>
      </c>
      <c r="X131" s="229">
        <v>-1.6999999999999999E-3</v>
      </c>
      <c r="Y131" s="228">
        <v>16.7</v>
      </c>
      <c r="Z131" s="228">
        <v>19.2</v>
      </c>
      <c r="AA131" s="228">
        <v>-2.5</v>
      </c>
      <c r="AB131" s="229">
        <v>5.7999999999999996E-3</v>
      </c>
      <c r="AC131" s="228">
        <v>16.7</v>
      </c>
      <c r="AD131" s="228">
        <v>19.2</v>
      </c>
      <c r="AE131" s="228">
        <v>-2.5</v>
      </c>
      <c r="AF131" s="229">
        <v>5.7999999999999996E-3</v>
      </c>
      <c r="AG131" s="228">
        <v>24.6</v>
      </c>
      <c r="AH131" s="228">
        <v>28.3</v>
      </c>
      <c r="AI131" s="228">
        <v>-3.7</v>
      </c>
      <c r="AJ131" s="229">
        <v>8.5000000000000006E-3</v>
      </c>
      <c r="AK131" s="228">
        <v>33.4</v>
      </c>
      <c r="AL131" s="228">
        <v>45</v>
      </c>
      <c r="AM131" s="228">
        <v>-11.6</v>
      </c>
      <c r="AN131" s="229">
        <v>1.1599999999999999E-2</v>
      </c>
      <c r="AO131" s="231">
        <v>2898.34</v>
      </c>
      <c r="AP131" s="231">
        <v>2906.26</v>
      </c>
      <c r="AQ131" s="228">
        <v>0</v>
      </c>
      <c r="AR131" s="230">
        <v>464800</v>
      </c>
      <c r="AS131" s="230">
        <v>603400</v>
      </c>
      <c r="AT131" s="230">
        <v>-138600</v>
      </c>
      <c r="AU131" s="229">
        <v>-0.22969999999999999</v>
      </c>
      <c r="AV131" s="230">
        <v>423850</v>
      </c>
      <c r="AW131" s="230">
        <v>581350</v>
      </c>
      <c r="AX131" s="230">
        <v>-157500</v>
      </c>
      <c r="AY131" s="229">
        <v>-0.27089999999999997</v>
      </c>
      <c r="AZ131" s="230">
        <v>35525</v>
      </c>
      <c r="BA131" s="230">
        <v>19425</v>
      </c>
      <c r="BB131" s="230">
        <v>16100</v>
      </c>
      <c r="BC131" s="229">
        <v>0.82879999999999998</v>
      </c>
      <c r="BD131" s="230">
        <v>5425</v>
      </c>
      <c r="BE131" s="230">
        <v>2625</v>
      </c>
      <c r="BF131" s="230">
        <v>2800</v>
      </c>
      <c r="BG131" s="229">
        <v>1.0667</v>
      </c>
      <c r="BH131" s="230">
        <v>2138675</v>
      </c>
      <c r="BI131" s="230">
        <v>2669100</v>
      </c>
      <c r="BJ131" s="230">
        <v>-530425</v>
      </c>
      <c r="BK131" s="229">
        <v>-0.19869999999999999</v>
      </c>
      <c r="BL131" s="230">
        <v>827750</v>
      </c>
      <c r="BM131" s="230">
        <v>662550</v>
      </c>
      <c r="BN131" s="230">
        <v>165200</v>
      </c>
      <c r="BO131" s="229">
        <v>0.24929999999999999</v>
      </c>
      <c r="BP131" s="230">
        <v>3431225</v>
      </c>
      <c r="BQ131" s="230">
        <v>3935050</v>
      </c>
      <c r="BR131" s="230">
        <v>-503825</v>
      </c>
      <c r="BS131" s="229">
        <v>-0.128</v>
      </c>
      <c r="BT131" s="230">
        <v>695094</v>
      </c>
      <c r="BU131" s="230">
        <v>1078089</v>
      </c>
      <c r="BV131" s="230">
        <v>-382995</v>
      </c>
      <c r="BW131" s="229">
        <v>-0.3553</v>
      </c>
      <c r="BX131" s="230">
        <v>3555125</v>
      </c>
      <c r="BY131" s="230">
        <v>3557750</v>
      </c>
      <c r="BZ131" s="230">
        <v>-2625</v>
      </c>
      <c r="CA131" s="229">
        <v>-6.9999999999999999E-4</v>
      </c>
      <c r="CB131" s="230">
        <v>3421425</v>
      </c>
      <c r="CC131" s="230">
        <v>3430000</v>
      </c>
      <c r="CD131" s="230">
        <v>-8575</v>
      </c>
      <c r="CE131" s="229">
        <v>-2.5000000000000001E-3</v>
      </c>
      <c r="CF131" s="230">
        <v>127925</v>
      </c>
      <c r="CG131" s="230">
        <v>123900</v>
      </c>
      <c r="CH131" s="230">
        <v>4025</v>
      </c>
      <c r="CI131" s="229">
        <v>3.2500000000000001E-2</v>
      </c>
      <c r="CJ131" s="230">
        <v>5775</v>
      </c>
      <c r="CK131" s="230">
        <v>3850</v>
      </c>
      <c r="CL131" s="230">
        <v>1925</v>
      </c>
      <c r="CM131" s="229">
        <v>0.5</v>
      </c>
      <c r="CN131" s="230">
        <v>1908025</v>
      </c>
      <c r="CO131" s="230">
        <v>1810025</v>
      </c>
      <c r="CP131" s="230">
        <v>98000</v>
      </c>
      <c r="CQ131" s="229">
        <v>5.4100000000000002E-2</v>
      </c>
      <c r="CR131" s="230">
        <v>1171975</v>
      </c>
      <c r="CS131" s="230">
        <v>1075550</v>
      </c>
      <c r="CT131" s="230">
        <v>96425</v>
      </c>
      <c r="CU131" s="229">
        <v>8.9700000000000002E-2</v>
      </c>
      <c r="CV131" s="230">
        <v>6635125</v>
      </c>
      <c r="CW131" s="230">
        <v>6443325</v>
      </c>
      <c r="CX131" s="230">
        <v>191800</v>
      </c>
      <c r="CY131" s="229">
        <v>2.98E-2</v>
      </c>
      <c r="CZ131" s="228">
        <v>36.130000000000003</v>
      </c>
      <c r="DA131" s="228">
        <v>34.340000000000003</v>
      </c>
      <c r="DB131" s="228">
        <v>1.79</v>
      </c>
      <c r="DC131" s="228">
        <v>1.79</v>
      </c>
      <c r="DD131" s="228">
        <v>60.65</v>
      </c>
      <c r="DE131" s="228">
        <v>60.81</v>
      </c>
      <c r="DF131" s="228">
        <v>-24.52</v>
      </c>
      <c r="DG131" s="228">
        <v>-0.16</v>
      </c>
      <c r="DH131" s="228">
        <v>36.19</v>
      </c>
      <c r="DI131" s="228">
        <v>34.24</v>
      </c>
      <c r="DJ131" s="228">
        <v>1.95</v>
      </c>
      <c r="DK131" s="228">
        <v>1.95</v>
      </c>
      <c r="DL131" s="228">
        <v>35.96</v>
      </c>
      <c r="DM131" s="228">
        <v>34.72</v>
      </c>
      <c r="DN131" s="228">
        <v>1.24</v>
      </c>
      <c r="DO131" s="228">
        <v>1.24</v>
      </c>
      <c r="DP131" s="228">
        <v>0.61</v>
      </c>
      <c r="DQ131" s="228">
        <v>0.59</v>
      </c>
      <c r="DR131" s="228">
        <v>0.02</v>
      </c>
      <c r="DS131" s="229">
        <v>3.39E-2</v>
      </c>
      <c r="DT131" s="231">
        <v>3000</v>
      </c>
      <c r="DU131" s="231">
        <v>2800</v>
      </c>
      <c r="DV131" s="228">
        <v>0.39</v>
      </c>
      <c r="DW131" s="228">
        <v>0.25</v>
      </c>
      <c r="DX131" s="228">
        <v>0.14000000000000001</v>
      </c>
      <c r="DY131" s="229">
        <v>0.56000000000000005</v>
      </c>
      <c r="DZ131" s="229">
        <v>3.7600000000000001E-2</v>
      </c>
      <c r="EA131" s="230">
        <v>127750</v>
      </c>
      <c r="EB131" s="229">
        <v>2.7000000000000001E-3</v>
      </c>
      <c r="EC131" s="229">
        <v>3.7600000000000001E-2</v>
      </c>
      <c r="ED131" s="228">
        <v>7.92</v>
      </c>
      <c r="EE131" s="229">
        <v>2.7000000000000001E-3</v>
      </c>
      <c r="EF131" s="230">
        <v>180938</v>
      </c>
      <c r="EG131" s="230">
        <v>288440</v>
      </c>
      <c r="EH131" s="229">
        <v>-0.37269999999999998</v>
      </c>
      <c r="EI131" s="229">
        <v>0.26029999999999998</v>
      </c>
      <c r="EJ131" s="231">
        <v>65838.59</v>
      </c>
      <c r="EK131" s="231">
        <v>23707.65</v>
      </c>
      <c r="EL131" s="231">
        <v>13475.56</v>
      </c>
      <c r="EM131" s="231">
        <v>10901</v>
      </c>
      <c r="EN131" s="231">
        <v>103021.8</v>
      </c>
      <c r="EO131" s="231">
        <v>117202.93</v>
      </c>
      <c r="EP131" s="231">
        <v>-14181.13</v>
      </c>
      <c r="EQ131" s="229">
        <v>-0.121</v>
      </c>
      <c r="ER131" s="231">
        <v>58109</v>
      </c>
      <c r="ES131" s="231">
        <v>32810</v>
      </c>
      <c r="ET131" s="231">
        <v>103277</v>
      </c>
      <c r="EU131" s="231">
        <v>11364224</v>
      </c>
      <c r="EV131" s="231">
        <v>194196</v>
      </c>
      <c r="EW131" s="231">
        <v>188227</v>
      </c>
      <c r="EX131" s="231">
        <v>5969</v>
      </c>
      <c r="EY131" s="229">
        <v>3.1699999999999999E-2</v>
      </c>
      <c r="EZ131" s="229">
        <v>0.58389999999999997</v>
      </c>
      <c r="FA131" s="227" t="s">
        <v>556</v>
      </c>
      <c r="FB131" s="161">
        <f t="shared" ref="FB131:FB138" si="2">BX131-CB131</f>
        <v>133700</v>
      </c>
    </row>
    <row r="132" spans="1:158" ht="17.25" hidden="1" thickBot="1" x14ac:dyDescent="0.3">
      <c r="A132" s="226">
        <v>45936</v>
      </c>
      <c r="B132" s="227" t="s">
        <v>175</v>
      </c>
      <c r="C132" s="227" t="s">
        <v>517</v>
      </c>
      <c r="D132" s="228">
        <v>125</v>
      </c>
      <c r="E132" s="231">
        <v>8245</v>
      </c>
      <c r="F132" s="231">
        <v>8202.5</v>
      </c>
      <c r="G132" s="228">
        <v>42.5</v>
      </c>
      <c r="H132" s="229">
        <v>5.1999999999999998E-3</v>
      </c>
      <c r="I132" s="231">
        <v>8192</v>
      </c>
      <c r="J132" s="231">
        <v>8145</v>
      </c>
      <c r="K132" s="228">
        <v>47</v>
      </c>
      <c r="L132" s="229">
        <v>5.7999999999999996E-3</v>
      </c>
      <c r="M132" s="231">
        <v>8245</v>
      </c>
      <c r="N132" s="231">
        <v>8202.5</v>
      </c>
      <c r="O132" s="228">
        <v>42.5</v>
      </c>
      <c r="P132" s="229">
        <v>5.1999999999999998E-3</v>
      </c>
      <c r="Q132" s="231">
        <v>8285</v>
      </c>
      <c r="R132" s="231">
        <v>8243</v>
      </c>
      <c r="S132" s="228">
        <v>42</v>
      </c>
      <c r="T132" s="229">
        <v>5.1000000000000004E-3</v>
      </c>
      <c r="U132" s="231">
        <v>8323</v>
      </c>
      <c r="V132" s="231">
        <v>8280</v>
      </c>
      <c r="W132" s="228">
        <v>43</v>
      </c>
      <c r="X132" s="229">
        <v>5.1999999999999998E-3</v>
      </c>
      <c r="Y132" s="228">
        <v>53</v>
      </c>
      <c r="Z132" s="228">
        <v>57.5</v>
      </c>
      <c r="AA132" s="228">
        <v>-4.5</v>
      </c>
      <c r="AB132" s="229">
        <v>6.4999999999999997E-3</v>
      </c>
      <c r="AC132" s="228">
        <v>53</v>
      </c>
      <c r="AD132" s="228">
        <v>57.5</v>
      </c>
      <c r="AE132" s="228">
        <v>-4.5</v>
      </c>
      <c r="AF132" s="229">
        <v>6.4999999999999997E-3</v>
      </c>
      <c r="AG132" s="228">
        <v>93</v>
      </c>
      <c r="AH132" s="228">
        <v>98</v>
      </c>
      <c r="AI132" s="228">
        <v>-5</v>
      </c>
      <c r="AJ132" s="229">
        <v>1.14E-2</v>
      </c>
      <c r="AK132" s="228">
        <v>131</v>
      </c>
      <c r="AL132" s="228">
        <v>135</v>
      </c>
      <c r="AM132" s="228">
        <v>-4</v>
      </c>
      <c r="AN132" s="229">
        <v>1.6E-2</v>
      </c>
      <c r="AO132" s="231">
        <v>8264.84</v>
      </c>
      <c r="AP132" s="231">
        <v>8302.01</v>
      </c>
      <c r="AQ132" s="228">
        <v>0</v>
      </c>
      <c r="AR132" s="230">
        <v>683750</v>
      </c>
      <c r="AS132" s="230">
        <v>794750</v>
      </c>
      <c r="AT132" s="230">
        <v>-111000</v>
      </c>
      <c r="AU132" s="229">
        <v>-0.13969999999999999</v>
      </c>
      <c r="AV132" s="230">
        <v>646375</v>
      </c>
      <c r="AW132" s="230">
        <v>745500</v>
      </c>
      <c r="AX132" s="230">
        <v>-99125</v>
      </c>
      <c r="AY132" s="229">
        <v>-0.13300000000000001</v>
      </c>
      <c r="AZ132" s="230">
        <v>34125</v>
      </c>
      <c r="BA132" s="230">
        <v>42750</v>
      </c>
      <c r="BB132" s="230">
        <v>-8625</v>
      </c>
      <c r="BC132" s="229">
        <v>-0.20180000000000001</v>
      </c>
      <c r="BD132" s="230">
        <v>3250</v>
      </c>
      <c r="BE132" s="230">
        <v>6500</v>
      </c>
      <c r="BF132" s="230">
        <v>-3250</v>
      </c>
      <c r="BG132" s="229">
        <v>-0.5</v>
      </c>
      <c r="BH132" s="230">
        <v>3054625</v>
      </c>
      <c r="BI132" s="230">
        <v>4712375</v>
      </c>
      <c r="BJ132" s="230">
        <v>-1657750</v>
      </c>
      <c r="BK132" s="229">
        <v>-0.3518</v>
      </c>
      <c r="BL132" s="230">
        <v>1396625</v>
      </c>
      <c r="BM132" s="230">
        <v>1782000</v>
      </c>
      <c r="BN132" s="230">
        <v>-385375</v>
      </c>
      <c r="BO132" s="229">
        <v>-0.21629999999999999</v>
      </c>
      <c r="BP132" s="230">
        <v>5135000</v>
      </c>
      <c r="BQ132" s="230">
        <v>7289125</v>
      </c>
      <c r="BR132" s="230">
        <v>-2154125</v>
      </c>
      <c r="BS132" s="229">
        <v>-0.29549999999999998</v>
      </c>
      <c r="BT132" s="230">
        <v>343729</v>
      </c>
      <c r="BU132" s="230">
        <v>510395</v>
      </c>
      <c r="BV132" s="230">
        <v>-166666</v>
      </c>
      <c r="BW132" s="229">
        <v>-0.32650000000000001</v>
      </c>
      <c r="BX132" s="230">
        <v>2433750</v>
      </c>
      <c r="BY132" s="230">
        <v>2389125</v>
      </c>
      <c r="BZ132" s="230">
        <v>44625</v>
      </c>
      <c r="CA132" s="229">
        <v>1.8700000000000001E-2</v>
      </c>
      <c r="CB132" s="230">
        <v>2377000</v>
      </c>
      <c r="CC132" s="230">
        <v>2335750</v>
      </c>
      <c r="CD132" s="230">
        <v>41250</v>
      </c>
      <c r="CE132" s="229">
        <v>1.77E-2</v>
      </c>
      <c r="CF132" s="230">
        <v>48875</v>
      </c>
      <c r="CG132" s="230">
        <v>47000</v>
      </c>
      <c r="CH132" s="230">
        <v>1875</v>
      </c>
      <c r="CI132" s="229">
        <v>3.9899999999999998E-2</v>
      </c>
      <c r="CJ132" s="230">
        <v>7875</v>
      </c>
      <c r="CK132" s="230">
        <v>6375</v>
      </c>
      <c r="CL132" s="230">
        <v>1500</v>
      </c>
      <c r="CM132" s="229">
        <v>0.23530000000000001</v>
      </c>
      <c r="CN132" s="230">
        <v>1352500</v>
      </c>
      <c r="CO132" s="230">
        <v>1249125</v>
      </c>
      <c r="CP132" s="230">
        <v>103375</v>
      </c>
      <c r="CQ132" s="229">
        <v>8.2799999999999999E-2</v>
      </c>
      <c r="CR132" s="230">
        <v>909000</v>
      </c>
      <c r="CS132" s="230">
        <v>861375</v>
      </c>
      <c r="CT132" s="230">
        <v>47625</v>
      </c>
      <c r="CU132" s="229">
        <v>5.5300000000000002E-2</v>
      </c>
      <c r="CV132" s="230">
        <v>4695250</v>
      </c>
      <c r="CW132" s="230">
        <v>4499625</v>
      </c>
      <c r="CX132" s="230">
        <v>195625</v>
      </c>
      <c r="CY132" s="229">
        <v>4.3499999999999997E-2</v>
      </c>
      <c r="CZ132" s="228">
        <v>33.130000000000003</v>
      </c>
      <c r="DA132" s="228">
        <v>32.39</v>
      </c>
      <c r="DB132" s="228">
        <v>0.74</v>
      </c>
      <c r="DC132" s="228">
        <v>0.74</v>
      </c>
      <c r="DD132" s="228">
        <v>46.94</v>
      </c>
      <c r="DE132" s="228">
        <v>47.05</v>
      </c>
      <c r="DF132" s="228">
        <v>-13.81</v>
      </c>
      <c r="DG132" s="228">
        <v>-0.11</v>
      </c>
      <c r="DH132" s="228">
        <v>32.869999999999997</v>
      </c>
      <c r="DI132" s="228">
        <v>32.04</v>
      </c>
      <c r="DJ132" s="228">
        <v>0.83</v>
      </c>
      <c r="DK132" s="228">
        <v>0.83</v>
      </c>
      <c r="DL132" s="228">
        <v>33.68</v>
      </c>
      <c r="DM132" s="228">
        <v>33.299999999999997</v>
      </c>
      <c r="DN132" s="228">
        <v>0.38</v>
      </c>
      <c r="DO132" s="228">
        <v>0.38</v>
      </c>
      <c r="DP132" s="228">
        <v>0.67</v>
      </c>
      <c r="DQ132" s="228">
        <v>0.69</v>
      </c>
      <c r="DR132" s="228">
        <v>-0.02</v>
      </c>
      <c r="DS132" s="229">
        <v>-2.9000000000000001E-2</v>
      </c>
      <c r="DT132" s="231">
        <v>8200</v>
      </c>
      <c r="DU132" s="231">
        <v>8000</v>
      </c>
      <c r="DV132" s="228">
        <v>0.46</v>
      </c>
      <c r="DW132" s="228">
        <v>0.38</v>
      </c>
      <c r="DX132" s="228">
        <v>0.08</v>
      </c>
      <c r="DY132" s="229">
        <v>0.21049999999999999</v>
      </c>
      <c r="DZ132" s="229">
        <v>2.3300000000000001E-2</v>
      </c>
      <c r="EA132" s="230">
        <v>53375</v>
      </c>
      <c r="EB132" s="229">
        <v>4.8999999999999998E-3</v>
      </c>
      <c r="EC132" s="229">
        <v>2.3300000000000001E-2</v>
      </c>
      <c r="ED132" s="228">
        <v>37.17</v>
      </c>
      <c r="EE132" s="229">
        <v>4.4999999999999997E-3</v>
      </c>
      <c r="EF132" s="230">
        <v>126904</v>
      </c>
      <c r="EG132" s="230">
        <v>154754</v>
      </c>
      <c r="EH132" s="229">
        <v>-0.18</v>
      </c>
      <c r="EI132" s="229">
        <v>0.36919999999999997</v>
      </c>
      <c r="EJ132" s="231">
        <v>264820.95</v>
      </c>
      <c r="EK132" s="231">
        <v>111055.2</v>
      </c>
      <c r="EL132" s="231">
        <v>56526.16</v>
      </c>
      <c r="EM132" s="231">
        <v>9426</v>
      </c>
      <c r="EN132" s="231">
        <v>432402.31</v>
      </c>
      <c r="EO132" s="231">
        <v>612228.79</v>
      </c>
      <c r="EP132" s="231">
        <v>-179826.48</v>
      </c>
      <c r="EQ132" s="229">
        <v>-0.29370000000000002</v>
      </c>
      <c r="ER132" s="231">
        <v>114254</v>
      </c>
      <c r="ES132" s="231">
        <v>69719</v>
      </c>
      <c r="ET132" s="231">
        <v>200688</v>
      </c>
      <c r="EU132" s="231">
        <v>7635422</v>
      </c>
      <c r="EV132" s="231">
        <v>384661</v>
      </c>
      <c r="EW132" s="231">
        <v>366924</v>
      </c>
      <c r="EX132" s="231">
        <v>17737</v>
      </c>
      <c r="EY132" s="229">
        <v>4.8300000000000003E-2</v>
      </c>
      <c r="EZ132" s="229">
        <v>0.6149</v>
      </c>
      <c r="FA132" s="227" t="s">
        <v>555</v>
      </c>
      <c r="FB132" s="161">
        <f t="shared" si="2"/>
        <v>56750</v>
      </c>
    </row>
    <row r="133" spans="1:158" ht="17.25" hidden="1" thickBot="1" x14ac:dyDescent="0.3">
      <c r="A133" s="226">
        <v>45936</v>
      </c>
      <c r="B133" s="227" t="s">
        <v>175</v>
      </c>
      <c r="C133" s="227" t="s">
        <v>257</v>
      </c>
      <c r="D133" s="228">
        <v>800</v>
      </c>
      <c r="E133" s="231">
        <v>1613.1</v>
      </c>
      <c r="F133" s="231">
        <v>1615.1</v>
      </c>
      <c r="G133" s="228">
        <v>-2</v>
      </c>
      <c r="H133" s="229">
        <v>-1.1999999999999999E-3</v>
      </c>
      <c r="I133" s="231">
        <v>1605.4</v>
      </c>
      <c r="J133" s="231">
        <v>1604.1</v>
      </c>
      <c r="K133" s="228">
        <v>1.3</v>
      </c>
      <c r="L133" s="229">
        <v>8.0000000000000004E-4</v>
      </c>
      <c r="M133" s="231">
        <v>1613.1</v>
      </c>
      <c r="N133" s="231">
        <v>1615.1</v>
      </c>
      <c r="O133" s="228">
        <v>-2</v>
      </c>
      <c r="P133" s="229">
        <v>-1.1999999999999999E-3</v>
      </c>
      <c r="Q133" s="231">
        <v>1616.2</v>
      </c>
      <c r="R133" s="231">
        <v>1622.9</v>
      </c>
      <c r="S133" s="228">
        <v>-6.7</v>
      </c>
      <c r="T133" s="229">
        <v>-4.1000000000000003E-3</v>
      </c>
      <c r="U133" s="231">
        <v>1645</v>
      </c>
      <c r="V133" s="231">
        <v>1645</v>
      </c>
      <c r="W133" s="228">
        <v>0</v>
      </c>
      <c r="X133" s="229">
        <v>0</v>
      </c>
      <c r="Y133" s="228">
        <v>7.7</v>
      </c>
      <c r="Z133" s="228">
        <v>11</v>
      </c>
      <c r="AA133" s="228">
        <v>-3.3</v>
      </c>
      <c r="AB133" s="229">
        <v>4.7999999999999996E-3</v>
      </c>
      <c r="AC133" s="228">
        <v>7.7</v>
      </c>
      <c r="AD133" s="228">
        <v>11</v>
      </c>
      <c r="AE133" s="228">
        <v>-3.3</v>
      </c>
      <c r="AF133" s="229">
        <v>4.7999999999999996E-3</v>
      </c>
      <c r="AG133" s="228">
        <v>10.8</v>
      </c>
      <c r="AH133" s="228">
        <v>18.8</v>
      </c>
      <c r="AI133" s="228">
        <v>-8</v>
      </c>
      <c r="AJ133" s="229">
        <v>6.7000000000000002E-3</v>
      </c>
      <c r="AK133" s="228">
        <v>39.6</v>
      </c>
      <c r="AL133" s="228">
        <v>40.9</v>
      </c>
      <c r="AM133" s="228">
        <v>-1.3</v>
      </c>
      <c r="AN133" s="229">
        <v>2.47E-2</v>
      </c>
      <c r="AO133" s="231">
        <v>1622.29</v>
      </c>
      <c r="AP133" s="231">
        <v>1629.56</v>
      </c>
      <c r="AQ133" s="228">
        <v>0</v>
      </c>
      <c r="AR133" s="230">
        <v>1092000</v>
      </c>
      <c r="AS133" s="230">
        <v>1117600</v>
      </c>
      <c r="AT133" s="230">
        <v>-25600</v>
      </c>
      <c r="AU133" s="229">
        <v>-2.29E-2</v>
      </c>
      <c r="AV133" s="230">
        <v>1057600</v>
      </c>
      <c r="AW133" s="230">
        <v>1076800</v>
      </c>
      <c r="AX133" s="230">
        <v>-19200</v>
      </c>
      <c r="AY133" s="229">
        <v>-1.78E-2</v>
      </c>
      <c r="AZ133" s="230">
        <v>34400</v>
      </c>
      <c r="BA133" s="230">
        <v>40800</v>
      </c>
      <c r="BB133" s="230">
        <v>-6400</v>
      </c>
      <c r="BC133" s="229">
        <v>-0.15690000000000001</v>
      </c>
      <c r="BD133" s="228">
        <v>0</v>
      </c>
      <c r="BE133" s="228">
        <v>0</v>
      </c>
      <c r="BF133" s="228">
        <v>0</v>
      </c>
      <c r="BG133" s="229">
        <v>0</v>
      </c>
      <c r="BH133" s="230">
        <v>1356800</v>
      </c>
      <c r="BI133" s="230">
        <v>1201600</v>
      </c>
      <c r="BJ133" s="230">
        <v>155200</v>
      </c>
      <c r="BK133" s="229">
        <v>0.12920000000000001</v>
      </c>
      <c r="BL133" s="230">
        <v>380800</v>
      </c>
      <c r="BM133" s="230">
        <v>444800</v>
      </c>
      <c r="BN133" s="230">
        <v>-64000</v>
      </c>
      <c r="BO133" s="229">
        <v>-0.1439</v>
      </c>
      <c r="BP133" s="230">
        <v>2829600</v>
      </c>
      <c r="BQ133" s="230">
        <v>2764000</v>
      </c>
      <c r="BR133" s="230">
        <v>65600</v>
      </c>
      <c r="BS133" s="229">
        <v>2.3699999999999999E-2</v>
      </c>
      <c r="BT133" s="230">
        <v>388554</v>
      </c>
      <c r="BU133" s="230">
        <v>731342</v>
      </c>
      <c r="BV133" s="230">
        <v>-342788</v>
      </c>
      <c r="BW133" s="229">
        <v>-0.46870000000000001</v>
      </c>
      <c r="BX133" s="230">
        <v>5996000</v>
      </c>
      <c r="BY133" s="230">
        <v>6019200</v>
      </c>
      <c r="BZ133" s="230">
        <v>-23200</v>
      </c>
      <c r="CA133" s="229">
        <v>-3.8999999999999998E-3</v>
      </c>
      <c r="CB133" s="230">
        <v>5940800</v>
      </c>
      <c r="CC133" s="230">
        <v>5961600</v>
      </c>
      <c r="CD133" s="230">
        <v>-20800</v>
      </c>
      <c r="CE133" s="229">
        <v>-3.5000000000000001E-3</v>
      </c>
      <c r="CF133" s="230">
        <v>53600</v>
      </c>
      <c r="CG133" s="230">
        <v>56000</v>
      </c>
      <c r="CH133" s="230">
        <v>-2400</v>
      </c>
      <c r="CI133" s="229">
        <v>-4.2900000000000001E-2</v>
      </c>
      <c r="CJ133" s="230">
        <v>1600</v>
      </c>
      <c r="CK133" s="230">
        <v>1600</v>
      </c>
      <c r="CL133" s="228">
        <v>0</v>
      </c>
      <c r="CM133" s="229">
        <v>0</v>
      </c>
      <c r="CN133" s="230">
        <v>806400</v>
      </c>
      <c r="CO133" s="230">
        <v>701600</v>
      </c>
      <c r="CP133" s="230">
        <v>104800</v>
      </c>
      <c r="CQ133" s="229">
        <v>0.14940000000000001</v>
      </c>
      <c r="CR133" s="230">
        <v>499200</v>
      </c>
      <c r="CS133" s="230">
        <v>461600</v>
      </c>
      <c r="CT133" s="230">
        <v>37600</v>
      </c>
      <c r="CU133" s="229">
        <v>8.1500000000000003E-2</v>
      </c>
      <c r="CV133" s="230">
        <v>7301600</v>
      </c>
      <c r="CW133" s="230">
        <v>7182400</v>
      </c>
      <c r="CX133" s="230">
        <v>119200</v>
      </c>
      <c r="CY133" s="229">
        <v>1.66E-2</v>
      </c>
      <c r="CZ133" s="228">
        <v>25.53</v>
      </c>
      <c r="DA133" s="228">
        <v>24.41</v>
      </c>
      <c r="DB133" s="228">
        <v>1.1200000000000001</v>
      </c>
      <c r="DC133" s="228">
        <v>1.1200000000000001</v>
      </c>
      <c r="DD133" s="228">
        <v>30.64</v>
      </c>
      <c r="DE133" s="228">
        <v>30.72</v>
      </c>
      <c r="DF133" s="228">
        <v>-5.1100000000000003</v>
      </c>
      <c r="DG133" s="228">
        <v>-0.08</v>
      </c>
      <c r="DH133" s="228">
        <v>25.36</v>
      </c>
      <c r="DI133" s="228">
        <v>24.33</v>
      </c>
      <c r="DJ133" s="228">
        <v>1.03</v>
      </c>
      <c r="DK133" s="228">
        <v>1.03</v>
      </c>
      <c r="DL133" s="228">
        <v>26.14</v>
      </c>
      <c r="DM133" s="228">
        <v>24.61</v>
      </c>
      <c r="DN133" s="228">
        <v>1.53</v>
      </c>
      <c r="DO133" s="228">
        <v>1.53</v>
      </c>
      <c r="DP133" s="228">
        <v>0.62</v>
      </c>
      <c r="DQ133" s="228">
        <v>0.66</v>
      </c>
      <c r="DR133" s="228">
        <v>-0.04</v>
      </c>
      <c r="DS133" s="229">
        <v>-6.0600000000000001E-2</v>
      </c>
      <c r="DT133" s="231">
        <v>1640</v>
      </c>
      <c r="DU133" s="231">
        <v>1600</v>
      </c>
      <c r="DV133" s="228">
        <v>0.28000000000000003</v>
      </c>
      <c r="DW133" s="228">
        <v>0.37</v>
      </c>
      <c r="DX133" s="228">
        <v>-0.09</v>
      </c>
      <c r="DY133" s="229">
        <v>-0.2432</v>
      </c>
      <c r="DZ133" s="229">
        <v>9.1999999999999998E-3</v>
      </c>
      <c r="EA133" s="230">
        <v>57600</v>
      </c>
      <c r="EB133" s="229">
        <v>1.9E-3</v>
      </c>
      <c r="EC133" s="229">
        <v>9.1999999999999998E-3</v>
      </c>
      <c r="ED133" s="228">
        <v>7.27</v>
      </c>
      <c r="EE133" s="229">
        <v>4.4999999999999997E-3</v>
      </c>
      <c r="EF133" s="230">
        <v>185424</v>
      </c>
      <c r="EG133" s="230">
        <v>465266</v>
      </c>
      <c r="EH133" s="229">
        <v>-0.60150000000000003</v>
      </c>
      <c r="EI133" s="229">
        <v>0.47720000000000001</v>
      </c>
      <c r="EJ133" s="231">
        <v>23109.33</v>
      </c>
      <c r="EK133" s="231">
        <v>6029.03</v>
      </c>
      <c r="EL133" s="231">
        <v>17717.86</v>
      </c>
      <c r="EM133" s="231">
        <v>2739</v>
      </c>
      <c r="EN133" s="231">
        <v>46856.22</v>
      </c>
      <c r="EO133" s="231">
        <v>45680.13</v>
      </c>
      <c r="EP133" s="231">
        <v>1176.0899999999999</v>
      </c>
      <c r="EQ133" s="229">
        <v>2.5700000000000001E-2</v>
      </c>
      <c r="ER133" s="231">
        <v>13444</v>
      </c>
      <c r="ES133" s="231">
        <v>7687</v>
      </c>
      <c r="ET133" s="231">
        <v>96724</v>
      </c>
      <c r="EU133" s="231">
        <v>34712157</v>
      </c>
      <c r="EV133" s="231">
        <v>117855</v>
      </c>
      <c r="EW133" s="231">
        <v>115985</v>
      </c>
      <c r="EX133" s="231">
        <v>1870</v>
      </c>
      <c r="EY133" s="229">
        <v>1.61E-2</v>
      </c>
      <c r="EZ133" s="229">
        <v>0.21029999999999999</v>
      </c>
      <c r="FA133" s="227" t="s">
        <v>568</v>
      </c>
      <c r="FB133" s="161">
        <f t="shared" si="2"/>
        <v>55200</v>
      </c>
    </row>
    <row r="134" spans="1:158" ht="17.25" hidden="1" thickBot="1" x14ac:dyDescent="0.3">
      <c r="A134" s="226">
        <v>45936</v>
      </c>
      <c r="B134" s="227" t="s">
        <v>181</v>
      </c>
      <c r="C134" s="227" t="s">
        <v>563</v>
      </c>
      <c r="D134" s="228">
        <v>140</v>
      </c>
      <c r="E134" s="231">
        <v>13014.4</v>
      </c>
      <c r="F134" s="231">
        <v>12865.15</v>
      </c>
      <c r="G134" s="228">
        <v>149.25</v>
      </c>
      <c r="H134" s="229">
        <v>1.1599999999999999E-2</v>
      </c>
      <c r="I134" s="231">
        <v>12944.95</v>
      </c>
      <c r="J134" s="231">
        <v>12793.6</v>
      </c>
      <c r="K134" s="228">
        <v>151.35</v>
      </c>
      <c r="L134" s="229">
        <v>1.18E-2</v>
      </c>
      <c r="M134" s="231">
        <v>13014.4</v>
      </c>
      <c r="N134" s="231">
        <v>12865.15</v>
      </c>
      <c r="O134" s="228">
        <v>149.25</v>
      </c>
      <c r="P134" s="229">
        <v>1.1599999999999999E-2</v>
      </c>
      <c r="Q134" s="231">
        <v>13072.45</v>
      </c>
      <c r="R134" s="231">
        <v>12915.55</v>
      </c>
      <c r="S134" s="228">
        <v>156.9</v>
      </c>
      <c r="T134" s="229">
        <v>1.21E-2</v>
      </c>
      <c r="U134" s="231">
        <v>13131.2</v>
      </c>
      <c r="V134" s="231">
        <v>12976.4</v>
      </c>
      <c r="W134" s="228">
        <v>154.80000000000001</v>
      </c>
      <c r="X134" s="229">
        <v>1.1900000000000001E-2</v>
      </c>
      <c r="Y134" s="228">
        <v>69.45</v>
      </c>
      <c r="Z134" s="228">
        <v>71.55</v>
      </c>
      <c r="AA134" s="228">
        <v>-2.1</v>
      </c>
      <c r="AB134" s="229">
        <v>5.4000000000000003E-3</v>
      </c>
      <c r="AC134" s="228">
        <v>69.45</v>
      </c>
      <c r="AD134" s="228">
        <v>71.55</v>
      </c>
      <c r="AE134" s="228">
        <v>-2.1</v>
      </c>
      <c r="AF134" s="229">
        <v>5.4000000000000003E-3</v>
      </c>
      <c r="AG134" s="228">
        <v>127.5</v>
      </c>
      <c r="AH134" s="228">
        <v>121.95</v>
      </c>
      <c r="AI134" s="228">
        <v>5.55</v>
      </c>
      <c r="AJ134" s="229">
        <v>9.7999999999999997E-3</v>
      </c>
      <c r="AK134" s="228">
        <v>186.25</v>
      </c>
      <c r="AL134" s="228">
        <v>182.8</v>
      </c>
      <c r="AM134" s="228">
        <v>3.45</v>
      </c>
      <c r="AN134" s="229">
        <v>1.44E-2</v>
      </c>
      <c r="AO134" s="231">
        <v>12947.74</v>
      </c>
      <c r="AP134" s="231">
        <v>13024.77</v>
      </c>
      <c r="AQ134" s="228">
        <v>0</v>
      </c>
      <c r="AR134" s="230">
        <v>438060</v>
      </c>
      <c r="AS134" s="230">
        <v>354900</v>
      </c>
      <c r="AT134" s="230">
        <v>83160</v>
      </c>
      <c r="AU134" s="229">
        <v>0.23430000000000001</v>
      </c>
      <c r="AV134" s="230">
        <v>398440</v>
      </c>
      <c r="AW134" s="230">
        <v>340200</v>
      </c>
      <c r="AX134" s="230">
        <v>58240</v>
      </c>
      <c r="AY134" s="229">
        <v>0.17119999999999999</v>
      </c>
      <c r="AZ134" s="230">
        <v>36820</v>
      </c>
      <c r="BA134" s="230">
        <v>12740</v>
      </c>
      <c r="BB134" s="230">
        <v>24080</v>
      </c>
      <c r="BC134" s="229">
        <v>1.8900999999999999</v>
      </c>
      <c r="BD134" s="230">
        <v>2800</v>
      </c>
      <c r="BE134" s="230">
        <v>1960</v>
      </c>
      <c r="BF134" s="228">
        <v>840</v>
      </c>
      <c r="BG134" s="229">
        <v>0.42859999999999998</v>
      </c>
      <c r="BH134" s="230">
        <v>12358080</v>
      </c>
      <c r="BI134" s="230">
        <v>11259920</v>
      </c>
      <c r="BJ134" s="230">
        <v>1098160</v>
      </c>
      <c r="BK134" s="229">
        <v>9.7500000000000003E-2</v>
      </c>
      <c r="BL134" s="230">
        <v>15525720</v>
      </c>
      <c r="BM134" s="230">
        <v>11269300</v>
      </c>
      <c r="BN134" s="230">
        <v>4256420</v>
      </c>
      <c r="BO134" s="229">
        <v>0.37769999999999998</v>
      </c>
      <c r="BP134" s="230">
        <v>28321860</v>
      </c>
      <c r="BQ134" s="230">
        <v>22884120</v>
      </c>
      <c r="BR134" s="230">
        <v>5437740</v>
      </c>
      <c r="BS134" s="229">
        <v>0.23760000000000001</v>
      </c>
      <c r="BT134" s="228">
        <v>0</v>
      </c>
      <c r="BU134" s="228">
        <v>0</v>
      </c>
      <c r="BV134" s="228">
        <v>0</v>
      </c>
      <c r="BW134" s="229">
        <v>0</v>
      </c>
      <c r="BX134" s="230">
        <v>2786840</v>
      </c>
      <c r="BY134" s="230">
        <v>2812600</v>
      </c>
      <c r="BZ134" s="230">
        <v>-25760</v>
      </c>
      <c r="CA134" s="229">
        <v>-9.1999999999999998E-3</v>
      </c>
      <c r="CB134" s="230">
        <v>2706060</v>
      </c>
      <c r="CC134" s="230">
        <v>2738260</v>
      </c>
      <c r="CD134" s="230">
        <v>-32200</v>
      </c>
      <c r="CE134" s="229">
        <v>-1.18E-2</v>
      </c>
      <c r="CF134" s="230">
        <v>78260</v>
      </c>
      <c r="CG134" s="230">
        <v>72660</v>
      </c>
      <c r="CH134" s="230">
        <v>5600</v>
      </c>
      <c r="CI134" s="229">
        <v>7.7100000000000002E-2</v>
      </c>
      <c r="CJ134" s="230">
        <v>2520</v>
      </c>
      <c r="CK134" s="230">
        <v>1680</v>
      </c>
      <c r="CL134" s="228">
        <v>840</v>
      </c>
      <c r="CM134" s="229">
        <v>0.5</v>
      </c>
      <c r="CN134" s="230">
        <v>4232760</v>
      </c>
      <c r="CO134" s="230">
        <v>4009740</v>
      </c>
      <c r="CP134" s="230">
        <v>223020</v>
      </c>
      <c r="CQ134" s="229">
        <v>5.5599999999999997E-2</v>
      </c>
      <c r="CR134" s="230">
        <v>5896660</v>
      </c>
      <c r="CS134" s="230">
        <v>5436480</v>
      </c>
      <c r="CT134" s="230">
        <v>460180</v>
      </c>
      <c r="CU134" s="229">
        <v>8.4599999999999995E-2</v>
      </c>
      <c r="CV134" s="230">
        <v>12916260</v>
      </c>
      <c r="CW134" s="230">
        <v>12258820</v>
      </c>
      <c r="CX134" s="230">
        <v>657440</v>
      </c>
      <c r="CY134" s="229">
        <v>5.3600000000000002E-2</v>
      </c>
      <c r="CZ134" s="228">
        <v>16.53</v>
      </c>
      <c r="DA134" s="228">
        <v>16.13</v>
      </c>
      <c r="DB134" s="228">
        <v>0.4</v>
      </c>
      <c r="DC134" s="228">
        <v>0.4</v>
      </c>
      <c r="DD134" s="228">
        <v>23.08</v>
      </c>
      <c r="DE134" s="228">
        <v>23.09</v>
      </c>
      <c r="DF134" s="228">
        <v>-6.55</v>
      </c>
      <c r="DG134" s="228">
        <v>-0.01</v>
      </c>
      <c r="DH134" s="228">
        <v>14.84</v>
      </c>
      <c r="DI134" s="228">
        <v>14.81</v>
      </c>
      <c r="DJ134" s="228">
        <v>0.03</v>
      </c>
      <c r="DK134" s="228">
        <v>0.03</v>
      </c>
      <c r="DL134" s="228">
        <v>17.87</v>
      </c>
      <c r="DM134" s="228">
        <v>17.45</v>
      </c>
      <c r="DN134" s="228">
        <v>0.42</v>
      </c>
      <c r="DO134" s="228">
        <v>0.42</v>
      </c>
      <c r="DP134" s="228">
        <v>1.39</v>
      </c>
      <c r="DQ134" s="228">
        <v>1.36</v>
      </c>
      <c r="DR134" s="228">
        <v>0.03</v>
      </c>
      <c r="DS134" s="229">
        <v>2.2100000000000002E-2</v>
      </c>
      <c r="DT134" s="231">
        <v>13500</v>
      </c>
      <c r="DU134" s="231">
        <v>12500</v>
      </c>
      <c r="DV134" s="228">
        <v>1.26</v>
      </c>
      <c r="DW134" s="228">
        <v>1</v>
      </c>
      <c r="DX134" s="228">
        <v>0.26</v>
      </c>
      <c r="DY134" s="229">
        <v>0.26</v>
      </c>
      <c r="DZ134" s="229">
        <v>2.9000000000000001E-2</v>
      </c>
      <c r="EA134" s="230">
        <v>74340</v>
      </c>
      <c r="EB134" s="229">
        <v>4.4999999999999997E-3</v>
      </c>
      <c r="EC134" s="229">
        <v>2.9000000000000001E-2</v>
      </c>
      <c r="ED134" s="228">
        <v>77.03</v>
      </c>
      <c r="EE134" s="229">
        <v>5.8999999999999999E-3</v>
      </c>
      <c r="EF134" s="228">
        <v>0</v>
      </c>
      <c r="EG134" s="228">
        <v>0</v>
      </c>
      <c r="EH134" s="229">
        <v>0</v>
      </c>
      <c r="EI134" s="229">
        <v>0</v>
      </c>
      <c r="EJ134" s="231">
        <v>1638202.99</v>
      </c>
      <c r="EK134" s="231">
        <v>1944226.61</v>
      </c>
      <c r="EL134" s="231">
        <v>56750.42</v>
      </c>
      <c r="EM134" s="228">
        <v>0</v>
      </c>
      <c r="EN134" s="231">
        <v>3639180.02</v>
      </c>
      <c r="EO134" s="231">
        <v>2936954.8799999999</v>
      </c>
      <c r="EP134" s="231">
        <v>702225.14</v>
      </c>
      <c r="EQ134" s="229">
        <v>0.23910000000000001</v>
      </c>
      <c r="ER134" s="231">
        <v>556415</v>
      </c>
      <c r="ES134" s="231">
        <v>733741</v>
      </c>
      <c r="ET134" s="231">
        <v>362739</v>
      </c>
      <c r="EU134" s="228">
        <v>0</v>
      </c>
      <c r="EV134" s="231">
        <v>1652894</v>
      </c>
      <c r="EW134" s="231">
        <v>1554754</v>
      </c>
      <c r="EX134" s="231">
        <v>98140</v>
      </c>
      <c r="EY134" s="229">
        <v>6.3100000000000003E-2</v>
      </c>
      <c r="EZ134" s="229">
        <v>0</v>
      </c>
      <c r="FA134" s="227" t="s">
        <v>556</v>
      </c>
      <c r="FB134" s="161">
        <f t="shared" si="2"/>
        <v>80780</v>
      </c>
    </row>
    <row r="135" spans="1:158" ht="17.25" hidden="1" thickBot="1" x14ac:dyDescent="0.3">
      <c r="A135" s="226">
        <v>45936</v>
      </c>
      <c r="B135" s="227" t="s">
        <v>162</v>
      </c>
      <c r="C135" s="227" t="s">
        <v>559</v>
      </c>
      <c r="D135" s="228">
        <v>6150</v>
      </c>
      <c r="E135" s="228">
        <v>106.85</v>
      </c>
      <c r="F135" s="228">
        <v>107.05</v>
      </c>
      <c r="G135" s="228">
        <v>-0.2</v>
      </c>
      <c r="H135" s="229">
        <v>-1.9E-3</v>
      </c>
      <c r="I135" s="228">
        <v>106.22</v>
      </c>
      <c r="J135" s="228">
        <v>106.67</v>
      </c>
      <c r="K135" s="228">
        <v>-0.45</v>
      </c>
      <c r="L135" s="229">
        <v>-4.1999999999999997E-3</v>
      </c>
      <c r="M135" s="228">
        <v>106.85</v>
      </c>
      <c r="N135" s="228">
        <v>107.05</v>
      </c>
      <c r="O135" s="228">
        <v>-0.2</v>
      </c>
      <c r="P135" s="229">
        <v>-1.9E-3</v>
      </c>
      <c r="Q135" s="228">
        <v>107.49</v>
      </c>
      <c r="R135" s="228">
        <v>107.61</v>
      </c>
      <c r="S135" s="228">
        <v>-0.12</v>
      </c>
      <c r="T135" s="229">
        <v>-1.1000000000000001E-3</v>
      </c>
      <c r="U135" s="228">
        <v>107.85</v>
      </c>
      <c r="V135" s="228">
        <v>108.17</v>
      </c>
      <c r="W135" s="228">
        <v>-0.32</v>
      </c>
      <c r="X135" s="229">
        <v>-3.0000000000000001E-3</v>
      </c>
      <c r="Y135" s="228">
        <v>0.63</v>
      </c>
      <c r="Z135" s="228">
        <v>0.38</v>
      </c>
      <c r="AA135" s="228">
        <v>0.25</v>
      </c>
      <c r="AB135" s="229">
        <v>5.8999999999999999E-3</v>
      </c>
      <c r="AC135" s="228">
        <v>0.63</v>
      </c>
      <c r="AD135" s="228">
        <v>0.38</v>
      </c>
      <c r="AE135" s="228">
        <v>0.25</v>
      </c>
      <c r="AF135" s="229">
        <v>5.8999999999999999E-3</v>
      </c>
      <c r="AG135" s="228">
        <v>1.27</v>
      </c>
      <c r="AH135" s="228">
        <v>0.94</v>
      </c>
      <c r="AI135" s="228">
        <v>0.33</v>
      </c>
      <c r="AJ135" s="229">
        <v>1.2E-2</v>
      </c>
      <c r="AK135" s="228">
        <v>1.63</v>
      </c>
      <c r="AL135" s="228">
        <v>1.5</v>
      </c>
      <c r="AM135" s="228">
        <v>0.13</v>
      </c>
      <c r="AN135" s="229">
        <v>1.5299999999999999E-2</v>
      </c>
      <c r="AO135" s="228">
        <v>106.84</v>
      </c>
      <c r="AP135" s="228">
        <v>107.58</v>
      </c>
      <c r="AQ135" s="228">
        <v>0</v>
      </c>
      <c r="AR135" s="230">
        <v>10670250</v>
      </c>
      <c r="AS135" s="230">
        <v>15264300</v>
      </c>
      <c r="AT135" s="230">
        <v>-4594050</v>
      </c>
      <c r="AU135" s="229">
        <v>-0.30099999999999999</v>
      </c>
      <c r="AV135" s="230">
        <v>10153650</v>
      </c>
      <c r="AW135" s="230">
        <v>14464800</v>
      </c>
      <c r="AX135" s="230">
        <v>-4311150</v>
      </c>
      <c r="AY135" s="229">
        <v>-0.29799999999999999</v>
      </c>
      <c r="AZ135" s="230">
        <v>442800</v>
      </c>
      <c r="BA135" s="230">
        <v>744150</v>
      </c>
      <c r="BB135" s="230">
        <v>-301350</v>
      </c>
      <c r="BC135" s="229">
        <v>-0.40500000000000003</v>
      </c>
      <c r="BD135" s="230">
        <v>73800</v>
      </c>
      <c r="BE135" s="230">
        <v>55350</v>
      </c>
      <c r="BF135" s="230">
        <v>18450</v>
      </c>
      <c r="BG135" s="229">
        <v>0.33329999999999999</v>
      </c>
      <c r="BH135" s="230">
        <v>23689800</v>
      </c>
      <c r="BI135" s="230">
        <v>29772150</v>
      </c>
      <c r="BJ135" s="230">
        <v>-6082350</v>
      </c>
      <c r="BK135" s="229">
        <v>-0.20430000000000001</v>
      </c>
      <c r="BL135" s="230">
        <v>11039250</v>
      </c>
      <c r="BM135" s="230">
        <v>13892850</v>
      </c>
      <c r="BN135" s="230">
        <v>-2853600</v>
      </c>
      <c r="BO135" s="229">
        <v>-0.2054</v>
      </c>
      <c r="BP135" s="230">
        <v>45399300</v>
      </c>
      <c r="BQ135" s="230">
        <v>58929300</v>
      </c>
      <c r="BR135" s="230">
        <v>-13530000</v>
      </c>
      <c r="BS135" s="229">
        <v>-0.2296</v>
      </c>
      <c r="BT135" s="230">
        <v>7439917</v>
      </c>
      <c r="BU135" s="230">
        <v>8528782</v>
      </c>
      <c r="BV135" s="230">
        <v>-1088865</v>
      </c>
      <c r="BW135" s="229">
        <v>-0.12770000000000001</v>
      </c>
      <c r="BX135" s="230">
        <v>165145950</v>
      </c>
      <c r="BY135" s="230">
        <v>165330450</v>
      </c>
      <c r="BZ135" s="230">
        <v>-184500</v>
      </c>
      <c r="CA135" s="229">
        <v>-1.1000000000000001E-3</v>
      </c>
      <c r="CB135" s="230">
        <v>160232100</v>
      </c>
      <c r="CC135" s="230">
        <v>160582650</v>
      </c>
      <c r="CD135" s="230">
        <v>-350550</v>
      </c>
      <c r="CE135" s="229">
        <v>-2.2000000000000001E-3</v>
      </c>
      <c r="CF135" s="230">
        <v>4772400</v>
      </c>
      <c r="CG135" s="230">
        <v>4649400</v>
      </c>
      <c r="CH135" s="230">
        <v>123000</v>
      </c>
      <c r="CI135" s="229">
        <v>2.6499999999999999E-2</v>
      </c>
      <c r="CJ135" s="230">
        <v>141450</v>
      </c>
      <c r="CK135" s="230">
        <v>98400</v>
      </c>
      <c r="CL135" s="230">
        <v>43050</v>
      </c>
      <c r="CM135" s="229">
        <v>0.4375</v>
      </c>
      <c r="CN135" s="230">
        <v>44993400</v>
      </c>
      <c r="CO135" s="230">
        <v>42391950</v>
      </c>
      <c r="CP135" s="230">
        <v>2601450</v>
      </c>
      <c r="CQ135" s="229">
        <v>6.1400000000000003E-2</v>
      </c>
      <c r="CR135" s="230">
        <v>23843550</v>
      </c>
      <c r="CS135" s="230">
        <v>22939500</v>
      </c>
      <c r="CT135" s="230">
        <v>904050</v>
      </c>
      <c r="CU135" s="229">
        <v>3.9399999999999998E-2</v>
      </c>
      <c r="CV135" s="230">
        <v>233982900</v>
      </c>
      <c r="CW135" s="230">
        <v>230661900</v>
      </c>
      <c r="CX135" s="230">
        <v>3321000</v>
      </c>
      <c r="CY135" s="229">
        <v>1.44E-2</v>
      </c>
      <c r="CZ135" s="228">
        <v>32.450000000000003</v>
      </c>
      <c r="DA135" s="228">
        <v>31.7</v>
      </c>
      <c r="DB135" s="228">
        <v>0.75</v>
      </c>
      <c r="DC135" s="228">
        <v>0.75</v>
      </c>
      <c r="DD135" s="228">
        <v>41.38</v>
      </c>
      <c r="DE135" s="228">
        <v>41.49</v>
      </c>
      <c r="DF135" s="228">
        <v>-8.93</v>
      </c>
      <c r="DG135" s="228">
        <v>-0.11</v>
      </c>
      <c r="DH135" s="228">
        <v>32.86</v>
      </c>
      <c r="DI135" s="228">
        <v>31.84</v>
      </c>
      <c r="DJ135" s="228">
        <v>1.02</v>
      </c>
      <c r="DK135" s="228">
        <v>1.02</v>
      </c>
      <c r="DL135" s="228">
        <v>31.59</v>
      </c>
      <c r="DM135" s="228">
        <v>31.39</v>
      </c>
      <c r="DN135" s="228">
        <v>0.2</v>
      </c>
      <c r="DO135" s="228">
        <v>0.2</v>
      </c>
      <c r="DP135" s="228">
        <v>0.53</v>
      </c>
      <c r="DQ135" s="228">
        <v>0.54</v>
      </c>
      <c r="DR135" s="228">
        <v>-0.01</v>
      </c>
      <c r="DS135" s="229">
        <v>-1.8499999999999999E-2</v>
      </c>
      <c r="DT135" s="228">
        <v>115</v>
      </c>
      <c r="DU135" s="228">
        <v>100</v>
      </c>
      <c r="DV135" s="228">
        <v>0.47</v>
      </c>
      <c r="DW135" s="228">
        <v>0.47</v>
      </c>
      <c r="DX135" s="228">
        <v>0</v>
      </c>
      <c r="DY135" s="229">
        <v>0</v>
      </c>
      <c r="DZ135" s="229">
        <v>2.98E-2</v>
      </c>
      <c r="EA135" s="230">
        <v>4747800</v>
      </c>
      <c r="EB135" s="229">
        <v>6.0000000000000001E-3</v>
      </c>
      <c r="EC135" s="229">
        <v>2.98E-2</v>
      </c>
      <c r="ED135" s="228">
        <v>0.74</v>
      </c>
      <c r="EE135" s="229">
        <v>6.8999999999999999E-3</v>
      </c>
      <c r="EF135" s="230">
        <v>3533324</v>
      </c>
      <c r="EG135" s="230">
        <v>4653407</v>
      </c>
      <c r="EH135" s="229">
        <v>-0.2407</v>
      </c>
      <c r="EI135" s="229">
        <v>0.47489999999999999</v>
      </c>
      <c r="EJ135" s="231">
        <v>27041.94</v>
      </c>
      <c r="EK135" s="231">
        <v>11793.93</v>
      </c>
      <c r="EL135" s="231">
        <v>11404.21</v>
      </c>
      <c r="EM135" s="231">
        <v>8625</v>
      </c>
      <c r="EN135" s="231">
        <v>50240.08</v>
      </c>
      <c r="EO135" s="231">
        <v>64750.16</v>
      </c>
      <c r="EP135" s="231">
        <v>-14510.08</v>
      </c>
      <c r="EQ135" s="229">
        <v>-0.22409999999999999</v>
      </c>
      <c r="ER135" s="231">
        <v>50503</v>
      </c>
      <c r="ES135" s="231">
        <v>24540</v>
      </c>
      <c r="ET135" s="231">
        <v>176490</v>
      </c>
      <c r="EU135" s="231">
        <v>542522848</v>
      </c>
      <c r="EV135" s="231">
        <v>251533</v>
      </c>
      <c r="EW135" s="231">
        <v>248241</v>
      </c>
      <c r="EX135" s="231">
        <v>3292</v>
      </c>
      <c r="EY135" s="229">
        <v>1.3299999999999999E-2</v>
      </c>
      <c r="EZ135" s="229">
        <v>0.43130000000000002</v>
      </c>
      <c r="FA135" s="227" t="s">
        <v>568</v>
      </c>
      <c r="FB135" s="161">
        <f t="shared" si="2"/>
        <v>4913850</v>
      </c>
    </row>
    <row r="136" spans="1:158" ht="17.25" hidden="1" thickBot="1" x14ac:dyDescent="0.3">
      <c r="A136" s="226">
        <v>45936</v>
      </c>
      <c r="B136" s="227" t="s">
        <v>221</v>
      </c>
      <c r="C136" s="227" t="s">
        <v>487</v>
      </c>
      <c r="D136" s="228">
        <v>275</v>
      </c>
      <c r="E136" s="231">
        <v>2802.9</v>
      </c>
      <c r="F136" s="231">
        <v>2742.8</v>
      </c>
      <c r="G136" s="228">
        <v>60.1</v>
      </c>
      <c r="H136" s="229">
        <v>2.1899999999999999E-2</v>
      </c>
      <c r="I136" s="231">
        <v>2792.3</v>
      </c>
      <c r="J136" s="231">
        <v>2736.9</v>
      </c>
      <c r="K136" s="228">
        <v>55.4</v>
      </c>
      <c r="L136" s="229">
        <v>2.0199999999999999E-2</v>
      </c>
      <c r="M136" s="231">
        <v>2802.9</v>
      </c>
      <c r="N136" s="231">
        <v>2742.8</v>
      </c>
      <c r="O136" s="228">
        <v>60.1</v>
      </c>
      <c r="P136" s="229">
        <v>2.1899999999999999E-2</v>
      </c>
      <c r="Q136" s="231">
        <v>2817.9</v>
      </c>
      <c r="R136" s="231">
        <v>2756.3</v>
      </c>
      <c r="S136" s="228">
        <v>61.6</v>
      </c>
      <c r="T136" s="229">
        <v>2.23E-2</v>
      </c>
      <c r="U136" s="231">
        <v>2709.2</v>
      </c>
      <c r="V136" s="231">
        <v>2709.2</v>
      </c>
      <c r="W136" s="228">
        <v>0</v>
      </c>
      <c r="X136" s="229">
        <v>0</v>
      </c>
      <c r="Y136" s="228">
        <v>10.6</v>
      </c>
      <c r="Z136" s="228">
        <v>5.9</v>
      </c>
      <c r="AA136" s="228">
        <v>4.7</v>
      </c>
      <c r="AB136" s="229">
        <v>3.8E-3</v>
      </c>
      <c r="AC136" s="228">
        <v>10.6</v>
      </c>
      <c r="AD136" s="228">
        <v>5.9</v>
      </c>
      <c r="AE136" s="228">
        <v>4.7</v>
      </c>
      <c r="AF136" s="229">
        <v>3.8E-3</v>
      </c>
      <c r="AG136" s="228">
        <v>25.6</v>
      </c>
      <c r="AH136" s="228">
        <v>19.399999999999999</v>
      </c>
      <c r="AI136" s="228">
        <v>6.2</v>
      </c>
      <c r="AJ136" s="229">
        <v>9.1999999999999998E-3</v>
      </c>
      <c r="AK136" s="228">
        <v>-83.1</v>
      </c>
      <c r="AL136" s="228">
        <v>-27.7</v>
      </c>
      <c r="AM136" s="228">
        <v>-55.4</v>
      </c>
      <c r="AN136" s="229">
        <v>-2.98E-2</v>
      </c>
      <c r="AO136" s="231">
        <v>2785.53</v>
      </c>
      <c r="AP136" s="231">
        <v>2794.89</v>
      </c>
      <c r="AQ136" s="228">
        <v>0</v>
      </c>
      <c r="AR136" s="230">
        <v>920150</v>
      </c>
      <c r="AS136" s="230">
        <v>862400</v>
      </c>
      <c r="AT136" s="230">
        <v>57750</v>
      </c>
      <c r="AU136" s="229">
        <v>6.7000000000000004E-2</v>
      </c>
      <c r="AV136" s="230">
        <v>899800</v>
      </c>
      <c r="AW136" s="230">
        <v>843975</v>
      </c>
      <c r="AX136" s="230">
        <v>55825</v>
      </c>
      <c r="AY136" s="229">
        <v>6.6100000000000006E-2</v>
      </c>
      <c r="AZ136" s="230">
        <v>20350</v>
      </c>
      <c r="BA136" s="230">
        <v>18425</v>
      </c>
      <c r="BB136" s="230">
        <v>1925</v>
      </c>
      <c r="BC136" s="229">
        <v>0.1045</v>
      </c>
      <c r="BD136" s="228">
        <v>0</v>
      </c>
      <c r="BE136" s="228">
        <v>0</v>
      </c>
      <c r="BF136" s="228">
        <v>0</v>
      </c>
      <c r="BG136" s="229">
        <v>0</v>
      </c>
      <c r="BH136" s="230">
        <v>1459700</v>
      </c>
      <c r="BI136" s="230">
        <v>1028775</v>
      </c>
      <c r="BJ136" s="230">
        <v>430925</v>
      </c>
      <c r="BK136" s="229">
        <v>0.41889999999999999</v>
      </c>
      <c r="BL136" s="230">
        <v>524150</v>
      </c>
      <c r="BM136" s="230">
        <v>375375</v>
      </c>
      <c r="BN136" s="230">
        <v>148775</v>
      </c>
      <c r="BO136" s="229">
        <v>0.39629999999999999</v>
      </c>
      <c r="BP136" s="230">
        <v>2904000</v>
      </c>
      <c r="BQ136" s="230">
        <v>2266550</v>
      </c>
      <c r="BR136" s="230">
        <v>637450</v>
      </c>
      <c r="BS136" s="229">
        <v>0.28120000000000001</v>
      </c>
      <c r="BT136" s="230">
        <v>287223</v>
      </c>
      <c r="BU136" s="230">
        <v>622873</v>
      </c>
      <c r="BV136" s="230">
        <v>-335650</v>
      </c>
      <c r="BW136" s="229">
        <v>-0.53890000000000005</v>
      </c>
      <c r="BX136" s="230">
        <v>3974300</v>
      </c>
      <c r="BY136" s="230">
        <v>4052675</v>
      </c>
      <c r="BZ136" s="230">
        <v>-78375</v>
      </c>
      <c r="CA136" s="229">
        <v>-1.9300000000000001E-2</v>
      </c>
      <c r="CB136" s="230">
        <v>3922325</v>
      </c>
      <c r="CC136" s="230">
        <v>3997125</v>
      </c>
      <c r="CD136" s="230">
        <v>-74800</v>
      </c>
      <c r="CE136" s="229">
        <v>-1.8700000000000001E-2</v>
      </c>
      <c r="CF136" s="230">
        <v>51700</v>
      </c>
      <c r="CG136" s="230">
        <v>55275</v>
      </c>
      <c r="CH136" s="230">
        <v>-3575</v>
      </c>
      <c r="CI136" s="229">
        <v>-6.4699999999999994E-2</v>
      </c>
      <c r="CJ136" s="228">
        <v>275</v>
      </c>
      <c r="CK136" s="228">
        <v>275</v>
      </c>
      <c r="CL136" s="228">
        <v>0</v>
      </c>
      <c r="CM136" s="229">
        <v>0</v>
      </c>
      <c r="CN136" s="230">
        <v>801625</v>
      </c>
      <c r="CO136" s="230">
        <v>749100</v>
      </c>
      <c r="CP136" s="230">
        <v>52525</v>
      </c>
      <c r="CQ136" s="229">
        <v>7.0099999999999996E-2</v>
      </c>
      <c r="CR136" s="230">
        <v>588225</v>
      </c>
      <c r="CS136" s="230">
        <v>563750</v>
      </c>
      <c r="CT136" s="230">
        <v>24475</v>
      </c>
      <c r="CU136" s="229">
        <v>4.3400000000000001E-2</v>
      </c>
      <c r="CV136" s="230">
        <v>5364150</v>
      </c>
      <c r="CW136" s="230">
        <v>5365525</v>
      </c>
      <c r="CX136" s="230">
        <v>-1375</v>
      </c>
      <c r="CY136" s="229">
        <v>-2.9999999999999997E-4</v>
      </c>
      <c r="CZ136" s="228">
        <v>29.81</v>
      </c>
      <c r="DA136" s="228">
        <v>29.46</v>
      </c>
      <c r="DB136" s="228">
        <v>0.35</v>
      </c>
      <c r="DC136" s="228">
        <v>0.35</v>
      </c>
      <c r="DD136" s="228">
        <v>38.15</v>
      </c>
      <c r="DE136" s="228">
        <v>38.15</v>
      </c>
      <c r="DF136" s="228">
        <v>-8.34</v>
      </c>
      <c r="DG136" s="228">
        <v>0</v>
      </c>
      <c r="DH136" s="228">
        <v>29.48</v>
      </c>
      <c r="DI136" s="228">
        <v>29.14</v>
      </c>
      <c r="DJ136" s="228">
        <v>0.34</v>
      </c>
      <c r="DK136" s="228">
        <v>0.34</v>
      </c>
      <c r="DL136" s="228">
        <v>30.71</v>
      </c>
      <c r="DM136" s="228">
        <v>30.33</v>
      </c>
      <c r="DN136" s="228">
        <v>0.38</v>
      </c>
      <c r="DO136" s="228">
        <v>0.38</v>
      </c>
      <c r="DP136" s="228">
        <v>0.73</v>
      </c>
      <c r="DQ136" s="228">
        <v>0.75</v>
      </c>
      <c r="DR136" s="228">
        <v>-0.02</v>
      </c>
      <c r="DS136" s="229">
        <v>-2.6700000000000002E-2</v>
      </c>
      <c r="DT136" s="231">
        <v>3000</v>
      </c>
      <c r="DU136" s="231">
        <v>2700</v>
      </c>
      <c r="DV136" s="228">
        <v>0.36</v>
      </c>
      <c r="DW136" s="228">
        <v>0.36</v>
      </c>
      <c r="DX136" s="228">
        <v>0</v>
      </c>
      <c r="DY136" s="229">
        <v>0</v>
      </c>
      <c r="DZ136" s="229">
        <v>1.3100000000000001E-2</v>
      </c>
      <c r="EA136" s="230">
        <v>55550</v>
      </c>
      <c r="EB136" s="229">
        <v>5.4000000000000003E-3</v>
      </c>
      <c r="EC136" s="229">
        <v>1.3100000000000001E-2</v>
      </c>
      <c r="ED136" s="228">
        <v>9.36</v>
      </c>
      <c r="EE136" s="229">
        <v>3.3999999999999998E-3</v>
      </c>
      <c r="EF136" s="230">
        <v>121200</v>
      </c>
      <c r="EG136" s="230">
        <v>441605</v>
      </c>
      <c r="EH136" s="229">
        <v>-0.72550000000000003</v>
      </c>
      <c r="EI136" s="229">
        <v>0.42199999999999999</v>
      </c>
      <c r="EJ136" s="231">
        <v>42616.2</v>
      </c>
      <c r="EK136" s="231">
        <v>14188.74</v>
      </c>
      <c r="EL136" s="231">
        <v>25632.93</v>
      </c>
      <c r="EM136" s="231">
        <v>7617</v>
      </c>
      <c r="EN136" s="231">
        <v>82437.87</v>
      </c>
      <c r="EO136" s="231">
        <v>63070.26</v>
      </c>
      <c r="EP136" s="231">
        <v>19367.61</v>
      </c>
      <c r="EQ136" s="229">
        <v>0.30709999999999998</v>
      </c>
      <c r="ER136" s="231">
        <v>23349</v>
      </c>
      <c r="ES136" s="231">
        <v>15523</v>
      </c>
      <c r="ET136" s="231">
        <v>111403</v>
      </c>
      <c r="EU136" s="231">
        <v>14652855</v>
      </c>
      <c r="EV136" s="231">
        <v>150274</v>
      </c>
      <c r="EW136" s="231">
        <v>147691</v>
      </c>
      <c r="EX136" s="231">
        <v>2583</v>
      </c>
      <c r="EY136" s="229">
        <v>1.7500000000000002E-2</v>
      </c>
      <c r="EZ136" s="229">
        <v>0.36609999999999998</v>
      </c>
      <c r="FA136" s="227" t="s">
        <v>556</v>
      </c>
      <c r="FB136" s="161">
        <f t="shared" si="2"/>
        <v>51975</v>
      </c>
    </row>
    <row r="137" spans="1:158" ht="17.25" hidden="1" thickBot="1" x14ac:dyDescent="0.3">
      <c r="A137" s="226">
        <v>45936</v>
      </c>
      <c r="B137" s="227" t="s">
        <v>175</v>
      </c>
      <c r="C137" s="227" t="s">
        <v>262</v>
      </c>
      <c r="D137" s="228">
        <v>275</v>
      </c>
      <c r="E137" s="231">
        <v>3232</v>
      </c>
      <c r="F137" s="231">
        <v>3175.6</v>
      </c>
      <c r="G137" s="228">
        <v>56.4</v>
      </c>
      <c r="H137" s="229">
        <v>1.78E-2</v>
      </c>
      <c r="I137" s="231">
        <v>3227.7</v>
      </c>
      <c r="J137" s="231">
        <v>3167.6</v>
      </c>
      <c r="K137" s="228">
        <v>60.1</v>
      </c>
      <c r="L137" s="229">
        <v>1.9E-2</v>
      </c>
      <c r="M137" s="231">
        <v>3232</v>
      </c>
      <c r="N137" s="231">
        <v>3175.6</v>
      </c>
      <c r="O137" s="228">
        <v>56.4</v>
      </c>
      <c r="P137" s="229">
        <v>1.78E-2</v>
      </c>
      <c r="Q137" s="231">
        <v>3234.2</v>
      </c>
      <c r="R137" s="231">
        <v>3185.8</v>
      </c>
      <c r="S137" s="228">
        <v>48.4</v>
      </c>
      <c r="T137" s="229">
        <v>1.52E-2</v>
      </c>
      <c r="U137" s="231">
        <v>3248.8</v>
      </c>
      <c r="V137" s="231">
        <v>3196.8</v>
      </c>
      <c r="W137" s="228">
        <v>52</v>
      </c>
      <c r="X137" s="229">
        <v>1.6299999999999999E-2</v>
      </c>
      <c r="Y137" s="228">
        <v>4.3</v>
      </c>
      <c r="Z137" s="228">
        <v>8</v>
      </c>
      <c r="AA137" s="228">
        <v>-3.7</v>
      </c>
      <c r="AB137" s="229">
        <v>1.2999999999999999E-3</v>
      </c>
      <c r="AC137" s="228">
        <v>4.3</v>
      </c>
      <c r="AD137" s="228">
        <v>8</v>
      </c>
      <c r="AE137" s="228">
        <v>-3.7</v>
      </c>
      <c r="AF137" s="229">
        <v>1.2999999999999999E-3</v>
      </c>
      <c r="AG137" s="228">
        <v>6.5</v>
      </c>
      <c r="AH137" s="228">
        <v>18.2</v>
      </c>
      <c r="AI137" s="228">
        <v>-11.7</v>
      </c>
      <c r="AJ137" s="229">
        <v>2E-3</v>
      </c>
      <c r="AK137" s="228">
        <v>21.1</v>
      </c>
      <c r="AL137" s="228">
        <v>29.2</v>
      </c>
      <c r="AM137" s="228">
        <v>-8.1</v>
      </c>
      <c r="AN137" s="229">
        <v>6.4999999999999997E-3</v>
      </c>
      <c r="AO137" s="231">
        <v>3217.58</v>
      </c>
      <c r="AP137" s="231">
        <v>3228.89</v>
      </c>
      <c r="AQ137" s="228">
        <v>0</v>
      </c>
      <c r="AR137" s="230">
        <v>820050</v>
      </c>
      <c r="AS137" s="230">
        <v>770825</v>
      </c>
      <c r="AT137" s="230">
        <v>49225</v>
      </c>
      <c r="AU137" s="229">
        <v>6.3899999999999998E-2</v>
      </c>
      <c r="AV137" s="230">
        <v>726825</v>
      </c>
      <c r="AW137" s="230">
        <v>742500</v>
      </c>
      <c r="AX137" s="230">
        <v>-15675</v>
      </c>
      <c r="AY137" s="229">
        <v>-2.1100000000000001E-2</v>
      </c>
      <c r="AZ137" s="230">
        <v>74800</v>
      </c>
      <c r="BA137" s="230">
        <v>23100</v>
      </c>
      <c r="BB137" s="230">
        <v>51700</v>
      </c>
      <c r="BC137" s="229">
        <v>2.2381000000000002</v>
      </c>
      <c r="BD137" s="230">
        <v>18425</v>
      </c>
      <c r="BE137" s="230">
        <v>5225</v>
      </c>
      <c r="BF137" s="230">
        <v>13200</v>
      </c>
      <c r="BG137" s="229">
        <v>2.5263</v>
      </c>
      <c r="BH137" s="230">
        <v>4327400</v>
      </c>
      <c r="BI137" s="230">
        <v>1946725</v>
      </c>
      <c r="BJ137" s="230">
        <v>2380675</v>
      </c>
      <c r="BK137" s="229">
        <v>1.2229000000000001</v>
      </c>
      <c r="BL137" s="230">
        <v>1842500</v>
      </c>
      <c r="BM137" s="230">
        <v>1314225</v>
      </c>
      <c r="BN137" s="230">
        <v>528275</v>
      </c>
      <c r="BO137" s="229">
        <v>0.40200000000000002</v>
      </c>
      <c r="BP137" s="230">
        <v>6989950</v>
      </c>
      <c r="BQ137" s="230">
        <v>4031775</v>
      </c>
      <c r="BR137" s="230">
        <v>2958175</v>
      </c>
      <c r="BS137" s="229">
        <v>0.73370000000000002</v>
      </c>
      <c r="BT137" s="230">
        <v>430360</v>
      </c>
      <c r="BU137" s="230">
        <v>558904</v>
      </c>
      <c r="BV137" s="230">
        <v>-128544</v>
      </c>
      <c r="BW137" s="229">
        <v>-0.23</v>
      </c>
      <c r="BX137" s="230">
        <v>2795100</v>
      </c>
      <c r="BY137" s="230">
        <v>2746975</v>
      </c>
      <c r="BZ137" s="230">
        <v>48125</v>
      </c>
      <c r="CA137" s="229">
        <v>1.7500000000000002E-2</v>
      </c>
      <c r="CB137" s="230">
        <v>2682625</v>
      </c>
      <c r="CC137" s="230">
        <v>2680425</v>
      </c>
      <c r="CD137" s="230">
        <v>2200</v>
      </c>
      <c r="CE137" s="229">
        <v>8.0000000000000004E-4</v>
      </c>
      <c r="CF137" s="230">
        <v>93775</v>
      </c>
      <c r="CG137" s="230">
        <v>61600</v>
      </c>
      <c r="CH137" s="230">
        <v>32175</v>
      </c>
      <c r="CI137" s="229">
        <v>0.52229999999999999</v>
      </c>
      <c r="CJ137" s="230">
        <v>18700</v>
      </c>
      <c r="CK137" s="230">
        <v>4950</v>
      </c>
      <c r="CL137" s="230">
        <v>13750</v>
      </c>
      <c r="CM137" s="229">
        <v>2.7778</v>
      </c>
      <c r="CN137" s="230">
        <v>1714350</v>
      </c>
      <c r="CO137" s="230">
        <v>1317525</v>
      </c>
      <c r="CP137" s="230">
        <v>396825</v>
      </c>
      <c r="CQ137" s="229">
        <v>0.30120000000000002</v>
      </c>
      <c r="CR137" s="230">
        <v>1224575</v>
      </c>
      <c r="CS137" s="230">
        <v>905850</v>
      </c>
      <c r="CT137" s="230">
        <v>318725</v>
      </c>
      <c r="CU137" s="229">
        <v>0.35189999999999999</v>
      </c>
      <c r="CV137" s="230">
        <v>5734025</v>
      </c>
      <c r="CW137" s="230">
        <v>4970350</v>
      </c>
      <c r="CX137" s="230">
        <v>763675</v>
      </c>
      <c r="CY137" s="229">
        <v>0.15359999999999999</v>
      </c>
      <c r="CZ137" s="228">
        <v>26.66</v>
      </c>
      <c r="DA137" s="228">
        <v>24.95</v>
      </c>
      <c r="DB137" s="228">
        <v>1.71</v>
      </c>
      <c r="DC137" s="228">
        <v>1.71</v>
      </c>
      <c r="DD137" s="228">
        <v>36.479999999999997</v>
      </c>
      <c r="DE137" s="228">
        <v>36.49</v>
      </c>
      <c r="DF137" s="228">
        <v>-9.82</v>
      </c>
      <c r="DG137" s="228">
        <v>-0.01</v>
      </c>
      <c r="DH137" s="228">
        <v>26.16</v>
      </c>
      <c r="DI137" s="228">
        <v>24.35</v>
      </c>
      <c r="DJ137" s="228">
        <v>1.81</v>
      </c>
      <c r="DK137" s="228">
        <v>1.81</v>
      </c>
      <c r="DL137" s="228">
        <v>27.84</v>
      </c>
      <c r="DM137" s="228">
        <v>25.85</v>
      </c>
      <c r="DN137" s="228">
        <v>1.99</v>
      </c>
      <c r="DO137" s="228">
        <v>1.99</v>
      </c>
      <c r="DP137" s="228">
        <v>0.71</v>
      </c>
      <c r="DQ137" s="228">
        <v>0.69</v>
      </c>
      <c r="DR137" s="228">
        <v>0.02</v>
      </c>
      <c r="DS137" s="229">
        <v>2.9000000000000001E-2</v>
      </c>
      <c r="DT137" s="231">
        <v>3100</v>
      </c>
      <c r="DU137" s="231">
        <v>3100</v>
      </c>
      <c r="DV137" s="228">
        <v>0.43</v>
      </c>
      <c r="DW137" s="228">
        <v>0.68</v>
      </c>
      <c r="DX137" s="228">
        <v>-0.25</v>
      </c>
      <c r="DY137" s="229">
        <v>-0.36759999999999998</v>
      </c>
      <c r="DZ137" s="229">
        <v>4.02E-2</v>
      </c>
      <c r="EA137" s="230">
        <v>66550</v>
      </c>
      <c r="EB137" s="229">
        <v>6.9999999999999999E-4</v>
      </c>
      <c r="EC137" s="229">
        <v>4.02E-2</v>
      </c>
      <c r="ED137" s="228">
        <v>11.31</v>
      </c>
      <c r="EE137" s="229">
        <v>3.5000000000000001E-3</v>
      </c>
      <c r="EF137" s="230">
        <v>196948</v>
      </c>
      <c r="EG137" s="230">
        <v>303235</v>
      </c>
      <c r="EH137" s="229">
        <v>-0.35049999999999998</v>
      </c>
      <c r="EI137" s="229">
        <v>0.45760000000000001</v>
      </c>
      <c r="EJ137" s="231">
        <v>144112.14000000001</v>
      </c>
      <c r="EK137" s="231">
        <v>57749.65</v>
      </c>
      <c r="EL137" s="231">
        <v>26397.85</v>
      </c>
      <c r="EM137" s="231">
        <v>5289</v>
      </c>
      <c r="EN137" s="231">
        <v>228259.64</v>
      </c>
      <c r="EO137" s="231">
        <v>128838.87</v>
      </c>
      <c r="EP137" s="231">
        <v>99420.77</v>
      </c>
      <c r="EQ137" s="229">
        <v>0.77170000000000005</v>
      </c>
      <c r="ER137" s="231">
        <v>54149</v>
      </c>
      <c r="ES137" s="231">
        <v>36865</v>
      </c>
      <c r="ET137" s="231">
        <v>90343</v>
      </c>
      <c r="EU137" s="231">
        <v>16050690</v>
      </c>
      <c r="EV137" s="231">
        <v>181357</v>
      </c>
      <c r="EW137" s="231">
        <v>155174</v>
      </c>
      <c r="EX137" s="231">
        <v>26183</v>
      </c>
      <c r="EY137" s="229">
        <v>0.16869999999999999</v>
      </c>
      <c r="EZ137" s="229">
        <v>0.35720000000000002</v>
      </c>
      <c r="FA137" s="227" t="s">
        <v>555</v>
      </c>
      <c r="FB137" s="161">
        <f t="shared" si="2"/>
        <v>112475</v>
      </c>
    </row>
    <row r="138" spans="1:158" ht="17.25" hidden="1" thickBot="1" x14ac:dyDescent="0.3">
      <c r="A138" s="226">
        <v>45936</v>
      </c>
      <c r="B138" s="227" t="s">
        <v>227</v>
      </c>
      <c r="C138" s="227" t="s">
        <v>263</v>
      </c>
      <c r="D138" s="228">
        <v>3750</v>
      </c>
      <c r="E138" s="228">
        <v>218.16</v>
      </c>
      <c r="F138" s="228">
        <v>222.22</v>
      </c>
      <c r="G138" s="228">
        <v>-4.0599999999999996</v>
      </c>
      <c r="H138" s="229">
        <v>-1.83E-2</v>
      </c>
      <c r="I138" s="228">
        <v>217.15</v>
      </c>
      <c r="J138" s="228">
        <v>221.16</v>
      </c>
      <c r="K138" s="228">
        <v>-4.01</v>
      </c>
      <c r="L138" s="229">
        <v>-1.8100000000000002E-2</v>
      </c>
      <c r="M138" s="228">
        <v>218.16</v>
      </c>
      <c r="N138" s="228">
        <v>222.22</v>
      </c>
      <c r="O138" s="228">
        <v>-4.0599999999999996</v>
      </c>
      <c r="P138" s="229">
        <v>-1.83E-2</v>
      </c>
      <c r="Q138" s="228">
        <v>218.21</v>
      </c>
      <c r="R138" s="228">
        <v>222.38</v>
      </c>
      <c r="S138" s="228">
        <v>-4.17</v>
      </c>
      <c r="T138" s="229">
        <v>-1.8800000000000001E-2</v>
      </c>
      <c r="U138" s="228">
        <v>219.22</v>
      </c>
      <c r="V138" s="228">
        <v>223.43</v>
      </c>
      <c r="W138" s="228">
        <v>-4.21</v>
      </c>
      <c r="X138" s="229">
        <v>-1.8800000000000001E-2</v>
      </c>
      <c r="Y138" s="228">
        <v>1.01</v>
      </c>
      <c r="Z138" s="228">
        <v>1.06</v>
      </c>
      <c r="AA138" s="228">
        <v>-0.05</v>
      </c>
      <c r="AB138" s="229">
        <v>4.7000000000000002E-3</v>
      </c>
      <c r="AC138" s="228">
        <v>1.01</v>
      </c>
      <c r="AD138" s="228">
        <v>1.06</v>
      </c>
      <c r="AE138" s="228">
        <v>-0.05</v>
      </c>
      <c r="AF138" s="229">
        <v>4.7000000000000002E-3</v>
      </c>
      <c r="AG138" s="228">
        <v>1.06</v>
      </c>
      <c r="AH138" s="228">
        <v>1.22</v>
      </c>
      <c r="AI138" s="228">
        <v>-0.16</v>
      </c>
      <c r="AJ138" s="229">
        <v>4.8999999999999998E-3</v>
      </c>
      <c r="AK138" s="228">
        <v>2.0699999999999998</v>
      </c>
      <c r="AL138" s="228">
        <v>2.27</v>
      </c>
      <c r="AM138" s="228">
        <v>-0.2</v>
      </c>
      <c r="AN138" s="229">
        <v>9.4999999999999998E-3</v>
      </c>
      <c r="AO138" s="228">
        <v>219.75</v>
      </c>
      <c r="AP138" s="228">
        <v>219.25</v>
      </c>
      <c r="AQ138" s="228">
        <v>0</v>
      </c>
      <c r="AR138" s="230">
        <v>20306250</v>
      </c>
      <c r="AS138" s="230">
        <v>33596250</v>
      </c>
      <c r="AT138" s="230">
        <v>-13290000</v>
      </c>
      <c r="AU138" s="229">
        <v>-0.39560000000000001</v>
      </c>
      <c r="AV138" s="230">
        <v>18135000</v>
      </c>
      <c r="AW138" s="230">
        <v>31710000</v>
      </c>
      <c r="AX138" s="230">
        <v>-13575000</v>
      </c>
      <c r="AY138" s="229">
        <v>-0.42809999999999998</v>
      </c>
      <c r="AZ138" s="230">
        <v>2051250</v>
      </c>
      <c r="BA138" s="230">
        <v>1740000</v>
      </c>
      <c r="BB138" s="230">
        <v>311250</v>
      </c>
      <c r="BC138" s="229">
        <v>0.1789</v>
      </c>
      <c r="BD138" s="230">
        <v>120000</v>
      </c>
      <c r="BE138" s="230">
        <v>146250</v>
      </c>
      <c r="BF138" s="230">
        <v>-26250</v>
      </c>
      <c r="BG138" s="229">
        <v>-0.17949999999999999</v>
      </c>
      <c r="BH138" s="230">
        <v>53148750</v>
      </c>
      <c r="BI138" s="230">
        <v>124263750</v>
      </c>
      <c r="BJ138" s="230">
        <v>-71115000</v>
      </c>
      <c r="BK138" s="229">
        <v>-0.57230000000000003</v>
      </c>
      <c r="BL138" s="230">
        <v>23988750</v>
      </c>
      <c r="BM138" s="230">
        <v>54483750</v>
      </c>
      <c r="BN138" s="230">
        <v>-30495000</v>
      </c>
      <c r="BO138" s="229">
        <v>-0.55969999999999998</v>
      </c>
      <c r="BP138" s="230">
        <v>97443750</v>
      </c>
      <c r="BQ138" s="230">
        <v>212343750</v>
      </c>
      <c r="BR138" s="230">
        <v>-114900000</v>
      </c>
      <c r="BS138" s="229">
        <v>-0.54110000000000003</v>
      </c>
      <c r="BT138" s="230">
        <v>8152211</v>
      </c>
      <c r="BU138" s="230">
        <v>27000165</v>
      </c>
      <c r="BV138" s="230">
        <v>-18847954</v>
      </c>
      <c r="BW138" s="229">
        <v>-0.69810000000000005</v>
      </c>
      <c r="BX138" s="230">
        <v>82533750</v>
      </c>
      <c r="BY138" s="230">
        <v>80827500</v>
      </c>
      <c r="BZ138" s="230">
        <v>1706250</v>
      </c>
      <c r="CA138" s="229">
        <v>2.1100000000000001E-2</v>
      </c>
      <c r="CB138" s="230">
        <v>80175000</v>
      </c>
      <c r="CC138" s="230">
        <v>79080000</v>
      </c>
      <c r="CD138" s="230">
        <v>1095000</v>
      </c>
      <c r="CE138" s="229">
        <v>1.38E-2</v>
      </c>
      <c r="CF138" s="230">
        <v>2212500</v>
      </c>
      <c r="CG138" s="230">
        <v>1665000</v>
      </c>
      <c r="CH138" s="230">
        <v>547500</v>
      </c>
      <c r="CI138" s="229">
        <v>0.32879999999999998</v>
      </c>
      <c r="CJ138" s="230">
        <v>146250</v>
      </c>
      <c r="CK138" s="230">
        <v>82500</v>
      </c>
      <c r="CL138" s="230">
        <v>63750</v>
      </c>
      <c r="CM138" s="229">
        <v>0.77270000000000005</v>
      </c>
      <c r="CN138" s="230">
        <v>29208750</v>
      </c>
      <c r="CO138" s="230">
        <v>23838750</v>
      </c>
      <c r="CP138" s="230">
        <v>5370000</v>
      </c>
      <c r="CQ138" s="229">
        <v>0.2253</v>
      </c>
      <c r="CR138" s="230">
        <v>18843750</v>
      </c>
      <c r="CS138" s="230">
        <v>17917500</v>
      </c>
      <c r="CT138" s="230">
        <v>926250</v>
      </c>
      <c r="CU138" s="229">
        <v>5.1700000000000003E-2</v>
      </c>
      <c r="CV138" s="230">
        <v>130586250</v>
      </c>
      <c r="CW138" s="230">
        <v>122583750</v>
      </c>
      <c r="CX138" s="230">
        <v>8002500</v>
      </c>
      <c r="CY138" s="229">
        <v>6.5299999999999997E-2</v>
      </c>
      <c r="CZ138" s="228">
        <v>33.479999999999997</v>
      </c>
      <c r="DA138" s="228">
        <v>31.66</v>
      </c>
      <c r="DB138" s="228">
        <v>1.82</v>
      </c>
      <c r="DC138" s="228">
        <v>1.82</v>
      </c>
      <c r="DD138" s="228">
        <v>48.15</v>
      </c>
      <c r="DE138" s="228">
        <v>48.2</v>
      </c>
      <c r="DF138" s="228">
        <v>-14.67</v>
      </c>
      <c r="DG138" s="228">
        <v>-0.05</v>
      </c>
      <c r="DH138" s="228">
        <v>33.75</v>
      </c>
      <c r="DI138" s="228">
        <v>31.65</v>
      </c>
      <c r="DJ138" s="228">
        <v>2.1</v>
      </c>
      <c r="DK138" s="228">
        <v>2.1</v>
      </c>
      <c r="DL138" s="228">
        <v>32.9</v>
      </c>
      <c r="DM138" s="228">
        <v>31.68</v>
      </c>
      <c r="DN138" s="228">
        <v>1.22</v>
      </c>
      <c r="DO138" s="228">
        <v>1.22</v>
      </c>
      <c r="DP138" s="228">
        <v>0.65</v>
      </c>
      <c r="DQ138" s="228">
        <v>0.75</v>
      </c>
      <c r="DR138" s="228">
        <v>-0.1</v>
      </c>
      <c r="DS138" s="229">
        <v>-0.1333</v>
      </c>
      <c r="DT138" s="228">
        <v>220</v>
      </c>
      <c r="DU138" s="228">
        <v>220</v>
      </c>
      <c r="DV138" s="228">
        <v>0.45</v>
      </c>
      <c r="DW138" s="228">
        <v>0.44</v>
      </c>
      <c r="DX138" s="228">
        <v>0.01</v>
      </c>
      <c r="DY138" s="229">
        <v>2.2700000000000001E-2</v>
      </c>
      <c r="DZ138" s="229">
        <v>2.86E-2</v>
      </c>
      <c r="EA138" s="230">
        <v>1747500</v>
      </c>
      <c r="EB138" s="229">
        <v>2.0000000000000001E-4</v>
      </c>
      <c r="EC138" s="229">
        <v>2.86E-2</v>
      </c>
      <c r="ED138" s="228">
        <v>-0.5</v>
      </c>
      <c r="EE138" s="229">
        <v>-2.3E-3</v>
      </c>
      <c r="EF138" s="230">
        <v>3018857</v>
      </c>
      <c r="EG138" s="230">
        <v>8987469</v>
      </c>
      <c r="EH138" s="229">
        <v>-0.66410000000000002</v>
      </c>
      <c r="EI138" s="229">
        <v>0.37030000000000002</v>
      </c>
      <c r="EJ138" s="231">
        <v>123303.37</v>
      </c>
      <c r="EK138" s="231">
        <v>52946.06</v>
      </c>
      <c r="EL138" s="231">
        <v>44613.73</v>
      </c>
      <c r="EM138" s="231">
        <v>11011</v>
      </c>
      <c r="EN138" s="231">
        <v>220863.16</v>
      </c>
      <c r="EO138" s="231">
        <v>483239</v>
      </c>
      <c r="EP138" s="231">
        <v>-262375.84000000003</v>
      </c>
      <c r="EQ138" s="229">
        <v>-0.54300000000000004</v>
      </c>
      <c r="ER138" s="231">
        <v>65877</v>
      </c>
      <c r="ES138" s="231">
        <v>39541</v>
      </c>
      <c r="ET138" s="231">
        <v>180058</v>
      </c>
      <c r="EU138" s="231">
        <v>134225816</v>
      </c>
      <c r="EV138" s="231">
        <v>285477</v>
      </c>
      <c r="EW138" s="231">
        <v>270830</v>
      </c>
      <c r="EX138" s="231">
        <v>14647</v>
      </c>
      <c r="EY138" s="229">
        <v>5.4100000000000002E-2</v>
      </c>
      <c r="EZ138" s="229">
        <v>0.97289999999999999</v>
      </c>
      <c r="FA138" s="227" t="s">
        <v>567</v>
      </c>
      <c r="FB138" s="161">
        <f t="shared" si="2"/>
        <v>2358750</v>
      </c>
    </row>
    <row r="139" spans="1:158" ht="17.25" hidden="1" thickBot="1" x14ac:dyDescent="0.3">
      <c r="A139" s="226">
        <v>45936</v>
      </c>
      <c r="B139" s="227" t="s">
        <v>616</v>
      </c>
      <c r="C139" s="227" t="s">
        <v>264</v>
      </c>
      <c r="D139" s="228">
        <v>375</v>
      </c>
      <c r="E139" s="231">
        <v>1384.9</v>
      </c>
      <c r="F139" s="231">
        <v>1339.3</v>
      </c>
      <c r="G139" s="228">
        <v>45.6</v>
      </c>
      <c r="H139" s="229">
        <v>3.4000000000000002E-2</v>
      </c>
      <c r="I139" s="231">
        <v>1379.9</v>
      </c>
      <c r="J139" s="231">
        <v>1333.9</v>
      </c>
      <c r="K139" s="228">
        <v>46</v>
      </c>
      <c r="L139" s="229">
        <v>3.4500000000000003E-2</v>
      </c>
      <c r="M139" s="231">
        <v>1384.9</v>
      </c>
      <c r="N139" s="231">
        <v>1339.3</v>
      </c>
      <c r="O139" s="228">
        <v>45.6</v>
      </c>
      <c r="P139" s="229">
        <v>3.4000000000000002E-2</v>
      </c>
      <c r="Q139" s="231">
        <v>1389.6</v>
      </c>
      <c r="R139" s="231">
        <v>1344.2</v>
      </c>
      <c r="S139" s="228">
        <v>45.4</v>
      </c>
      <c r="T139" s="229">
        <v>3.3799999999999997E-2</v>
      </c>
      <c r="U139" s="231">
        <v>1392</v>
      </c>
      <c r="V139" s="231">
        <v>1345</v>
      </c>
      <c r="W139" s="228">
        <v>47</v>
      </c>
      <c r="X139" s="229">
        <v>3.49E-2</v>
      </c>
      <c r="Y139" s="228">
        <v>5</v>
      </c>
      <c r="Z139" s="228">
        <v>5.4</v>
      </c>
      <c r="AA139" s="228">
        <v>-0.4</v>
      </c>
      <c r="AB139" s="229">
        <v>3.5999999999999999E-3</v>
      </c>
      <c r="AC139" s="228">
        <v>5</v>
      </c>
      <c r="AD139" s="228">
        <v>5.4</v>
      </c>
      <c r="AE139" s="228">
        <v>-0.4</v>
      </c>
      <c r="AF139" s="229">
        <v>3.5999999999999999E-3</v>
      </c>
      <c r="AG139" s="228">
        <v>9.6999999999999993</v>
      </c>
      <c r="AH139" s="228">
        <v>10.3</v>
      </c>
      <c r="AI139" s="228">
        <v>-0.6</v>
      </c>
      <c r="AJ139" s="229">
        <v>7.0000000000000001E-3</v>
      </c>
      <c r="AK139" s="228">
        <v>12.1</v>
      </c>
      <c r="AL139" s="228">
        <v>11.1</v>
      </c>
      <c r="AM139" s="228">
        <v>1</v>
      </c>
      <c r="AN139" s="229">
        <v>8.8000000000000005E-3</v>
      </c>
      <c r="AO139" s="231">
        <v>1370.89</v>
      </c>
      <c r="AP139" s="231">
        <v>1370.8</v>
      </c>
      <c r="AQ139" s="228">
        <v>0</v>
      </c>
      <c r="AR139" s="230">
        <v>1132875</v>
      </c>
      <c r="AS139" s="230">
        <v>633375</v>
      </c>
      <c r="AT139" s="230">
        <v>499500</v>
      </c>
      <c r="AU139" s="229">
        <v>0.78859999999999997</v>
      </c>
      <c r="AV139" s="230">
        <v>1108875</v>
      </c>
      <c r="AW139" s="230">
        <v>620625</v>
      </c>
      <c r="AX139" s="230">
        <v>488250</v>
      </c>
      <c r="AY139" s="229">
        <v>0.78669999999999995</v>
      </c>
      <c r="AZ139" s="230">
        <v>22125</v>
      </c>
      <c r="BA139" s="230">
        <v>12000</v>
      </c>
      <c r="BB139" s="230">
        <v>10125</v>
      </c>
      <c r="BC139" s="229">
        <v>0.84379999999999999</v>
      </c>
      <c r="BD139" s="230">
        <v>1875</v>
      </c>
      <c r="BE139" s="228">
        <v>750</v>
      </c>
      <c r="BF139" s="230">
        <v>1125</v>
      </c>
      <c r="BG139" s="229">
        <v>1.5</v>
      </c>
      <c r="BH139" s="230">
        <v>3626250</v>
      </c>
      <c r="BI139" s="230">
        <v>756000</v>
      </c>
      <c r="BJ139" s="230">
        <v>2870250</v>
      </c>
      <c r="BK139" s="229">
        <v>3.7966000000000002</v>
      </c>
      <c r="BL139" s="230">
        <v>1469625</v>
      </c>
      <c r="BM139" s="230">
        <v>405000</v>
      </c>
      <c r="BN139" s="230">
        <v>1064625</v>
      </c>
      <c r="BO139" s="229">
        <v>2.6286999999999998</v>
      </c>
      <c r="BP139" s="230">
        <v>6228750</v>
      </c>
      <c r="BQ139" s="230">
        <v>1794375</v>
      </c>
      <c r="BR139" s="230">
        <v>4434375</v>
      </c>
      <c r="BS139" s="229">
        <v>2.4712999999999998</v>
      </c>
      <c r="BT139" s="230">
        <v>922147</v>
      </c>
      <c r="BU139" s="230">
        <v>795502</v>
      </c>
      <c r="BV139" s="230">
        <v>126645</v>
      </c>
      <c r="BW139" s="229">
        <v>0.15920000000000001</v>
      </c>
      <c r="BX139" s="230">
        <v>10120500</v>
      </c>
      <c r="BY139" s="230">
        <v>10287375</v>
      </c>
      <c r="BZ139" s="230">
        <v>-166875</v>
      </c>
      <c r="CA139" s="229">
        <v>-1.6199999999999999E-2</v>
      </c>
      <c r="CB139" s="230">
        <v>10049250</v>
      </c>
      <c r="CC139" s="230">
        <v>10217250</v>
      </c>
      <c r="CD139" s="230">
        <v>-168000</v>
      </c>
      <c r="CE139" s="229">
        <v>-1.6400000000000001E-2</v>
      </c>
      <c r="CF139" s="230">
        <v>68625</v>
      </c>
      <c r="CG139" s="230">
        <v>69000</v>
      </c>
      <c r="CH139" s="228">
        <v>-375</v>
      </c>
      <c r="CI139" s="229">
        <v>-5.4000000000000003E-3</v>
      </c>
      <c r="CJ139" s="230">
        <v>2625</v>
      </c>
      <c r="CK139" s="230">
        <v>1125</v>
      </c>
      <c r="CL139" s="230">
        <v>1500</v>
      </c>
      <c r="CM139" s="229">
        <v>1.3332999999999999</v>
      </c>
      <c r="CN139" s="230">
        <v>1215750</v>
      </c>
      <c r="CO139" s="230">
        <v>1145625</v>
      </c>
      <c r="CP139" s="230">
        <v>70125</v>
      </c>
      <c r="CQ139" s="229">
        <v>6.1199999999999997E-2</v>
      </c>
      <c r="CR139" s="230">
        <v>953250</v>
      </c>
      <c r="CS139" s="230">
        <v>800250</v>
      </c>
      <c r="CT139" s="230">
        <v>153000</v>
      </c>
      <c r="CU139" s="229">
        <v>0.19120000000000001</v>
      </c>
      <c r="CV139" s="230">
        <v>12289500</v>
      </c>
      <c r="CW139" s="230">
        <v>12233250</v>
      </c>
      <c r="CX139" s="230">
        <v>56250</v>
      </c>
      <c r="CY139" s="229">
        <v>4.5999999999999999E-3</v>
      </c>
      <c r="CZ139" s="228">
        <v>27.84</v>
      </c>
      <c r="DA139" s="228">
        <v>28.45</v>
      </c>
      <c r="DB139" s="228">
        <v>-0.61</v>
      </c>
      <c r="DC139" s="228">
        <v>-0.61</v>
      </c>
      <c r="DD139" s="228">
        <v>38.69</v>
      </c>
      <c r="DE139" s="228">
        <v>38.520000000000003</v>
      </c>
      <c r="DF139" s="228">
        <v>-10.85</v>
      </c>
      <c r="DG139" s="228">
        <v>0.17</v>
      </c>
      <c r="DH139" s="228">
        <v>27.64</v>
      </c>
      <c r="DI139" s="228">
        <v>28.76</v>
      </c>
      <c r="DJ139" s="228">
        <v>-1.1200000000000001</v>
      </c>
      <c r="DK139" s="228">
        <v>-1.1200000000000001</v>
      </c>
      <c r="DL139" s="228">
        <v>28.32</v>
      </c>
      <c r="DM139" s="228">
        <v>27.87</v>
      </c>
      <c r="DN139" s="228">
        <v>0.45</v>
      </c>
      <c r="DO139" s="228">
        <v>0.45</v>
      </c>
      <c r="DP139" s="228">
        <v>0.78</v>
      </c>
      <c r="DQ139" s="228">
        <v>0.7</v>
      </c>
      <c r="DR139" s="228">
        <v>0.08</v>
      </c>
      <c r="DS139" s="229">
        <v>0.1143</v>
      </c>
      <c r="DT139" s="231">
        <v>1400</v>
      </c>
      <c r="DU139" s="231">
        <v>1300</v>
      </c>
      <c r="DV139" s="228">
        <v>0.41</v>
      </c>
      <c r="DW139" s="228">
        <v>0.54</v>
      </c>
      <c r="DX139" s="228">
        <v>-0.13</v>
      </c>
      <c r="DY139" s="229">
        <v>-0.2407</v>
      </c>
      <c r="DZ139" s="229">
        <v>7.0000000000000001E-3</v>
      </c>
      <c r="EA139" s="230">
        <v>70125</v>
      </c>
      <c r="EB139" s="229">
        <v>3.3999999999999998E-3</v>
      </c>
      <c r="EC139" s="229">
        <v>7.0000000000000001E-3</v>
      </c>
      <c r="ED139" s="228">
        <v>-0.09</v>
      </c>
      <c r="EE139" s="229">
        <v>-1E-4</v>
      </c>
      <c r="EF139" s="230">
        <v>460756</v>
      </c>
      <c r="EG139" s="230">
        <v>552239</v>
      </c>
      <c r="EH139" s="229">
        <v>-0.16569999999999999</v>
      </c>
      <c r="EI139" s="229">
        <v>0.49969999999999998</v>
      </c>
      <c r="EJ139" s="231">
        <v>51874.79</v>
      </c>
      <c r="EK139" s="231">
        <v>19580.82</v>
      </c>
      <c r="EL139" s="231">
        <v>15530.75</v>
      </c>
      <c r="EM139" s="231">
        <v>6814</v>
      </c>
      <c r="EN139" s="231">
        <v>86986.36</v>
      </c>
      <c r="EO139" s="231">
        <v>24671.56</v>
      </c>
      <c r="EP139" s="231">
        <v>62314.8</v>
      </c>
      <c r="EQ139" s="229">
        <v>2.5257999999999998</v>
      </c>
      <c r="ER139" s="231">
        <v>17354</v>
      </c>
      <c r="ES139" s="231">
        <v>12628</v>
      </c>
      <c r="ET139" s="231">
        <v>140162</v>
      </c>
      <c r="EU139" s="231">
        <v>60530911</v>
      </c>
      <c r="EV139" s="231">
        <v>170144</v>
      </c>
      <c r="EW139" s="231">
        <v>164601</v>
      </c>
      <c r="EX139" s="231">
        <v>5543</v>
      </c>
      <c r="EY139" s="229">
        <v>3.3700000000000001E-2</v>
      </c>
      <c r="EZ139" s="229">
        <v>0.20300000000000001</v>
      </c>
      <c r="FA139" s="227" t="s">
        <v>556</v>
      </c>
      <c r="FB139" s="161">
        <f>BX139-CB139</f>
        <v>71250</v>
      </c>
    </row>
    <row r="140" spans="1:158" ht="17.25" hidden="1" thickBot="1" x14ac:dyDescent="0.3">
      <c r="A140" s="226">
        <v>45936</v>
      </c>
      <c r="B140" s="227" t="s">
        <v>206</v>
      </c>
      <c r="C140" s="227" t="s">
        <v>550</v>
      </c>
      <c r="D140" s="228">
        <v>6500</v>
      </c>
      <c r="E140" s="228">
        <v>111.97</v>
      </c>
      <c r="F140" s="228">
        <v>113.62</v>
      </c>
      <c r="G140" s="228">
        <v>-1.65</v>
      </c>
      <c r="H140" s="229">
        <v>-1.4500000000000001E-2</v>
      </c>
      <c r="I140" s="228">
        <v>111.34</v>
      </c>
      <c r="J140" s="228">
        <v>113.12</v>
      </c>
      <c r="K140" s="228">
        <v>-1.78</v>
      </c>
      <c r="L140" s="229">
        <v>-1.5699999999999999E-2</v>
      </c>
      <c r="M140" s="228">
        <v>111.97</v>
      </c>
      <c r="N140" s="228">
        <v>113.62</v>
      </c>
      <c r="O140" s="228">
        <v>-1.65</v>
      </c>
      <c r="P140" s="229">
        <v>-1.4500000000000001E-2</v>
      </c>
      <c r="Q140" s="228">
        <v>112.58</v>
      </c>
      <c r="R140" s="228">
        <v>114.23</v>
      </c>
      <c r="S140" s="228">
        <v>-1.65</v>
      </c>
      <c r="T140" s="229">
        <v>-1.44E-2</v>
      </c>
      <c r="U140" s="228">
        <v>113.37</v>
      </c>
      <c r="V140" s="228">
        <v>114</v>
      </c>
      <c r="W140" s="228">
        <v>-0.63</v>
      </c>
      <c r="X140" s="229">
        <v>-5.4999999999999997E-3</v>
      </c>
      <c r="Y140" s="228">
        <v>0.63</v>
      </c>
      <c r="Z140" s="228">
        <v>0.5</v>
      </c>
      <c r="AA140" s="228">
        <v>0.13</v>
      </c>
      <c r="AB140" s="229">
        <v>5.7000000000000002E-3</v>
      </c>
      <c r="AC140" s="228">
        <v>0.63</v>
      </c>
      <c r="AD140" s="228">
        <v>0.5</v>
      </c>
      <c r="AE140" s="228">
        <v>0.13</v>
      </c>
      <c r="AF140" s="229">
        <v>5.7000000000000002E-3</v>
      </c>
      <c r="AG140" s="228">
        <v>1.24</v>
      </c>
      <c r="AH140" s="228">
        <v>1.1100000000000001</v>
      </c>
      <c r="AI140" s="228">
        <v>0.13</v>
      </c>
      <c r="AJ140" s="229">
        <v>1.11E-2</v>
      </c>
      <c r="AK140" s="228">
        <v>2.0299999999999998</v>
      </c>
      <c r="AL140" s="228">
        <v>0.88</v>
      </c>
      <c r="AM140" s="228">
        <v>1.1499999999999999</v>
      </c>
      <c r="AN140" s="229">
        <v>1.8200000000000001E-2</v>
      </c>
      <c r="AO140" s="228">
        <v>112.28</v>
      </c>
      <c r="AP140" s="228">
        <v>112.91</v>
      </c>
      <c r="AQ140" s="228">
        <v>0</v>
      </c>
      <c r="AR140" s="230">
        <v>10465000</v>
      </c>
      <c r="AS140" s="230">
        <v>15522000</v>
      </c>
      <c r="AT140" s="230">
        <v>-5057000</v>
      </c>
      <c r="AU140" s="229">
        <v>-0.32579999999999998</v>
      </c>
      <c r="AV140" s="230">
        <v>9717500</v>
      </c>
      <c r="AW140" s="230">
        <v>14586000</v>
      </c>
      <c r="AX140" s="230">
        <v>-4868500</v>
      </c>
      <c r="AY140" s="229">
        <v>-0.33379999999999999</v>
      </c>
      <c r="AZ140" s="230">
        <v>676000</v>
      </c>
      <c r="BA140" s="230">
        <v>903500</v>
      </c>
      <c r="BB140" s="230">
        <v>-227500</v>
      </c>
      <c r="BC140" s="229">
        <v>-0.25180000000000002</v>
      </c>
      <c r="BD140" s="230">
        <v>71500</v>
      </c>
      <c r="BE140" s="230">
        <v>32500</v>
      </c>
      <c r="BF140" s="230">
        <v>39000</v>
      </c>
      <c r="BG140" s="229">
        <v>1.2</v>
      </c>
      <c r="BH140" s="230">
        <v>19383000</v>
      </c>
      <c r="BI140" s="230">
        <v>32604000</v>
      </c>
      <c r="BJ140" s="230">
        <v>-13221000</v>
      </c>
      <c r="BK140" s="229">
        <v>-0.40550000000000003</v>
      </c>
      <c r="BL140" s="230">
        <v>6337500</v>
      </c>
      <c r="BM140" s="230">
        <v>10088000</v>
      </c>
      <c r="BN140" s="230">
        <v>-3750500</v>
      </c>
      <c r="BO140" s="229">
        <v>-0.37180000000000002</v>
      </c>
      <c r="BP140" s="230">
        <v>36185500</v>
      </c>
      <c r="BQ140" s="230">
        <v>58214000</v>
      </c>
      <c r="BR140" s="230">
        <v>-22028500</v>
      </c>
      <c r="BS140" s="229">
        <v>-0.37840000000000001</v>
      </c>
      <c r="BT140" s="230">
        <v>6706061</v>
      </c>
      <c r="BU140" s="230">
        <v>12489073</v>
      </c>
      <c r="BV140" s="230">
        <v>-5783012</v>
      </c>
      <c r="BW140" s="229">
        <v>-0.46300000000000002</v>
      </c>
      <c r="BX140" s="230">
        <v>61087000</v>
      </c>
      <c r="BY140" s="230">
        <v>59117500</v>
      </c>
      <c r="BZ140" s="230">
        <v>1969500</v>
      </c>
      <c r="CA140" s="229">
        <v>3.3300000000000003E-2</v>
      </c>
      <c r="CB140" s="230">
        <v>59442500</v>
      </c>
      <c r="CC140" s="230">
        <v>57817500</v>
      </c>
      <c r="CD140" s="230">
        <v>1625000</v>
      </c>
      <c r="CE140" s="229">
        <v>2.81E-2</v>
      </c>
      <c r="CF140" s="230">
        <v>1560000</v>
      </c>
      <c r="CG140" s="230">
        <v>1274000</v>
      </c>
      <c r="CH140" s="230">
        <v>286000</v>
      </c>
      <c r="CI140" s="229">
        <v>0.22450000000000001</v>
      </c>
      <c r="CJ140" s="230">
        <v>84500</v>
      </c>
      <c r="CK140" s="230">
        <v>26000</v>
      </c>
      <c r="CL140" s="230">
        <v>58500</v>
      </c>
      <c r="CM140" s="229">
        <v>2.25</v>
      </c>
      <c r="CN140" s="230">
        <v>21606000</v>
      </c>
      <c r="CO140" s="230">
        <v>17498000</v>
      </c>
      <c r="CP140" s="230">
        <v>4108000</v>
      </c>
      <c r="CQ140" s="229">
        <v>0.23480000000000001</v>
      </c>
      <c r="CR140" s="230">
        <v>10614500</v>
      </c>
      <c r="CS140" s="230">
        <v>10354500</v>
      </c>
      <c r="CT140" s="230">
        <v>260000</v>
      </c>
      <c r="CU140" s="229">
        <v>2.5100000000000001E-2</v>
      </c>
      <c r="CV140" s="230">
        <v>93307500</v>
      </c>
      <c r="CW140" s="230">
        <v>86970000</v>
      </c>
      <c r="CX140" s="230">
        <v>6337500</v>
      </c>
      <c r="CY140" s="229">
        <v>7.2900000000000006E-2</v>
      </c>
      <c r="CZ140" s="228">
        <v>35.630000000000003</v>
      </c>
      <c r="DA140" s="228">
        <v>33.68</v>
      </c>
      <c r="DB140" s="228">
        <v>1.95</v>
      </c>
      <c r="DC140" s="228">
        <v>1.95</v>
      </c>
      <c r="DD140" s="228">
        <v>53.34</v>
      </c>
      <c r="DE140" s="228">
        <v>53.43</v>
      </c>
      <c r="DF140" s="228">
        <v>-17.71</v>
      </c>
      <c r="DG140" s="228">
        <v>-0.09</v>
      </c>
      <c r="DH140" s="228">
        <v>35.65</v>
      </c>
      <c r="DI140" s="228">
        <v>33.6</v>
      </c>
      <c r="DJ140" s="228">
        <v>2.0499999999999998</v>
      </c>
      <c r="DK140" s="228">
        <v>2.0499999999999998</v>
      </c>
      <c r="DL140" s="228">
        <v>35.549999999999997</v>
      </c>
      <c r="DM140" s="228">
        <v>33.96</v>
      </c>
      <c r="DN140" s="228">
        <v>1.59</v>
      </c>
      <c r="DO140" s="228">
        <v>1.59</v>
      </c>
      <c r="DP140" s="228">
        <v>0.49</v>
      </c>
      <c r="DQ140" s="228">
        <v>0.59</v>
      </c>
      <c r="DR140" s="228">
        <v>-0.1</v>
      </c>
      <c r="DS140" s="229">
        <v>-0.16950000000000001</v>
      </c>
      <c r="DT140" s="228">
        <v>115</v>
      </c>
      <c r="DU140" s="228">
        <v>110</v>
      </c>
      <c r="DV140" s="228">
        <v>0.33</v>
      </c>
      <c r="DW140" s="228">
        <v>0.31</v>
      </c>
      <c r="DX140" s="228">
        <v>0.02</v>
      </c>
      <c r="DY140" s="229">
        <v>6.4500000000000002E-2</v>
      </c>
      <c r="DZ140" s="229">
        <v>2.69E-2</v>
      </c>
      <c r="EA140" s="230">
        <v>1300000</v>
      </c>
      <c r="EB140" s="229">
        <v>5.4000000000000003E-3</v>
      </c>
      <c r="EC140" s="229">
        <v>2.69E-2</v>
      </c>
      <c r="ED140" s="228">
        <v>0.63</v>
      </c>
      <c r="EE140" s="229">
        <v>5.5999999999999999E-3</v>
      </c>
      <c r="EF140" s="230">
        <v>2357443</v>
      </c>
      <c r="EG140" s="230">
        <v>4703469</v>
      </c>
      <c r="EH140" s="229">
        <v>-0.49880000000000002</v>
      </c>
      <c r="EI140" s="229">
        <v>0.35149999999999998</v>
      </c>
      <c r="EJ140" s="231">
        <v>23148.85</v>
      </c>
      <c r="EK140" s="231">
        <v>6989.73</v>
      </c>
      <c r="EL140" s="231">
        <v>11755.28</v>
      </c>
      <c r="EM140" s="231">
        <v>3800</v>
      </c>
      <c r="EN140" s="231">
        <v>41893.86</v>
      </c>
      <c r="EO140" s="231">
        <v>67237.06</v>
      </c>
      <c r="EP140" s="231">
        <v>-25343.200000000001</v>
      </c>
      <c r="EQ140" s="229">
        <v>-0.37690000000000001</v>
      </c>
      <c r="ER140" s="231">
        <v>25062</v>
      </c>
      <c r="ES140" s="231">
        <v>11309</v>
      </c>
      <c r="ET140" s="231">
        <v>68410</v>
      </c>
      <c r="EU140" s="231">
        <v>154894704</v>
      </c>
      <c r="EV140" s="231">
        <v>104781</v>
      </c>
      <c r="EW140" s="231">
        <v>98428</v>
      </c>
      <c r="EX140" s="231">
        <v>6353</v>
      </c>
      <c r="EY140" s="229">
        <v>6.4500000000000002E-2</v>
      </c>
      <c r="EZ140" s="229">
        <v>0.60240000000000005</v>
      </c>
      <c r="FA140" s="227" t="s">
        <v>567</v>
      </c>
      <c r="FB140" s="161">
        <f>BX140-CB140</f>
        <v>1644500</v>
      </c>
    </row>
    <row r="141" spans="1:158" ht="17.25" hidden="1" thickBot="1" x14ac:dyDescent="0.3">
      <c r="A141" s="226">
        <v>45936</v>
      </c>
      <c r="B141" s="227" t="s">
        <v>215</v>
      </c>
      <c r="C141" s="227" t="s">
        <v>592</v>
      </c>
      <c r="D141" s="228">
        <v>2700</v>
      </c>
      <c r="E141" s="228">
        <v>211.46</v>
      </c>
      <c r="F141" s="228">
        <v>211.73</v>
      </c>
      <c r="G141" s="228">
        <v>-0.27</v>
      </c>
      <c r="H141" s="229">
        <v>-1.2999999999999999E-3</v>
      </c>
      <c r="I141" s="228">
        <v>210.42</v>
      </c>
      <c r="J141" s="228">
        <v>210.38</v>
      </c>
      <c r="K141" s="228">
        <v>0.04</v>
      </c>
      <c r="L141" s="229">
        <v>2.0000000000000001E-4</v>
      </c>
      <c r="M141" s="228">
        <v>211.46</v>
      </c>
      <c r="N141" s="228">
        <v>211.73</v>
      </c>
      <c r="O141" s="228">
        <v>-0.27</v>
      </c>
      <c r="P141" s="229">
        <v>-1.2999999999999999E-3</v>
      </c>
      <c r="Q141" s="228">
        <v>212.78</v>
      </c>
      <c r="R141" s="228">
        <v>212.82</v>
      </c>
      <c r="S141" s="228">
        <v>-0.04</v>
      </c>
      <c r="T141" s="229">
        <v>-2.0000000000000001E-4</v>
      </c>
      <c r="U141" s="228">
        <v>213.8</v>
      </c>
      <c r="V141" s="228">
        <v>213.76</v>
      </c>
      <c r="W141" s="228">
        <v>0.04</v>
      </c>
      <c r="X141" s="229">
        <v>2.0000000000000001E-4</v>
      </c>
      <c r="Y141" s="228">
        <v>1.04</v>
      </c>
      <c r="Z141" s="228">
        <v>1.35</v>
      </c>
      <c r="AA141" s="228">
        <v>-0.31</v>
      </c>
      <c r="AB141" s="229">
        <v>4.8999999999999998E-3</v>
      </c>
      <c r="AC141" s="228">
        <v>1.04</v>
      </c>
      <c r="AD141" s="228">
        <v>1.35</v>
      </c>
      <c r="AE141" s="228">
        <v>-0.31</v>
      </c>
      <c r="AF141" s="229">
        <v>4.8999999999999998E-3</v>
      </c>
      <c r="AG141" s="228">
        <v>2.36</v>
      </c>
      <c r="AH141" s="228">
        <v>2.44</v>
      </c>
      <c r="AI141" s="228">
        <v>-0.08</v>
      </c>
      <c r="AJ141" s="229">
        <v>1.12E-2</v>
      </c>
      <c r="AK141" s="228">
        <v>3.38</v>
      </c>
      <c r="AL141" s="228">
        <v>3.38</v>
      </c>
      <c r="AM141" s="228">
        <v>0</v>
      </c>
      <c r="AN141" s="229">
        <v>1.61E-2</v>
      </c>
      <c r="AO141" s="228">
        <v>211.02</v>
      </c>
      <c r="AP141" s="228">
        <v>212.15</v>
      </c>
      <c r="AQ141" s="228">
        <v>0</v>
      </c>
      <c r="AR141" s="230">
        <v>1584900</v>
      </c>
      <c r="AS141" s="230">
        <v>1925100</v>
      </c>
      <c r="AT141" s="230">
        <v>-340200</v>
      </c>
      <c r="AU141" s="229">
        <v>-0.1767</v>
      </c>
      <c r="AV141" s="230">
        <v>1525500</v>
      </c>
      <c r="AW141" s="230">
        <v>1768500</v>
      </c>
      <c r="AX141" s="230">
        <v>-243000</v>
      </c>
      <c r="AY141" s="229">
        <v>-0.13739999999999999</v>
      </c>
      <c r="AZ141" s="230">
        <v>54000</v>
      </c>
      <c r="BA141" s="230">
        <v>151200</v>
      </c>
      <c r="BB141" s="230">
        <v>-97200</v>
      </c>
      <c r="BC141" s="229">
        <v>-0.64290000000000003</v>
      </c>
      <c r="BD141" s="230">
        <v>5400</v>
      </c>
      <c r="BE141" s="230">
        <v>5400</v>
      </c>
      <c r="BF141" s="228">
        <v>0</v>
      </c>
      <c r="BG141" s="229">
        <v>0</v>
      </c>
      <c r="BH141" s="230">
        <v>1846800</v>
      </c>
      <c r="BI141" s="230">
        <v>1468800</v>
      </c>
      <c r="BJ141" s="230">
        <v>378000</v>
      </c>
      <c r="BK141" s="229">
        <v>0.25740000000000002</v>
      </c>
      <c r="BL141" s="230">
        <v>766800</v>
      </c>
      <c r="BM141" s="230">
        <v>753300</v>
      </c>
      <c r="BN141" s="230">
        <v>13500</v>
      </c>
      <c r="BO141" s="229">
        <v>1.7899999999999999E-2</v>
      </c>
      <c r="BP141" s="230">
        <v>4198500</v>
      </c>
      <c r="BQ141" s="230">
        <v>4147200</v>
      </c>
      <c r="BR141" s="230">
        <v>51300</v>
      </c>
      <c r="BS141" s="229">
        <v>1.24E-2</v>
      </c>
      <c r="BT141" s="230">
        <v>1230605</v>
      </c>
      <c r="BU141" s="230">
        <v>1200927</v>
      </c>
      <c r="BV141" s="230">
        <v>29678</v>
      </c>
      <c r="BW141" s="229">
        <v>2.47E-2</v>
      </c>
      <c r="BX141" s="230">
        <v>17617500</v>
      </c>
      <c r="BY141" s="230">
        <v>17865900</v>
      </c>
      <c r="BZ141" s="230">
        <v>-248400</v>
      </c>
      <c r="CA141" s="229">
        <v>-1.3899999999999999E-2</v>
      </c>
      <c r="CB141" s="230">
        <v>16980300</v>
      </c>
      <c r="CC141" s="230">
        <v>17231400</v>
      </c>
      <c r="CD141" s="230">
        <v>-251100</v>
      </c>
      <c r="CE141" s="229">
        <v>-1.46E-2</v>
      </c>
      <c r="CF141" s="230">
        <v>623700</v>
      </c>
      <c r="CG141" s="230">
        <v>623700</v>
      </c>
      <c r="CH141" s="228">
        <v>0</v>
      </c>
      <c r="CI141" s="229">
        <v>0</v>
      </c>
      <c r="CJ141" s="230">
        <v>13500</v>
      </c>
      <c r="CK141" s="230">
        <v>10800</v>
      </c>
      <c r="CL141" s="230">
        <v>2700</v>
      </c>
      <c r="CM141" s="229">
        <v>0.25</v>
      </c>
      <c r="CN141" s="230">
        <v>4549500</v>
      </c>
      <c r="CO141" s="230">
        <v>4136400</v>
      </c>
      <c r="CP141" s="230">
        <v>413100</v>
      </c>
      <c r="CQ141" s="229">
        <v>9.9900000000000003E-2</v>
      </c>
      <c r="CR141" s="230">
        <v>3088800</v>
      </c>
      <c r="CS141" s="230">
        <v>2943000</v>
      </c>
      <c r="CT141" s="230">
        <v>145800</v>
      </c>
      <c r="CU141" s="229">
        <v>4.9500000000000002E-2</v>
      </c>
      <c r="CV141" s="230">
        <v>25255800</v>
      </c>
      <c r="CW141" s="230">
        <v>24945300</v>
      </c>
      <c r="CX141" s="230">
        <v>310500</v>
      </c>
      <c r="CY141" s="229">
        <v>1.24E-2</v>
      </c>
      <c r="CZ141" s="228">
        <v>29.72</v>
      </c>
      <c r="DA141" s="228">
        <v>29.2</v>
      </c>
      <c r="DB141" s="228">
        <v>0.52</v>
      </c>
      <c r="DC141" s="228">
        <v>0.52</v>
      </c>
      <c r="DD141" s="228">
        <v>47.67</v>
      </c>
      <c r="DE141" s="228">
        <v>47.79</v>
      </c>
      <c r="DF141" s="228">
        <v>-17.95</v>
      </c>
      <c r="DG141" s="228">
        <v>-0.12</v>
      </c>
      <c r="DH141" s="228">
        <v>29.75</v>
      </c>
      <c r="DI141" s="228">
        <v>29.21</v>
      </c>
      <c r="DJ141" s="228">
        <v>0.54</v>
      </c>
      <c r="DK141" s="228">
        <v>0.54</v>
      </c>
      <c r="DL141" s="228">
        <v>29.65</v>
      </c>
      <c r="DM141" s="228">
        <v>29.18</v>
      </c>
      <c r="DN141" s="228">
        <v>0.47</v>
      </c>
      <c r="DO141" s="228">
        <v>0.47</v>
      </c>
      <c r="DP141" s="228">
        <v>0.68</v>
      </c>
      <c r="DQ141" s="228">
        <v>0.71</v>
      </c>
      <c r="DR141" s="228">
        <v>-0.03</v>
      </c>
      <c r="DS141" s="229">
        <v>-4.2299999999999997E-2</v>
      </c>
      <c r="DT141" s="228">
        <v>210</v>
      </c>
      <c r="DU141" s="228">
        <v>210</v>
      </c>
      <c r="DV141" s="228">
        <v>0.42</v>
      </c>
      <c r="DW141" s="228">
        <v>0.51</v>
      </c>
      <c r="DX141" s="228">
        <v>-0.09</v>
      </c>
      <c r="DY141" s="229">
        <v>-0.17649999999999999</v>
      </c>
      <c r="DZ141" s="229">
        <v>3.6200000000000003E-2</v>
      </c>
      <c r="EA141" s="230">
        <v>634500</v>
      </c>
      <c r="EB141" s="229">
        <v>6.1999999999999998E-3</v>
      </c>
      <c r="EC141" s="229">
        <v>3.6200000000000003E-2</v>
      </c>
      <c r="ED141" s="228">
        <v>1.1299999999999999</v>
      </c>
      <c r="EE141" s="229">
        <v>5.4000000000000003E-3</v>
      </c>
      <c r="EF141" s="230">
        <v>563052</v>
      </c>
      <c r="EG141" s="230">
        <v>531300</v>
      </c>
      <c r="EH141" s="229">
        <v>5.9799999999999999E-2</v>
      </c>
      <c r="EI141" s="229">
        <v>0.45750000000000002</v>
      </c>
      <c r="EJ141" s="231">
        <v>4076.05</v>
      </c>
      <c r="EK141" s="231">
        <v>1642.73</v>
      </c>
      <c r="EL141" s="231">
        <v>3345.2</v>
      </c>
      <c r="EM141" s="231">
        <v>2993</v>
      </c>
      <c r="EN141" s="231">
        <v>9063.98</v>
      </c>
      <c r="EO141" s="231">
        <v>8899.43</v>
      </c>
      <c r="EP141" s="228">
        <v>164.55</v>
      </c>
      <c r="EQ141" s="229">
        <v>1.8499999999999999E-2</v>
      </c>
      <c r="ER141" s="231">
        <v>9883</v>
      </c>
      <c r="ES141" s="231">
        <v>6437</v>
      </c>
      <c r="ET141" s="231">
        <v>37263</v>
      </c>
      <c r="EU141" s="231">
        <v>72342848</v>
      </c>
      <c r="EV141" s="231">
        <v>53583</v>
      </c>
      <c r="EW141" s="231">
        <v>52933</v>
      </c>
      <c r="EX141" s="228">
        <v>650</v>
      </c>
      <c r="EY141" s="229">
        <v>1.23E-2</v>
      </c>
      <c r="EZ141" s="229">
        <v>0.34910000000000002</v>
      </c>
      <c r="FA141" s="227" t="s">
        <v>568</v>
      </c>
      <c r="FB141" s="161">
        <f>BX216-CB216</f>
        <v>121500</v>
      </c>
    </row>
    <row r="142" spans="1:158" ht="17.25" hidden="1" thickBot="1" x14ac:dyDescent="0.3">
      <c r="A142" s="226">
        <v>45936</v>
      </c>
      <c r="B142" s="227" t="s">
        <v>168</v>
      </c>
      <c r="C142" s="227" t="s">
        <v>265</v>
      </c>
      <c r="D142" s="228">
        <v>500</v>
      </c>
      <c r="E142" s="231">
        <v>1185.4000000000001</v>
      </c>
      <c r="F142" s="231">
        <v>1174.2</v>
      </c>
      <c r="G142" s="228">
        <v>11.2</v>
      </c>
      <c r="H142" s="229">
        <v>9.4999999999999998E-3</v>
      </c>
      <c r="I142" s="231">
        <v>1181.7</v>
      </c>
      <c r="J142" s="231">
        <v>1169.9000000000001</v>
      </c>
      <c r="K142" s="228">
        <v>11.8</v>
      </c>
      <c r="L142" s="229">
        <v>1.01E-2</v>
      </c>
      <c r="M142" s="231">
        <v>1185.4000000000001</v>
      </c>
      <c r="N142" s="231">
        <v>1174.2</v>
      </c>
      <c r="O142" s="228">
        <v>11.2</v>
      </c>
      <c r="P142" s="229">
        <v>9.4999999999999998E-3</v>
      </c>
      <c r="Q142" s="231">
        <v>1191.4000000000001</v>
      </c>
      <c r="R142" s="231">
        <v>1179.5999999999999</v>
      </c>
      <c r="S142" s="228">
        <v>11.8</v>
      </c>
      <c r="T142" s="229">
        <v>0.01</v>
      </c>
      <c r="U142" s="231">
        <v>1197.5</v>
      </c>
      <c r="V142" s="231">
        <v>1186.5999999999999</v>
      </c>
      <c r="W142" s="228">
        <v>10.9</v>
      </c>
      <c r="X142" s="229">
        <v>9.1999999999999998E-3</v>
      </c>
      <c r="Y142" s="228">
        <v>3.7</v>
      </c>
      <c r="Z142" s="228">
        <v>4.3</v>
      </c>
      <c r="AA142" s="228">
        <v>-0.6</v>
      </c>
      <c r="AB142" s="229">
        <v>3.0999999999999999E-3</v>
      </c>
      <c r="AC142" s="228">
        <v>3.7</v>
      </c>
      <c r="AD142" s="228">
        <v>4.3</v>
      </c>
      <c r="AE142" s="228">
        <v>-0.6</v>
      </c>
      <c r="AF142" s="229">
        <v>3.0999999999999999E-3</v>
      </c>
      <c r="AG142" s="228">
        <v>9.6999999999999993</v>
      </c>
      <c r="AH142" s="228">
        <v>9.6999999999999993</v>
      </c>
      <c r="AI142" s="228">
        <v>0</v>
      </c>
      <c r="AJ142" s="229">
        <v>8.2000000000000007E-3</v>
      </c>
      <c r="AK142" s="228">
        <v>15.8</v>
      </c>
      <c r="AL142" s="228">
        <v>16.7</v>
      </c>
      <c r="AM142" s="228">
        <v>-0.9</v>
      </c>
      <c r="AN142" s="229">
        <v>1.34E-2</v>
      </c>
      <c r="AO142" s="231">
        <v>1181.08</v>
      </c>
      <c r="AP142" s="231">
        <v>1184.5999999999999</v>
      </c>
      <c r="AQ142" s="228">
        <v>0</v>
      </c>
      <c r="AR142" s="230">
        <v>1148000</v>
      </c>
      <c r="AS142" s="230">
        <v>1023500</v>
      </c>
      <c r="AT142" s="230">
        <v>124500</v>
      </c>
      <c r="AU142" s="229">
        <v>0.1216</v>
      </c>
      <c r="AV142" s="230">
        <v>1069500</v>
      </c>
      <c r="AW142" s="230">
        <v>971500</v>
      </c>
      <c r="AX142" s="230">
        <v>98000</v>
      </c>
      <c r="AY142" s="229">
        <v>0.1009</v>
      </c>
      <c r="AZ142" s="230">
        <v>75500</v>
      </c>
      <c r="BA142" s="230">
        <v>50000</v>
      </c>
      <c r="BB142" s="230">
        <v>25500</v>
      </c>
      <c r="BC142" s="229">
        <v>0.51</v>
      </c>
      <c r="BD142" s="230">
        <v>3000</v>
      </c>
      <c r="BE142" s="230">
        <v>2000</v>
      </c>
      <c r="BF142" s="230">
        <v>1000</v>
      </c>
      <c r="BG142" s="229">
        <v>0.5</v>
      </c>
      <c r="BH142" s="230">
        <v>3017500</v>
      </c>
      <c r="BI142" s="230">
        <v>2099000</v>
      </c>
      <c r="BJ142" s="230">
        <v>918500</v>
      </c>
      <c r="BK142" s="229">
        <v>0.43759999999999999</v>
      </c>
      <c r="BL142" s="230">
        <v>1402000</v>
      </c>
      <c r="BM142" s="230">
        <v>752500</v>
      </c>
      <c r="BN142" s="230">
        <v>649500</v>
      </c>
      <c r="BO142" s="229">
        <v>0.86309999999999998</v>
      </c>
      <c r="BP142" s="230">
        <v>5567500</v>
      </c>
      <c r="BQ142" s="230">
        <v>3875000</v>
      </c>
      <c r="BR142" s="230">
        <v>1692500</v>
      </c>
      <c r="BS142" s="229">
        <v>0.43680000000000002</v>
      </c>
      <c r="BT142" s="230">
        <v>674315</v>
      </c>
      <c r="BU142" s="230">
        <v>1221733</v>
      </c>
      <c r="BV142" s="230">
        <v>-547418</v>
      </c>
      <c r="BW142" s="229">
        <v>-0.4481</v>
      </c>
      <c r="BX142" s="230">
        <v>17842000</v>
      </c>
      <c r="BY142" s="230">
        <v>17915000</v>
      </c>
      <c r="BZ142" s="230">
        <v>-73000</v>
      </c>
      <c r="CA142" s="229">
        <v>-4.1000000000000003E-3</v>
      </c>
      <c r="CB142" s="230">
        <v>17543500</v>
      </c>
      <c r="CC142" s="230">
        <v>17642000</v>
      </c>
      <c r="CD142" s="230">
        <v>-98500</v>
      </c>
      <c r="CE142" s="229">
        <v>-5.5999999999999999E-3</v>
      </c>
      <c r="CF142" s="230">
        <v>289000</v>
      </c>
      <c r="CG142" s="230">
        <v>266000</v>
      </c>
      <c r="CH142" s="230">
        <v>23000</v>
      </c>
      <c r="CI142" s="229">
        <v>8.6499999999999994E-2</v>
      </c>
      <c r="CJ142" s="230">
        <v>9500</v>
      </c>
      <c r="CK142" s="230">
        <v>7000</v>
      </c>
      <c r="CL142" s="230">
        <v>2500</v>
      </c>
      <c r="CM142" s="229">
        <v>0.35709999999999997</v>
      </c>
      <c r="CN142" s="230">
        <v>2587500</v>
      </c>
      <c r="CO142" s="230">
        <v>2077000</v>
      </c>
      <c r="CP142" s="230">
        <v>510500</v>
      </c>
      <c r="CQ142" s="229">
        <v>0.24579999999999999</v>
      </c>
      <c r="CR142" s="230">
        <v>1418500</v>
      </c>
      <c r="CS142" s="230">
        <v>1312000</v>
      </c>
      <c r="CT142" s="230">
        <v>106500</v>
      </c>
      <c r="CU142" s="229">
        <v>8.1199999999999994E-2</v>
      </c>
      <c r="CV142" s="230">
        <v>21848000</v>
      </c>
      <c r="CW142" s="230">
        <v>21304000</v>
      </c>
      <c r="CX142" s="230">
        <v>544000</v>
      </c>
      <c r="CY142" s="229">
        <v>2.5499999999999998E-2</v>
      </c>
      <c r="CZ142" s="228">
        <v>17.47</v>
      </c>
      <c r="DA142" s="228">
        <v>17.899999999999999</v>
      </c>
      <c r="DB142" s="228">
        <v>-0.43</v>
      </c>
      <c r="DC142" s="228">
        <v>-0.43</v>
      </c>
      <c r="DD142" s="228">
        <v>23.58</v>
      </c>
      <c r="DE142" s="228">
        <v>23.6</v>
      </c>
      <c r="DF142" s="228">
        <v>-6.11</v>
      </c>
      <c r="DG142" s="228">
        <v>-0.02</v>
      </c>
      <c r="DH142" s="228">
        <v>17.16</v>
      </c>
      <c r="DI142" s="228">
        <v>17.809999999999999</v>
      </c>
      <c r="DJ142" s="228">
        <v>-0.65</v>
      </c>
      <c r="DK142" s="228">
        <v>-0.65</v>
      </c>
      <c r="DL142" s="228">
        <v>18.16</v>
      </c>
      <c r="DM142" s="228">
        <v>18.14</v>
      </c>
      <c r="DN142" s="228">
        <v>0.02</v>
      </c>
      <c r="DO142" s="228">
        <v>0.02</v>
      </c>
      <c r="DP142" s="228">
        <v>0.55000000000000004</v>
      </c>
      <c r="DQ142" s="228">
        <v>0.63</v>
      </c>
      <c r="DR142" s="228">
        <v>-0.08</v>
      </c>
      <c r="DS142" s="229">
        <v>-0.127</v>
      </c>
      <c r="DT142" s="231">
        <v>1200</v>
      </c>
      <c r="DU142" s="231">
        <v>1180</v>
      </c>
      <c r="DV142" s="228">
        <v>0.46</v>
      </c>
      <c r="DW142" s="228">
        <v>0.36</v>
      </c>
      <c r="DX142" s="228">
        <v>0.1</v>
      </c>
      <c r="DY142" s="229">
        <v>0.27779999999999999</v>
      </c>
      <c r="DZ142" s="229">
        <v>1.67E-2</v>
      </c>
      <c r="EA142" s="230">
        <v>273000</v>
      </c>
      <c r="EB142" s="229">
        <v>5.1000000000000004E-3</v>
      </c>
      <c r="EC142" s="229">
        <v>1.67E-2</v>
      </c>
      <c r="ED142" s="228">
        <v>3.52</v>
      </c>
      <c r="EE142" s="229">
        <v>3.0000000000000001E-3</v>
      </c>
      <c r="EF142" s="230">
        <v>366736</v>
      </c>
      <c r="EG142" s="230">
        <v>839711</v>
      </c>
      <c r="EH142" s="229">
        <v>-0.56330000000000002</v>
      </c>
      <c r="EI142" s="229">
        <v>0.54390000000000005</v>
      </c>
      <c r="EJ142" s="231">
        <v>36596.42</v>
      </c>
      <c r="EK142" s="231">
        <v>16369.22</v>
      </c>
      <c r="EL142" s="231">
        <v>13561.86</v>
      </c>
      <c r="EM142" s="231">
        <v>9506</v>
      </c>
      <c r="EN142" s="231">
        <v>66527.5</v>
      </c>
      <c r="EO142" s="231">
        <v>46066.65</v>
      </c>
      <c r="EP142" s="231">
        <v>20460.849999999999</v>
      </c>
      <c r="EQ142" s="229">
        <v>0.44419999999999998</v>
      </c>
      <c r="ER142" s="231">
        <v>31273</v>
      </c>
      <c r="ES142" s="231">
        <v>16295</v>
      </c>
      <c r="ET142" s="231">
        <v>211518</v>
      </c>
      <c r="EU142" s="231">
        <v>71801274</v>
      </c>
      <c r="EV142" s="231">
        <v>259086</v>
      </c>
      <c r="EW142" s="231">
        <v>250478</v>
      </c>
      <c r="EX142" s="231">
        <v>8608</v>
      </c>
      <c r="EY142" s="229">
        <v>3.44E-2</v>
      </c>
      <c r="EZ142" s="229">
        <v>0.30430000000000001</v>
      </c>
      <c r="FA142" s="227" t="s">
        <v>556</v>
      </c>
      <c r="FB142" s="161">
        <f t="shared" ref="FB142:FB161" si="3">BX217-CB217</f>
        <v>0</v>
      </c>
    </row>
    <row r="143" spans="1:158" ht="17.25" hidden="1" thickBot="1" x14ac:dyDescent="0.3">
      <c r="A143" s="226">
        <v>45936</v>
      </c>
      <c r="B143" s="227" t="s">
        <v>161</v>
      </c>
      <c r="C143" s="227" t="s">
        <v>586</v>
      </c>
      <c r="D143" s="228">
        <v>6400</v>
      </c>
      <c r="E143" s="228">
        <v>87.02</v>
      </c>
      <c r="F143" s="228">
        <v>87.48</v>
      </c>
      <c r="G143" s="228">
        <v>-0.46</v>
      </c>
      <c r="H143" s="229">
        <v>-5.3E-3</v>
      </c>
      <c r="I143" s="228">
        <v>86.61</v>
      </c>
      <c r="J143" s="228">
        <v>86.93</v>
      </c>
      <c r="K143" s="228">
        <v>-0.32</v>
      </c>
      <c r="L143" s="229">
        <v>-3.7000000000000002E-3</v>
      </c>
      <c r="M143" s="228">
        <v>87.02</v>
      </c>
      <c r="N143" s="228">
        <v>87.48</v>
      </c>
      <c r="O143" s="228">
        <v>-0.46</v>
      </c>
      <c r="P143" s="229">
        <v>-5.3E-3</v>
      </c>
      <c r="Q143" s="228">
        <v>87.5</v>
      </c>
      <c r="R143" s="228">
        <v>87.93</v>
      </c>
      <c r="S143" s="228">
        <v>-0.43</v>
      </c>
      <c r="T143" s="229">
        <v>-4.8999999999999998E-3</v>
      </c>
      <c r="U143" s="228">
        <v>87.74</v>
      </c>
      <c r="V143" s="228">
        <v>88.4</v>
      </c>
      <c r="W143" s="228">
        <v>-0.66</v>
      </c>
      <c r="X143" s="229">
        <v>-7.4999999999999997E-3</v>
      </c>
      <c r="Y143" s="228">
        <v>0.41</v>
      </c>
      <c r="Z143" s="228">
        <v>0.55000000000000004</v>
      </c>
      <c r="AA143" s="228">
        <v>-0.14000000000000001</v>
      </c>
      <c r="AB143" s="229">
        <v>4.7000000000000002E-3</v>
      </c>
      <c r="AC143" s="228">
        <v>0.41</v>
      </c>
      <c r="AD143" s="228">
        <v>0.55000000000000004</v>
      </c>
      <c r="AE143" s="228">
        <v>-0.14000000000000001</v>
      </c>
      <c r="AF143" s="229">
        <v>4.7000000000000002E-3</v>
      </c>
      <c r="AG143" s="228">
        <v>0.89</v>
      </c>
      <c r="AH143" s="228">
        <v>1</v>
      </c>
      <c r="AI143" s="228">
        <v>-0.11</v>
      </c>
      <c r="AJ143" s="229">
        <v>1.03E-2</v>
      </c>
      <c r="AK143" s="228">
        <v>1.1299999999999999</v>
      </c>
      <c r="AL143" s="228">
        <v>1.47</v>
      </c>
      <c r="AM143" s="228">
        <v>-0.34</v>
      </c>
      <c r="AN143" s="229">
        <v>1.2999999999999999E-2</v>
      </c>
      <c r="AO143" s="228">
        <v>86.92</v>
      </c>
      <c r="AP143" s="228">
        <v>87.42</v>
      </c>
      <c r="AQ143" s="228">
        <v>0</v>
      </c>
      <c r="AR143" s="230">
        <v>4403200</v>
      </c>
      <c r="AS143" s="230">
        <v>6681600</v>
      </c>
      <c r="AT143" s="230">
        <v>-2278400</v>
      </c>
      <c r="AU143" s="229">
        <v>-0.34100000000000003</v>
      </c>
      <c r="AV143" s="230">
        <v>3993600</v>
      </c>
      <c r="AW143" s="230">
        <v>6348800</v>
      </c>
      <c r="AX143" s="230">
        <v>-2355200</v>
      </c>
      <c r="AY143" s="229">
        <v>-0.371</v>
      </c>
      <c r="AZ143" s="230">
        <v>339200</v>
      </c>
      <c r="BA143" s="230">
        <v>288000</v>
      </c>
      <c r="BB143" s="230">
        <v>51200</v>
      </c>
      <c r="BC143" s="229">
        <v>0.17780000000000001</v>
      </c>
      <c r="BD143" s="230">
        <v>70400</v>
      </c>
      <c r="BE143" s="230">
        <v>44800</v>
      </c>
      <c r="BF143" s="230">
        <v>25600</v>
      </c>
      <c r="BG143" s="229">
        <v>0.57140000000000002</v>
      </c>
      <c r="BH143" s="230">
        <v>7308800</v>
      </c>
      <c r="BI143" s="230">
        <v>8057600</v>
      </c>
      <c r="BJ143" s="230">
        <v>-748800</v>
      </c>
      <c r="BK143" s="229">
        <v>-9.2899999999999996E-2</v>
      </c>
      <c r="BL143" s="230">
        <v>1900800</v>
      </c>
      <c r="BM143" s="230">
        <v>3859200</v>
      </c>
      <c r="BN143" s="230">
        <v>-1958400</v>
      </c>
      <c r="BO143" s="229">
        <v>-0.50749999999999995</v>
      </c>
      <c r="BP143" s="230">
        <v>13612800</v>
      </c>
      <c r="BQ143" s="230">
        <v>18598400</v>
      </c>
      <c r="BR143" s="230">
        <v>-4985600</v>
      </c>
      <c r="BS143" s="229">
        <v>-0.2681</v>
      </c>
      <c r="BT143" s="230">
        <v>6739927</v>
      </c>
      <c r="BU143" s="230">
        <v>9313320</v>
      </c>
      <c r="BV143" s="230">
        <v>-2573393</v>
      </c>
      <c r="BW143" s="229">
        <v>-0.27629999999999999</v>
      </c>
      <c r="BX143" s="230">
        <v>48332800</v>
      </c>
      <c r="BY143" s="230">
        <v>47353600</v>
      </c>
      <c r="BZ143" s="230">
        <v>979200</v>
      </c>
      <c r="CA143" s="229">
        <v>2.07E-2</v>
      </c>
      <c r="CB143" s="230">
        <v>46944000</v>
      </c>
      <c r="CC143" s="230">
        <v>46131200</v>
      </c>
      <c r="CD143" s="230">
        <v>812800</v>
      </c>
      <c r="CE143" s="229">
        <v>1.7600000000000001E-2</v>
      </c>
      <c r="CF143" s="230">
        <v>1299200</v>
      </c>
      <c r="CG143" s="230">
        <v>1177600</v>
      </c>
      <c r="CH143" s="230">
        <v>121600</v>
      </c>
      <c r="CI143" s="229">
        <v>0.1033</v>
      </c>
      <c r="CJ143" s="230">
        <v>89600</v>
      </c>
      <c r="CK143" s="230">
        <v>44800</v>
      </c>
      <c r="CL143" s="230">
        <v>44800</v>
      </c>
      <c r="CM143" s="229">
        <v>1</v>
      </c>
      <c r="CN143" s="230">
        <v>13830400</v>
      </c>
      <c r="CO143" s="230">
        <v>12160000</v>
      </c>
      <c r="CP143" s="230">
        <v>1670400</v>
      </c>
      <c r="CQ143" s="229">
        <v>0.13739999999999999</v>
      </c>
      <c r="CR143" s="230">
        <v>6566400</v>
      </c>
      <c r="CS143" s="230">
        <v>6252800</v>
      </c>
      <c r="CT143" s="230">
        <v>313600</v>
      </c>
      <c r="CU143" s="229">
        <v>5.0200000000000002E-2</v>
      </c>
      <c r="CV143" s="230">
        <v>68729600</v>
      </c>
      <c r="CW143" s="230">
        <v>65766400</v>
      </c>
      <c r="CX143" s="230">
        <v>2963200</v>
      </c>
      <c r="CY143" s="229">
        <v>4.5100000000000001E-2</v>
      </c>
      <c r="CZ143" s="228">
        <v>29.26</v>
      </c>
      <c r="DA143" s="228">
        <v>28.63</v>
      </c>
      <c r="DB143" s="228">
        <v>0.63</v>
      </c>
      <c r="DC143" s="228">
        <v>0.63</v>
      </c>
      <c r="DD143" s="228">
        <v>40.22</v>
      </c>
      <c r="DE143" s="228">
        <v>40.32</v>
      </c>
      <c r="DF143" s="228">
        <v>-10.96</v>
      </c>
      <c r="DG143" s="228">
        <v>-0.1</v>
      </c>
      <c r="DH143" s="228">
        <v>29.18</v>
      </c>
      <c r="DI143" s="228">
        <v>28.68</v>
      </c>
      <c r="DJ143" s="228">
        <v>0.5</v>
      </c>
      <c r="DK143" s="228">
        <v>0.5</v>
      </c>
      <c r="DL143" s="228">
        <v>29.59</v>
      </c>
      <c r="DM143" s="228">
        <v>28.54</v>
      </c>
      <c r="DN143" s="228">
        <v>1.05</v>
      </c>
      <c r="DO143" s="228">
        <v>1.05</v>
      </c>
      <c r="DP143" s="228">
        <v>0.47</v>
      </c>
      <c r="DQ143" s="228">
        <v>0.51</v>
      </c>
      <c r="DR143" s="228">
        <v>-0.04</v>
      </c>
      <c r="DS143" s="229">
        <v>-7.8399999999999997E-2</v>
      </c>
      <c r="DT143" s="228">
        <v>90</v>
      </c>
      <c r="DU143" s="228">
        <v>85</v>
      </c>
      <c r="DV143" s="228">
        <v>0.26</v>
      </c>
      <c r="DW143" s="228">
        <v>0.48</v>
      </c>
      <c r="DX143" s="228">
        <v>-0.22</v>
      </c>
      <c r="DY143" s="229">
        <v>-0.45829999999999999</v>
      </c>
      <c r="DZ143" s="229">
        <v>2.87E-2</v>
      </c>
      <c r="EA143" s="230">
        <v>1222400</v>
      </c>
      <c r="EB143" s="229">
        <v>5.4999999999999997E-3</v>
      </c>
      <c r="EC143" s="229">
        <v>2.87E-2</v>
      </c>
      <c r="ED143" s="228">
        <v>0.5</v>
      </c>
      <c r="EE143" s="229">
        <v>5.7999999999999996E-3</v>
      </c>
      <c r="EF143" s="230">
        <v>3845742</v>
      </c>
      <c r="EG143" s="230">
        <v>5064998</v>
      </c>
      <c r="EH143" s="229">
        <v>-0.2407</v>
      </c>
      <c r="EI143" s="229">
        <v>0.5706</v>
      </c>
      <c r="EJ143" s="231">
        <v>6701.74</v>
      </c>
      <c r="EK143" s="231">
        <v>1633.91</v>
      </c>
      <c r="EL143" s="231">
        <v>3829.6</v>
      </c>
      <c r="EM143" s="231">
        <v>2690</v>
      </c>
      <c r="EN143" s="231">
        <v>12165.25</v>
      </c>
      <c r="EO143" s="231">
        <v>16494.38</v>
      </c>
      <c r="EP143" s="231">
        <v>-4329.13</v>
      </c>
      <c r="EQ143" s="229">
        <v>-0.26250000000000001</v>
      </c>
      <c r="ER143" s="231">
        <v>12589</v>
      </c>
      <c r="ES143" s="231">
        <v>5459</v>
      </c>
      <c r="ET143" s="231">
        <v>42066</v>
      </c>
      <c r="EU143" s="231">
        <v>398201603</v>
      </c>
      <c r="EV143" s="231">
        <v>60114</v>
      </c>
      <c r="EW143" s="231">
        <v>57671</v>
      </c>
      <c r="EX143" s="231">
        <v>2443</v>
      </c>
      <c r="EY143" s="229">
        <v>4.24E-2</v>
      </c>
      <c r="EZ143" s="229">
        <v>0.1726</v>
      </c>
      <c r="FA143" s="227" t="s">
        <v>567</v>
      </c>
      <c r="FB143" s="161">
        <f t="shared" si="3"/>
        <v>0</v>
      </c>
    </row>
    <row r="144" spans="1:158" ht="17.25" hidden="1" thickBot="1" x14ac:dyDescent="0.3">
      <c r="A144" s="226">
        <v>45936</v>
      </c>
      <c r="B144" s="227" t="s">
        <v>181</v>
      </c>
      <c r="C144" s="227" t="s">
        <v>266</v>
      </c>
      <c r="D144" s="228">
        <v>75</v>
      </c>
      <c r="E144" s="231">
        <v>25185.4</v>
      </c>
      <c r="F144" s="231">
        <v>25006.6</v>
      </c>
      <c r="G144" s="228">
        <v>178.8</v>
      </c>
      <c r="H144" s="229">
        <v>7.1999999999999998E-3</v>
      </c>
      <c r="I144" s="231">
        <v>25077.65</v>
      </c>
      <c r="J144" s="231">
        <v>24894.25</v>
      </c>
      <c r="K144" s="228">
        <v>183.4</v>
      </c>
      <c r="L144" s="229">
        <v>7.4000000000000003E-3</v>
      </c>
      <c r="M144" s="231">
        <v>25185.4</v>
      </c>
      <c r="N144" s="231">
        <v>25006.6</v>
      </c>
      <c r="O144" s="228">
        <v>178.8</v>
      </c>
      <c r="P144" s="229">
        <v>7.1999999999999998E-3</v>
      </c>
      <c r="Q144" s="231">
        <v>25314.2</v>
      </c>
      <c r="R144" s="231">
        <v>25137.4</v>
      </c>
      <c r="S144" s="228">
        <v>176.8</v>
      </c>
      <c r="T144" s="229">
        <v>7.0000000000000001E-3</v>
      </c>
      <c r="U144" s="231">
        <v>25472.5</v>
      </c>
      <c r="V144" s="231">
        <v>25290.7</v>
      </c>
      <c r="W144" s="228">
        <v>181.8</v>
      </c>
      <c r="X144" s="229">
        <v>7.1999999999999998E-3</v>
      </c>
      <c r="Y144" s="228">
        <v>107.75</v>
      </c>
      <c r="Z144" s="228">
        <v>112.35</v>
      </c>
      <c r="AA144" s="228">
        <v>-4.5999999999999996</v>
      </c>
      <c r="AB144" s="229">
        <v>4.3E-3</v>
      </c>
      <c r="AC144" s="228">
        <v>107.75</v>
      </c>
      <c r="AD144" s="228">
        <v>112.35</v>
      </c>
      <c r="AE144" s="228">
        <v>-4.5999999999999996</v>
      </c>
      <c r="AF144" s="229">
        <v>4.3E-3</v>
      </c>
      <c r="AG144" s="228">
        <v>236.55</v>
      </c>
      <c r="AH144" s="228">
        <v>243.15</v>
      </c>
      <c r="AI144" s="228">
        <v>-6.6</v>
      </c>
      <c r="AJ144" s="229">
        <v>9.4000000000000004E-3</v>
      </c>
      <c r="AK144" s="228">
        <v>394.85</v>
      </c>
      <c r="AL144" s="228">
        <v>396.45</v>
      </c>
      <c r="AM144" s="228">
        <v>-1.6</v>
      </c>
      <c r="AN144" s="229">
        <v>1.5699999999999999E-2</v>
      </c>
      <c r="AO144" s="231">
        <v>25106.06</v>
      </c>
      <c r="AP144" s="231">
        <v>25239.52</v>
      </c>
      <c r="AQ144" s="228">
        <v>0</v>
      </c>
      <c r="AR144" s="230">
        <v>5987925</v>
      </c>
      <c r="AS144" s="230">
        <v>4910400</v>
      </c>
      <c r="AT144" s="230">
        <v>1077525</v>
      </c>
      <c r="AU144" s="229">
        <v>0.21940000000000001</v>
      </c>
      <c r="AV144" s="230">
        <v>5519850</v>
      </c>
      <c r="AW144" s="230">
        <v>4568925</v>
      </c>
      <c r="AX144" s="230">
        <v>950925</v>
      </c>
      <c r="AY144" s="229">
        <v>0.20810000000000001</v>
      </c>
      <c r="AZ144" s="230">
        <v>347700</v>
      </c>
      <c r="BA144" s="230">
        <v>251850</v>
      </c>
      <c r="BB144" s="230">
        <v>95850</v>
      </c>
      <c r="BC144" s="229">
        <v>0.38059999999999999</v>
      </c>
      <c r="BD144" s="230">
        <v>120375</v>
      </c>
      <c r="BE144" s="230">
        <v>89625</v>
      </c>
      <c r="BF144" s="230">
        <v>30750</v>
      </c>
      <c r="BG144" s="229">
        <v>0.34310000000000002</v>
      </c>
      <c r="BH144" s="230">
        <v>5817291375</v>
      </c>
      <c r="BI144" s="230">
        <v>3884671125</v>
      </c>
      <c r="BJ144" s="230">
        <v>1932620250</v>
      </c>
      <c r="BK144" s="229">
        <v>0.4975</v>
      </c>
      <c r="BL144" s="230">
        <v>5143067550</v>
      </c>
      <c r="BM144" s="230">
        <v>3573615150</v>
      </c>
      <c r="BN144" s="230">
        <v>1569452400</v>
      </c>
      <c r="BO144" s="229">
        <v>0.43919999999999998</v>
      </c>
      <c r="BP144" s="230">
        <v>10966346850</v>
      </c>
      <c r="BQ144" s="230">
        <v>7463196675</v>
      </c>
      <c r="BR144" s="230">
        <v>3503150175</v>
      </c>
      <c r="BS144" s="229">
        <v>0.46939999999999998</v>
      </c>
      <c r="BT144" s="228">
        <v>0</v>
      </c>
      <c r="BU144" s="228">
        <v>0</v>
      </c>
      <c r="BV144" s="228">
        <v>0</v>
      </c>
      <c r="BW144" s="229">
        <v>0</v>
      </c>
      <c r="BX144" s="230">
        <v>19594950</v>
      </c>
      <c r="BY144" s="230">
        <v>19247475</v>
      </c>
      <c r="BZ144" s="230">
        <v>347475</v>
      </c>
      <c r="CA144" s="229">
        <v>1.8100000000000002E-2</v>
      </c>
      <c r="CB144" s="230">
        <v>18296400</v>
      </c>
      <c r="CC144" s="230">
        <v>18015450</v>
      </c>
      <c r="CD144" s="230">
        <v>280950</v>
      </c>
      <c r="CE144" s="229">
        <v>1.5599999999999999E-2</v>
      </c>
      <c r="CF144" s="230">
        <v>1101375</v>
      </c>
      <c r="CG144" s="230">
        <v>1069950</v>
      </c>
      <c r="CH144" s="230">
        <v>31425</v>
      </c>
      <c r="CI144" s="229">
        <v>2.9399999999999999E-2</v>
      </c>
      <c r="CJ144" s="230">
        <v>197175</v>
      </c>
      <c r="CK144" s="230">
        <v>162075</v>
      </c>
      <c r="CL144" s="230">
        <v>35100</v>
      </c>
      <c r="CM144" s="229">
        <v>0.21659999999999999</v>
      </c>
      <c r="CN144" s="230">
        <v>255426225</v>
      </c>
      <c r="CO144" s="230">
        <v>254953925</v>
      </c>
      <c r="CP144" s="230">
        <v>472300</v>
      </c>
      <c r="CQ144" s="229">
        <v>1.9E-3</v>
      </c>
      <c r="CR144" s="230">
        <v>340369400</v>
      </c>
      <c r="CS144" s="230">
        <v>298858500</v>
      </c>
      <c r="CT144" s="230">
        <v>41510900</v>
      </c>
      <c r="CU144" s="229">
        <v>0.1389</v>
      </c>
      <c r="CV144" s="230">
        <v>615390575</v>
      </c>
      <c r="CW144" s="230">
        <v>573059900</v>
      </c>
      <c r="CX144" s="230">
        <v>42330675</v>
      </c>
      <c r="CY144" s="229">
        <v>7.3899999999999993E-2</v>
      </c>
      <c r="CZ144" s="228">
        <v>10.210000000000001</v>
      </c>
      <c r="DA144" s="228">
        <v>9.4600000000000009</v>
      </c>
      <c r="DB144" s="228">
        <v>0.75</v>
      </c>
      <c r="DC144" s="228">
        <v>0.75</v>
      </c>
      <c r="DD144" s="228">
        <v>15.25</v>
      </c>
      <c r="DE144" s="228">
        <v>15.26</v>
      </c>
      <c r="DF144" s="228">
        <v>-5.04</v>
      </c>
      <c r="DG144" s="228">
        <v>-0.01</v>
      </c>
      <c r="DH144" s="228">
        <v>9</v>
      </c>
      <c r="DI144" s="228">
        <v>8.68</v>
      </c>
      <c r="DJ144" s="228">
        <v>0.32</v>
      </c>
      <c r="DK144" s="228">
        <v>0.32</v>
      </c>
      <c r="DL144" s="228">
        <v>11.56</v>
      </c>
      <c r="DM144" s="228">
        <v>10.33</v>
      </c>
      <c r="DN144" s="228">
        <v>1.23</v>
      </c>
      <c r="DO144" s="228">
        <v>1.23</v>
      </c>
      <c r="DP144" s="228">
        <v>1.33</v>
      </c>
      <c r="DQ144" s="228">
        <v>1.17</v>
      </c>
      <c r="DR144" s="228">
        <v>0.16</v>
      </c>
      <c r="DS144" s="229">
        <v>0.1368</v>
      </c>
      <c r="DT144" s="231">
        <v>25200</v>
      </c>
      <c r="DU144" s="231">
        <v>25000</v>
      </c>
      <c r="DV144" s="228">
        <v>0.88</v>
      </c>
      <c r="DW144" s="228">
        <v>0.92</v>
      </c>
      <c r="DX144" s="228">
        <v>-0.04</v>
      </c>
      <c r="DY144" s="229">
        <v>-4.3499999999999997E-2</v>
      </c>
      <c r="DZ144" s="229">
        <v>6.6299999999999998E-2</v>
      </c>
      <c r="EA144" s="230">
        <v>1232025</v>
      </c>
      <c r="EB144" s="229">
        <v>5.1000000000000004E-3</v>
      </c>
      <c r="EC144" s="229">
        <v>6.6299999999999998E-2</v>
      </c>
      <c r="ED144" s="228">
        <v>133.46</v>
      </c>
      <c r="EE144" s="229">
        <v>5.3E-3</v>
      </c>
      <c r="EF144" s="228">
        <v>0</v>
      </c>
      <c r="EG144" s="228">
        <v>0</v>
      </c>
      <c r="EH144" s="229">
        <v>0</v>
      </c>
      <c r="EI144" s="229">
        <v>0</v>
      </c>
      <c r="EJ144" s="231">
        <v>1467136783.3699999</v>
      </c>
      <c r="EK144" s="231">
        <v>1270991529.0799999</v>
      </c>
      <c r="EL144" s="231">
        <v>1504143.23</v>
      </c>
      <c r="EM144" s="231">
        <v>123792</v>
      </c>
      <c r="EN144" s="231">
        <v>2739632455.6799998</v>
      </c>
      <c r="EO144" s="231">
        <v>1855678187.49</v>
      </c>
      <c r="EP144" s="231">
        <v>883954268.19000006</v>
      </c>
      <c r="EQ144" s="229">
        <v>0.47639999999999999</v>
      </c>
      <c r="ER144" s="231">
        <v>65133376</v>
      </c>
      <c r="ES144" s="231">
        <v>83086506</v>
      </c>
      <c r="ET144" s="231">
        <v>4937051</v>
      </c>
      <c r="EU144" s="228">
        <v>0</v>
      </c>
      <c r="EV144" s="231">
        <v>153156934</v>
      </c>
      <c r="EW144" s="231">
        <v>142347412</v>
      </c>
      <c r="EX144" s="231">
        <v>10809522</v>
      </c>
      <c r="EY144" s="229">
        <v>7.5899999999999995E-2</v>
      </c>
      <c r="EZ144" s="229">
        <v>0</v>
      </c>
      <c r="FA144" s="227" t="s">
        <v>555</v>
      </c>
      <c r="FB144" s="161">
        <f t="shared" si="3"/>
        <v>0</v>
      </c>
    </row>
    <row r="145" spans="1:158" ht="17.25" hidden="1" thickBot="1" x14ac:dyDescent="0.3">
      <c r="A145" s="226">
        <v>45936</v>
      </c>
      <c r="B145" s="227" t="s">
        <v>181</v>
      </c>
      <c r="C145" s="227" t="s">
        <v>566</v>
      </c>
      <c r="D145" s="228">
        <v>25</v>
      </c>
      <c r="E145" s="231">
        <v>68947.8</v>
      </c>
      <c r="F145" s="231">
        <v>68725.2</v>
      </c>
      <c r="G145" s="228">
        <v>222.6</v>
      </c>
      <c r="H145" s="229">
        <v>3.2000000000000002E-3</v>
      </c>
      <c r="I145" s="231">
        <v>68590.25</v>
      </c>
      <c r="J145" s="231">
        <v>68355.899999999994</v>
      </c>
      <c r="K145" s="228">
        <v>234.35</v>
      </c>
      <c r="L145" s="229">
        <v>3.3999999999999998E-3</v>
      </c>
      <c r="M145" s="231">
        <v>68947.8</v>
      </c>
      <c r="N145" s="231">
        <v>68725.2</v>
      </c>
      <c r="O145" s="228">
        <v>222.6</v>
      </c>
      <c r="P145" s="229">
        <v>3.2000000000000002E-3</v>
      </c>
      <c r="Q145" s="231">
        <v>69365.8</v>
      </c>
      <c r="R145" s="231">
        <v>69159.199999999997</v>
      </c>
      <c r="S145" s="228">
        <v>206.6</v>
      </c>
      <c r="T145" s="229">
        <v>3.0000000000000001E-3</v>
      </c>
      <c r="U145" s="231">
        <v>69779.199999999997</v>
      </c>
      <c r="V145" s="228">
        <v>0</v>
      </c>
      <c r="W145" s="231">
        <v>69779.199999999997</v>
      </c>
      <c r="X145" s="229">
        <v>0</v>
      </c>
      <c r="Y145" s="228">
        <v>357.55</v>
      </c>
      <c r="Z145" s="228">
        <v>369.3</v>
      </c>
      <c r="AA145" s="228">
        <v>-11.75</v>
      </c>
      <c r="AB145" s="229">
        <v>5.1999999999999998E-3</v>
      </c>
      <c r="AC145" s="228">
        <v>357.55</v>
      </c>
      <c r="AD145" s="228">
        <v>369.3</v>
      </c>
      <c r="AE145" s="228">
        <v>-11.75</v>
      </c>
      <c r="AF145" s="229">
        <v>5.1999999999999998E-3</v>
      </c>
      <c r="AG145" s="228">
        <v>775.55</v>
      </c>
      <c r="AH145" s="228">
        <v>803.3</v>
      </c>
      <c r="AI145" s="228">
        <v>-27.75</v>
      </c>
      <c r="AJ145" s="229">
        <v>1.1299999999999999E-2</v>
      </c>
      <c r="AK145" s="231">
        <v>1188.95</v>
      </c>
      <c r="AL145" s="228">
        <v>0</v>
      </c>
      <c r="AM145" s="231">
        <v>1188.95</v>
      </c>
      <c r="AN145" s="229">
        <v>1.7299999999999999E-2</v>
      </c>
      <c r="AO145" s="231">
        <v>68730.38</v>
      </c>
      <c r="AP145" s="231">
        <v>69261.94</v>
      </c>
      <c r="AQ145" s="228">
        <v>0</v>
      </c>
      <c r="AR145" s="230">
        <v>6150</v>
      </c>
      <c r="AS145" s="230">
        <v>5700</v>
      </c>
      <c r="AT145" s="228">
        <v>450</v>
      </c>
      <c r="AU145" s="229">
        <v>7.8899999999999998E-2</v>
      </c>
      <c r="AV145" s="230">
        <v>5300</v>
      </c>
      <c r="AW145" s="230">
        <v>5375</v>
      </c>
      <c r="AX145" s="228">
        <v>-75</v>
      </c>
      <c r="AY145" s="229">
        <v>-1.4E-2</v>
      </c>
      <c r="AZ145" s="228">
        <v>775</v>
      </c>
      <c r="BA145" s="228">
        <v>325</v>
      </c>
      <c r="BB145" s="228">
        <v>450</v>
      </c>
      <c r="BC145" s="229">
        <v>1.3846000000000001</v>
      </c>
      <c r="BD145" s="228">
        <v>75</v>
      </c>
      <c r="BE145" s="228">
        <v>0</v>
      </c>
      <c r="BF145" s="228">
        <v>75</v>
      </c>
      <c r="BG145" s="229">
        <v>0</v>
      </c>
      <c r="BH145" s="230">
        <v>3175</v>
      </c>
      <c r="BI145" s="230">
        <v>1750</v>
      </c>
      <c r="BJ145" s="230">
        <v>1425</v>
      </c>
      <c r="BK145" s="229">
        <v>0.81430000000000002</v>
      </c>
      <c r="BL145" s="230">
        <v>2500</v>
      </c>
      <c r="BM145" s="228">
        <v>675</v>
      </c>
      <c r="BN145" s="230">
        <v>1825</v>
      </c>
      <c r="BO145" s="229">
        <v>2.7037</v>
      </c>
      <c r="BP145" s="230">
        <v>11825</v>
      </c>
      <c r="BQ145" s="230">
        <v>8125</v>
      </c>
      <c r="BR145" s="230">
        <v>3700</v>
      </c>
      <c r="BS145" s="229">
        <v>0.45540000000000003</v>
      </c>
      <c r="BT145" s="228">
        <v>0</v>
      </c>
      <c r="BU145" s="228">
        <v>0</v>
      </c>
      <c r="BV145" s="228">
        <v>0</v>
      </c>
      <c r="BW145" s="229">
        <v>0</v>
      </c>
      <c r="BX145" s="230">
        <v>25850</v>
      </c>
      <c r="BY145" s="230">
        <v>23825</v>
      </c>
      <c r="BZ145" s="230">
        <v>2025</v>
      </c>
      <c r="CA145" s="229">
        <v>8.5000000000000006E-2</v>
      </c>
      <c r="CB145" s="230">
        <v>23400</v>
      </c>
      <c r="CC145" s="230">
        <v>21900</v>
      </c>
      <c r="CD145" s="230">
        <v>1500</v>
      </c>
      <c r="CE145" s="229">
        <v>6.8500000000000005E-2</v>
      </c>
      <c r="CF145" s="230">
        <v>2400</v>
      </c>
      <c r="CG145" s="230">
        <v>1925</v>
      </c>
      <c r="CH145" s="228">
        <v>475</v>
      </c>
      <c r="CI145" s="229">
        <v>0.24679999999999999</v>
      </c>
      <c r="CJ145" s="228">
        <v>50</v>
      </c>
      <c r="CK145" s="228">
        <v>0</v>
      </c>
      <c r="CL145" s="228">
        <v>50</v>
      </c>
      <c r="CM145" s="229">
        <v>0</v>
      </c>
      <c r="CN145" s="230">
        <v>2650</v>
      </c>
      <c r="CO145" s="230">
        <v>2125</v>
      </c>
      <c r="CP145" s="228">
        <v>525</v>
      </c>
      <c r="CQ145" s="229">
        <v>0.24709999999999999</v>
      </c>
      <c r="CR145" s="228">
        <v>875</v>
      </c>
      <c r="CS145" s="228">
        <v>600</v>
      </c>
      <c r="CT145" s="228">
        <v>275</v>
      </c>
      <c r="CU145" s="229">
        <v>0.45829999999999999</v>
      </c>
      <c r="CV145" s="230">
        <v>29375</v>
      </c>
      <c r="CW145" s="230">
        <v>26550</v>
      </c>
      <c r="CX145" s="230">
        <v>2825</v>
      </c>
      <c r="CY145" s="229">
        <v>0.10639999999999999</v>
      </c>
      <c r="CZ145" s="228">
        <v>13.24</v>
      </c>
      <c r="DA145" s="228">
        <v>13.03</v>
      </c>
      <c r="DB145" s="228">
        <v>0.21</v>
      </c>
      <c r="DC145" s="228">
        <v>0.21</v>
      </c>
      <c r="DD145" s="228">
        <v>21.56</v>
      </c>
      <c r="DE145" s="228">
        <v>21.61</v>
      </c>
      <c r="DF145" s="228">
        <v>-8.32</v>
      </c>
      <c r="DG145" s="228">
        <v>-0.05</v>
      </c>
      <c r="DH145" s="228">
        <v>12.55</v>
      </c>
      <c r="DI145" s="228">
        <v>12.63</v>
      </c>
      <c r="DJ145" s="228">
        <v>-0.08</v>
      </c>
      <c r="DK145" s="228">
        <v>-0.08</v>
      </c>
      <c r="DL145" s="228">
        <v>14.12</v>
      </c>
      <c r="DM145" s="228">
        <v>14.07</v>
      </c>
      <c r="DN145" s="228">
        <v>0.05</v>
      </c>
      <c r="DO145" s="228">
        <v>0.05</v>
      </c>
      <c r="DP145" s="228">
        <v>0.33</v>
      </c>
      <c r="DQ145" s="228">
        <v>0.28000000000000003</v>
      </c>
      <c r="DR145" s="228">
        <v>0.05</v>
      </c>
      <c r="DS145" s="229">
        <v>0.17860000000000001</v>
      </c>
      <c r="DT145" s="231">
        <v>68400</v>
      </c>
      <c r="DU145" s="231">
        <v>67500</v>
      </c>
      <c r="DV145" s="228">
        <v>0.79</v>
      </c>
      <c r="DW145" s="228">
        <v>0.39</v>
      </c>
      <c r="DX145" s="228">
        <v>0.4</v>
      </c>
      <c r="DY145" s="229">
        <v>1.0256000000000001</v>
      </c>
      <c r="DZ145" s="229">
        <v>9.4799999999999995E-2</v>
      </c>
      <c r="EA145" s="230">
        <v>1925</v>
      </c>
      <c r="EB145" s="229">
        <v>6.1000000000000004E-3</v>
      </c>
      <c r="EC145" s="229">
        <v>9.4799999999999995E-2</v>
      </c>
      <c r="ED145" s="228">
        <v>531.55999999999995</v>
      </c>
      <c r="EE145" s="229">
        <v>7.7000000000000002E-3</v>
      </c>
      <c r="EF145" s="228">
        <v>0</v>
      </c>
      <c r="EG145" s="228">
        <v>0</v>
      </c>
      <c r="EH145" s="229">
        <v>0</v>
      </c>
      <c r="EI145" s="229">
        <v>0</v>
      </c>
      <c r="EJ145" s="231">
        <v>2201.9</v>
      </c>
      <c r="EK145" s="231">
        <v>1713.63</v>
      </c>
      <c r="EL145" s="231">
        <v>4231.8</v>
      </c>
      <c r="EM145" s="228">
        <v>0</v>
      </c>
      <c r="EN145" s="231">
        <v>8147.33</v>
      </c>
      <c r="EO145" s="231">
        <v>5582.02</v>
      </c>
      <c r="EP145" s="231">
        <v>2565.31</v>
      </c>
      <c r="EQ145" s="229">
        <v>0.45960000000000001</v>
      </c>
      <c r="ER145" s="231">
        <v>1804</v>
      </c>
      <c r="ES145" s="228">
        <v>592</v>
      </c>
      <c r="ET145" s="231">
        <v>17833</v>
      </c>
      <c r="EU145" s="228">
        <v>0</v>
      </c>
      <c r="EV145" s="231">
        <v>20230</v>
      </c>
      <c r="EW145" s="231">
        <v>18236</v>
      </c>
      <c r="EX145" s="231">
        <v>1994</v>
      </c>
      <c r="EY145" s="229">
        <v>0.10929999999999999</v>
      </c>
      <c r="EZ145" s="229">
        <v>0</v>
      </c>
      <c r="FA145" s="227" t="s">
        <v>555</v>
      </c>
      <c r="FB145" s="161">
        <f t="shared" si="3"/>
        <v>0</v>
      </c>
    </row>
    <row r="146" spans="1:158" ht="17.25" hidden="1" thickBot="1" x14ac:dyDescent="0.3">
      <c r="A146" s="226">
        <v>45936</v>
      </c>
      <c r="B146" s="227" t="s">
        <v>227</v>
      </c>
      <c r="C146" s="227" t="s">
        <v>267</v>
      </c>
      <c r="D146" s="228">
        <v>13500</v>
      </c>
      <c r="E146" s="228">
        <v>76.540000000000006</v>
      </c>
      <c r="F146" s="228">
        <v>77.61</v>
      </c>
      <c r="G146" s="228">
        <v>-1.07</v>
      </c>
      <c r="H146" s="229">
        <v>-1.38E-2</v>
      </c>
      <c r="I146" s="228">
        <v>76.06</v>
      </c>
      <c r="J146" s="228">
        <v>77.099999999999994</v>
      </c>
      <c r="K146" s="228">
        <v>-1.04</v>
      </c>
      <c r="L146" s="229">
        <v>-1.35E-2</v>
      </c>
      <c r="M146" s="228">
        <v>76.540000000000006</v>
      </c>
      <c r="N146" s="228">
        <v>77.61</v>
      </c>
      <c r="O146" s="228">
        <v>-1.07</v>
      </c>
      <c r="P146" s="229">
        <v>-1.38E-2</v>
      </c>
      <c r="Q146" s="228">
        <v>76.95</v>
      </c>
      <c r="R146" s="228">
        <v>78</v>
      </c>
      <c r="S146" s="228">
        <v>-1.05</v>
      </c>
      <c r="T146" s="229">
        <v>-1.35E-2</v>
      </c>
      <c r="U146" s="228">
        <v>77.2</v>
      </c>
      <c r="V146" s="228">
        <v>78.430000000000007</v>
      </c>
      <c r="W146" s="228">
        <v>-1.23</v>
      </c>
      <c r="X146" s="229">
        <v>-1.5699999999999999E-2</v>
      </c>
      <c r="Y146" s="228">
        <v>0.48</v>
      </c>
      <c r="Z146" s="228">
        <v>0.51</v>
      </c>
      <c r="AA146" s="228">
        <v>-0.03</v>
      </c>
      <c r="AB146" s="229">
        <v>6.3E-3</v>
      </c>
      <c r="AC146" s="228">
        <v>0.48</v>
      </c>
      <c r="AD146" s="228">
        <v>0.51</v>
      </c>
      <c r="AE146" s="228">
        <v>-0.03</v>
      </c>
      <c r="AF146" s="229">
        <v>6.3E-3</v>
      </c>
      <c r="AG146" s="228">
        <v>0.89</v>
      </c>
      <c r="AH146" s="228">
        <v>0.9</v>
      </c>
      <c r="AI146" s="228">
        <v>-0.01</v>
      </c>
      <c r="AJ146" s="229">
        <v>1.17E-2</v>
      </c>
      <c r="AK146" s="228">
        <v>1.1399999999999999</v>
      </c>
      <c r="AL146" s="228">
        <v>1.33</v>
      </c>
      <c r="AM146" s="228">
        <v>-0.19</v>
      </c>
      <c r="AN146" s="229">
        <v>1.4999999999999999E-2</v>
      </c>
      <c r="AO146" s="228">
        <v>76.760000000000005</v>
      </c>
      <c r="AP146" s="228">
        <v>77.14</v>
      </c>
      <c r="AQ146" s="228">
        <v>0</v>
      </c>
      <c r="AR146" s="230">
        <v>32049000</v>
      </c>
      <c r="AS146" s="230">
        <v>45643500</v>
      </c>
      <c r="AT146" s="230">
        <v>-13594500</v>
      </c>
      <c r="AU146" s="229">
        <v>-0.29780000000000001</v>
      </c>
      <c r="AV146" s="230">
        <v>28674000</v>
      </c>
      <c r="AW146" s="230">
        <v>42484500</v>
      </c>
      <c r="AX146" s="230">
        <v>-13810500</v>
      </c>
      <c r="AY146" s="229">
        <v>-0.3251</v>
      </c>
      <c r="AZ146" s="230">
        <v>2997000</v>
      </c>
      <c r="BA146" s="230">
        <v>2821500</v>
      </c>
      <c r="BB146" s="230">
        <v>175500</v>
      </c>
      <c r="BC146" s="229">
        <v>6.2199999999999998E-2</v>
      </c>
      <c r="BD146" s="230">
        <v>378000</v>
      </c>
      <c r="BE146" s="230">
        <v>337500</v>
      </c>
      <c r="BF146" s="230">
        <v>40500</v>
      </c>
      <c r="BG146" s="229">
        <v>0.12</v>
      </c>
      <c r="BH146" s="230">
        <v>83200500</v>
      </c>
      <c r="BI146" s="230">
        <v>131112000</v>
      </c>
      <c r="BJ146" s="230">
        <v>-47911500</v>
      </c>
      <c r="BK146" s="229">
        <v>-0.3654</v>
      </c>
      <c r="BL146" s="230">
        <v>35721000</v>
      </c>
      <c r="BM146" s="230">
        <v>54405000</v>
      </c>
      <c r="BN146" s="230">
        <v>-18684000</v>
      </c>
      <c r="BO146" s="229">
        <v>-0.34339999999999998</v>
      </c>
      <c r="BP146" s="230">
        <v>150970500</v>
      </c>
      <c r="BQ146" s="230">
        <v>231160500</v>
      </c>
      <c r="BR146" s="230">
        <v>-80190000</v>
      </c>
      <c r="BS146" s="229">
        <v>-0.34689999999999999</v>
      </c>
      <c r="BT146" s="230">
        <v>13185144</v>
      </c>
      <c r="BU146" s="230">
        <v>33323920</v>
      </c>
      <c r="BV146" s="230">
        <v>-20138776</v>
      </c>
      <c r="BW146" s="229">
        <v>-0.60429999999999995</v>
      </c>
      <c r="BX146" s="230">
        <v>283284000</v>
      </c>
      <c r="BY146" s="230">
        <v>278788500</v>
      </c>
      <c r="BZ146" s="230">
        <v>4495500</v>
      </c>
      <c r="CA146" s="229">
        <v>1.61E-2</v>
      </c>
      <c r="CB146" s="230">
        <v>277047000</v>
      </c>
      <c r="CC146" s="230">
        <v>273523500</v>
      </c>
      <c r="CD146" s="230">
        <v>3523500</v>
      </c>
      <c r="CE146" s="229">
        <v>1.29E-2</v>
      </c>
      <c r="CF146" s="230">
        <v>5751000</v>
      </c>
      <c r="CG146" s="230">
        <v>5035500</v>
      </c>
      <c r="CH146" s="230">
        <v>715500</v>
      </c>
      <c r="CI146" s="229">
        <v>0.1421</v>
      </c>
      <c r="CJ146" s="230">
        <v>486000</v>
      </c>
      <c r="CK146" s="230">
        <v>229500</v>
      </c>
      <c r="CL146" s="230">
        <v>256500</v>
      </c>
      <c r="CM146" s="229">
        <v>1.1175999999999999</v>
      </c>
      <c r="CN146" s="230">
        <v>92475000</v>
      </c>
      <c r="CO146" s="230">
        <v>81715500</v>
      </c>
      <c r="CP146" s="230">
        <v>10759500</v>
      </c>
      <c r="CQ146" s="229">
        <v>0.13170000000000001</v>
      </c>
      <c r="CR146" s="230">
        <v>64165500</v>
      </c>
      <c r="CS146" s="230">
        <v>61195500</v>
      </c>
      <c r="CT146" s="230">
        <v>2970000</v>
      </c>
      <c r="CU146" s="229">
        <v>4.8500000000000001E-2</v>
      </c>
      <c r="CV146" s="230">
        <v>439924500</v>
      </c>
      <c r="CW146" s="230">
        <v>421699500</v>
      </c>
      <c r="CX146" s="230">
        <v>18225000</v>
      </c>
      <c r="CY146" s="229">
        <v>4.3200000000000002E-2</v>
      </c>
      <c r="CZ146" s="228">
        <v>28.34</v>
      </c>
      <c r="DA146" s="228">
        <v>26.99</v>
      </c>
      <c r="DB146" s="228">
        <v>1.35</v>
      </c>
      <c r="DC146" s="228">
        <v>1.35</v>
      </c>
      <c r="DD146" s="228">
        <v>39.92</v>
      </c>
      <c r="DE146" s="228">
        <v>39.979999999999997</v>
      </c>
      <c r="DF146" s="228">
        <v>-11.58</v>
      </c>
      <c r="DG146" s="228">
        <v>-0.06</v>
      </c>
      <c r="DH146" s="228">
        <v>28.44</v>
      </c>
      <c r="DI146" s="228">
        <v>26.88</v>
      </c>
      <c r="DJ146" s="228">
        <v>1.56</v>
      </c>
      <c r="DK146" s="228">
        <v>1.56</v>
      </c>
      <c r="DL146" s="228">
        <v>28.09</v>
      </c>
      <c r="DM146" s="228">
        <v>27.25</v>
      </c>
      <c r="DN146" s="228">
        <v>0.84</v>
      </c>
      <c r="DO146" s="228">
        <v>0.84</v>
      </c>
      <c r="DP146" s="228">
        <v>0.69</v>
      </c>
      <c r="DQ146" s="228">
        <v>0.75</v>
      </c>
      <c r="DR146" s="228">
        <v>-0.06</v>
      </c>
      <c r="DS146" s="229">
        <v>-0.08</v>
      </c>
      <c r="DT146" s="228">
        <v>80</v>
      </c>
      <c r="DU146" s="228">
        <v>84</v>
      </c>
      <c r="DV146" s="228">
        <v>0.43</v>
      </c>
      <c r="DW146" s="228">
        <v>0.41</v>
      </c>
      <c r="DX146" s="228">
        <v>0.02</v>
      </c>
      <c r="DY146" s="229">
        <v>4.8800000000000003E-2</v>
      </c>
      <c r="DZ146" s="229">
        <v>2.1999999999999999E-2</v>
      </c>
      <c r="EA146" s="230">
        <v>5265000</v>
      </c>
      <c r="EB146" s="229">
        <v>5.4000000000000003E-3</v>
      </c>
      <c r="EC146" s="229">
        <v>2.1999999999999999E-2</v>
      </c>
      <c r="ED146" s="228">
        <v>0.38</v>
      </c>
      <c r="EE146" s="229">
        <v>5.0000000000000001E-3</v>
      </c>
      <c r="EF146" s="230">
        <v>5877105</v>
      </c>
      <c r="EG146" s="230">
        <v>17074038</v>
      </c>
      <c r="EH146" s="229">
        <v>-0.65580000000000005</v>
      </c>
      <c r="EI146" s="229">
        <v>0.44569999999999999</v>
      </c>
      <c r="EJ146" s="231">
        <v>67139.240000000005</v>
      </c>
      <c r="EK146" s="231">
        <v>27229.98</v>
      </c>
      <c r="EL146" s="231">
        <v>24614.720000000001</v>
      </c>
      <c r="EM146" s="231">
        <v>7566</v>
      </c>
      <c r="EN146" s="231">
        <v>118983.94</v>
      </c>
      <c r="EO146" s="231">
        <v>183545.02</v>
      </c>
      <c r="EP146" s="231">
        <v>-64561.08</v>
      </c>
      <c r="EQ146" s="229">
        <v>-0.35170000000000001</v>
      </c>
      <c r="ER146" s="231">
        <v>73324</v>
      </c>
      <c r="ES146" s="231">
        <v>48022</v>
      </c>
      <c r="ET146" s="231">
        <v>216852</v>
      </c>
      <c r="EU146" s="231">
        <v>517037525</v>
      </c>
      <c r="EV146" s="231">
        <v>338198</v>
      </c>
      <c r="EW146" s="231">
        <v>327120</v>
      </c>
      <c r="EX146" s="231">
        <v>11078</v>
      </c>
      <c r="EY146" s="229">
        <v>3.39E-2</v>
      </c>
      <c r="EZ146" s="229">
        <v>0.85089999999999999</v>
      </c>
      <c r="FA146" s="227" t="s">
        <v>567</v>
      </c>
      <c r="FB146" s="161">
        <f t="shared" si="3"/>
        <v>0</v>
      </c>
    </row>
    <row r="147" spans="1:158" ht="17.25" hidden="1" thickBot="1" x14ac:dyDescent="0.3">
      <c r="A147" s="226">
        <v>45936</v>
      </c>
      <c r="B147" s="227" t="s">
        <v>161</v>
      </c>
      <c r="C147" s="227" t="s">
        <v>268</v>
      </c>
      <c r="D147" s="228">
        <v>1500</v>
      </c>
      <c r="E147" s="228">
        <v>341.1</v>
      </c>
      <c r="F147" s="228">
        <v>344.15</v>
      </c>
      <c r="G147" s="228">
        <v>-3.05</v>
      </c>
      <c r="H147" s="229">
        <v>-8.8999999999999999E-3</v>
      </c>
      <c r="I147" s="228">
        <v>339.1</v>
      </c>
      <c r="J147" s="228">
        <v>342</v>
      </c>
      <c r="K147" s="228">
        <v>-2.9</v>
      </c>
      <c r="L147" s="229">
        <v>-8.5000000000000006E-3</v>
      </c>
      <c r="M147" s="228">
        <v>341.1</v>
      </c>
      <c r="N147" s="228">
        <v>344.15</v>
      </c>
      <c r="O147" s="228">
        <v>-3.05</v>
      </c>
      <c r="P147" s="229">
        <v>-8.8999999999999999E-3</v>
      </c>
      <c r="Q147" s="228">
        <v>340.7</v>
      </c>
      <c r="R147" s="228">
        <v>343.65</v>
      </c>
      <c r="S147" s="228">
        <v>-2.95</v>
      </c>
      <c r="T147" s="229">
        <v>-8.6E-3</v>
      </c>
      <c r="U147" s="228">
        <v>343.1</v>
      </c>
      <c r="V147" s="228">
        <v>346</v>
      </c>
      <c r="W147" s="228">
        <v>-2.9</v>
      </c>
      <c r="X147" s="229">
        <v>-8.3999999999999995E-3</v>
      </c>
      <c r="Y147" s="228">
        <v>2</v>
      </c>
      <c r="Z147" s="228">
        <v>2.15</v>
      </c>
      <c r="AA147" s="228">
        <v>-0.15</v>
      </c>
      <c r="AB147" s="229">
        <v>5.8999999999999999E-3</v>
      </c>
      <c r="AC147" s="228">
        <v>2</v>
      </c>
      <c r="AD147" s="228">
        <v>2.15</v>
      </c>
      <c r="AE147" s="228">
        <v>-0.15</v>
      </c>
      <c r="AF147" s="229">
        <v>5.8999999999999999E-3</v>
      </c>
      <c r="AG147" s="228">
        <v>1.6</v>
      </c>
      <c r="AH147" s="228">
        <v>1.65</v>
      </c>
      <c r="AI147" s="228">
        <v>-0.05</v>
      </c>
      <c r="AJ147" s="229">
        <v>4.7000000000000002E-3</v>
      </c>
      <c r="AK147" s="228">
        <v>4</v>
      </c>
      <c r="AL147" s="228">
        <v>4</v>
      </c>
      <c r="AM147" s="228">
        <v>0</v>
      </c>
      <c r="AN147" s="229">
        <v>1.18E-2</v>
      </c>
      <c r="AO147" s="228">
        <v>340.4</v>
      </c>
      <c r="AP147" s="228">
        <v>339.72</v>
      </c>
      <c r="AQ147" s="228">
        <v>0</v>
      </c>
      <c r="AR147" s="230">
        <v>8650500</v>
      </c>
      <c r="AS147" s="230">
        <v>9025500</v>
      </c>
      <c r="AT147" s="230">
        <v>-375000</v>
      </c>
      <c r="AU147" s="229">
        <v>-4.1500000000000002E-2</v>
      </c>
      <c r="AV147" s="230">
        <v>7951500</v>
      </c>
      <c r="AW147" s="230">
        <v>8445000</v>
      </c>
      <c r="AX147" s="230">
        <v>-493500</v>
      </c>
      <c r="AY147" s="229">
        <v>-5.8400000000000001E-2</v>
      </c>
      <c r="AZ147" s="230">
        <v>624000</v>
      </c>
      <c r="BA147" s="230">
        <v>540000</v>
      </c>
      <c r="BB147" s="230">
        <v>84000</v>
      </c>
      <c r="BC147" s="229">
        <v>0.15559999999999999</v>
      </c>
      <c r="BD147" s="230">
        <v>75000</v>
      </c>
      <c r="BE147" s="230">
        <v>40500</v>
      </c>
      <c r="BF147" s="230">
        <v>34500</v>
      </c>
      <c r="BG147" s="229">
        <v>0.85189999999999999</v>
      </c>
      <c r="BH147" s="230">
        <v>27987000</v>
      </c>
      <c r="BI147" s="230">
        <v>22582500</v>
      </c>
      <c r="BJ147" s="230">
        <v>5404500</v>
      </c>
      <c r="BK147" s="229">
        <v>0.23930000000000001</v>
      </c>
      <c r="BL147" s="230">
        <v>12076500</v>
      </c>
      <c r="BM147" s="230">
        <v>11482500</v>
      </c>
      <c r="BN147" s="230">
        <v>594000</v>
      </c>
      <c r="BO147" s="229">
        <v>5.1700000000000003E-2</v>
      </c>
      <c r="BP147" s="230">
        <v>48714000</v>
      </c>
      <c r="BQ147" s="230">
        <v>43090500</v>
      </c>
      <c r="BR147" s="230">
        <v>5623500</v>
      </c>
      <c r="BS147" s="229">
        <v>0.1305</v>
      </c>
      <c r="BT147" s="230">
        <v>8776280</v>
      </c>
      <c r="BU147" s="230">
        <v>8583849</v>
      </c>
      <c r="BV147" s="230">
        <v>192431</v>
      </c>
      <c r="BW147" s="229">
        <v>2.24E-2</v>
      </c>
      <c r="BX147" s="230">
        <v>98919000</v>
      </c>
      <c r="BY147" s="230">
        <v>97993500</v>
      </c>
      <c r="BZ147" s="230">
        <v>925500</v>
      </c>
      <c r="CA147" s="229">
        <v>9.4000000000000004E-3</v>
      </c>
      <c r="CB147" s="230">
        <v>96669000</v>
      </c>
      <c r="CC147" s="230">
        <v>96070500</v>
      </c>
      <c r="CD147" s="230">
        <v>598500</v>
      </c>
      <c r="CE147" s="229">
        <v>6.1999999999999998E-3</v>
      </c>
      <c r="CF147" s="230">
        <v>2143500</v>
      </c>
      <c r="CG147" s="230">
        <v>1873500</v>
      </c>
      <c r="CH147" s="230">
        <v>270000</v>
      </c>
      <c r="CI147" s="229">
        <v>0.14410000000000001</v>
      </c>
      <c r="CJ147" s="230">
        <v>106500</v>
      </c>
      <c r="CK147" s="230">
        <v>49500</v>
      </c>
      <c r="CL147" s="230">
        <v>57000</v>
      </c>
      <c r="CM147" s="229">
        <v>1.1515</v>
      </c>
      <c r="CN147" s="230">
        <v>23199000</v>
      </c>
      <c r="CO147" s="230">
        <v>20140500</v>
      </c>
      <c r="CP147" s="230">
        <v>3058500</v>
      </c>
      <c r="CQ147" s="229">
        <v>0.15190000000000001</v>
      </c>
      <c r="CR147" s="230">
        <v>15549000</v>
      </c>
      <c r="CS147" s="230">
        <v>14425500</v>
      </c>
      <c r="CT147" s="230">
        <v>1123500</v>
      </c>
      <c r="CU147" s="229">
        <v>7.7899999999999997E-2</v>
      </c>
      <c r="CV147" s="230">
        <v>137667000</v>
      </c>
      <c r="CW147" s="230">
        <v>132559500</v>
      </c>
      <c r="CX147" s="230">
        <v>5107500</v>
      </c>
      <c r="CY147" s="229">
        <v>3.85E-2</v>
      </c>
      <c r="CZ147" s="228">
        <v>18.829999999999998</v>
      </c>
      <c r="DA147" s="228">
        <v>18.52</v>
      </c>
      <c r="DB147" s="228">
        <v>0.31</v>
      </c>
      <c r="DC147" s="228">
        <v>0.31</v>
      </c>
      <c r="DD147" s="228">
        <v>29.08</v>
      </c>
      <c r="DE147" s="228">
        <v>29.13</v>
      </c>
      <c r="DF147" s="228">
        <v>-10.25</v>
      </c>
      <c r="DG147" s="228">
        <v>-0.05</v>
      </c>
      <c r="DH147" s="228">
        <v>18.78</v>
      </c>
      <c r="DI147" s="228">
        <v>18.37</v>
      </c>
      <c r="DJ147" s="228">
        <v>0.41</v>
      </c>
      <c r="DK147" s="228">
        <v>0.41</v>
      </c>
      <c r="DL147" s="228">
        <v>18.96</v>
      </c>
      <c r="DM147" s="228">
        <v>18.829999999999998</v>
      </c>
      <c r="DN147" s="228">
        <v>0.13</v>
      </c>
      <c r="DO147" s="228">
        <v>0.13</v>
      </c>
      <c r="DP147" s="228">
        <v>0.67</v>
      </c>
      <c r="DQ147" s="228">
        <v>0.72</v>
      </c>
      <c r="DR147" s="228">
        <v>-0.05</v>
      </c>
      <c r="DS147" s="229">
        <v>-6.9400000000000003E-2</v>
      </c>
      <c r="DT147" s="228">
        <v>350</v>
      </c>
      <c r="DU147" s="228">
        <v>380</v>
      </c>
      <c r="DV147" s="228">
        <v>0.43</v>
      </c>
      <c r="DW147" s="228">
        <v>0.51</v>
      </c>
      <c r="DX147" s="228">
        <v>-0.08</v>
      </c>
      <c r="DY147" s="229">
        <v>-0.15690000000000001</v>
      </c>
      <c r="DZ147" s="229">
        <v>2.2700000000000001E-2</v>
      </c>
      <c r="EA147" s="230">
        <v>1923000</v>
      </c>
      <c r="EB147" s="229">
        <v>-1.1999999999999999E-3</v>
      </c>
      <c r="EC147" s="229">
        <v>2.2700000000000001E-2</v>
      </c>
      <c r="ED147" s="228">
        <v>-0.68</v>
      </c>
      <c r="EE147" s="229">
        <v>-2E-3</v>
      </c>
      <c r="EF147" s="230">
        <v>6215575</v>
      </c>
      <c r="EG147" s="230">
        <v>5930966</v>
      </c>
      <c r="EH147" s="229">
        <v>4.8000000000000001E-2</v>
      </c>
      <c r="EI147" s="229">
        <v>0.70820000000000005</v>
      </c>
      <c r="EJ147" s="231">
        <v>98609.1</v>
      </c>
      <c r="EK147" s="231">
        <v>40984.879999999997</v>
      </c>
      <c r="EL147" s="231">
        <v>29443.29</v>
      </c>
      <c r="EM147" s="231">
        <v>20624</v>
      </c>
      <c r="EN147" s="231">
        <v>169037.27</v>
      </c>
      <c r="EO147" s="231">
        <v>150139.79</v>
      </c>
      <c r="EP147" s="231">
        <v>18897.48</v>
      </c>
      <c r="EQ147" s="229">
        <v>0.12590000000000001</v>
      </c>
      <c r="ER147" s="231">
        <v>82515</v>
      </c>
      <c r="ES147" s="231">
        <v>52769</v>
      </c>
      <c r="ET147" s="231">
        <v>337406</v>
      </c>
      <c r="EU147" s="231">
        <v>572782298</v>
      </c>
      <c r="EV147" s="231">
        <v>472691</v>
      </c>
      <c r="EW147" s="231">
        <v>458219</v>
      </c>
      <c r="EX147" s="231">
        <v>14472</v>
      </c>
      <c r="EY147" s="229">
        <v>3.1600000000000003E-2</v>
      </c>
      <c r="EZ147" s="229">
        <v>0.24030000000000001</v>
      </c>
      <c r="FA147" s="227" t="s">
        <v>567</v>
      </c>
      <c r="FB147" s="161">
        <f t="shared" si="3"/>
        <v>0</v>
      </c>
    </row>
    <row r="148" spans="1:158" ht="17.25" hidden="1" thickBot="1" x14ac:dyDescent="0.3">
      <c r="A148" s="226">
        <v>45936</v>
      </c>
      <c r="B148" s="227" t="s">
        <v>175</v>
      </c>
      <c r="C148" s="227" t="s">
        <v>687</v>
      </c>
      <c r="D148" s="228">
        <v>75</v>
      </c>
      <c r="E148" s="231">
        <v>6932</v>
      </c>
      <c r="F148" s="231">
        <v>6761.5</v>
      </c>
      <c r="G148" s="228">
        <v>170.5</v>
      </c>
      <c r="H148" s="229">
        <v>2.52E-2</v>
      </c>
      <c r="I148" s="231">
        <v>6928</v>
      </c>
      <c r="J148" s="231">
        <v>6754.5</v>
      </c>
      <c r="K148" s="228">
        <v>173.5</v>
      </c>
      <c r="L148" s="229">
        <v>2.5700000000000001E-2</v>
      </c>
      <c r="M148" s="231">
        <v>6932</v>
      </c>
      <c r="N148" s="231">
        <v>6761.5</v>
      </c>
      <c r="O148" s="228">
        <v>170.5</v>
      </c>
      <c r="P148" s="229">
        <v>2.52E-2</v>
      </c>
      <c r="Q148" s="231">
        <v>6907.5</v>
      </c>
      <c r="R148" s="231">
        <v>6745.5</v>
      </c>
      <c r="S148" s="228">
        <v>162</v>
      </c>
      <c r="T148" s="229">
        <v>2.4E-2</v>
      </c>
      <c r="U148" s="231">
        <v>6920</v>
      </c>
      <c r="V148" s="231">
        <v>6692.5</v>
      </c>
      <c r="W148" s="228">
        <v>227.5</v>
      </c>
      <c r="X148" s="229">
        <v>3.4000000000000002E-2</v>
      </c>
      <c r="Y148" s="228">
        <v>4</v>
      </c>
      <c r="Z148" s="228">
        <v>7</v>
      </c>
      <c r="AA148" s="228">
        <v>-3</v>
      </c>
      <c r="AB148" s="229">
        <v>5.9999999999999995E-4</v>
      </c>
      <c r="AC148" s="228">
        <v>4</v>
      </c>
      <c r="AD148" s="228">
        <v>7</v>
      </c>
      <c r="AE148" s="228">
        <v>-3</v>
      </c>
      <c r="AF148" s="229">
        <v>5.9999999999999995E-4</v>
      </c>
      <c r="AG148" s="228">
        <v>-20.5</v>
      </c>
      <c r="AH148" s="228">
        <v>-9</v>
      </c>
      <c r="AI148" s="228">
        <v>-11.5</v>
      </c>
      <c r="AJ148" s="229">
        <v>-3.0000000000000001E-3</v>
      </c>
      <c r="AK148" s="228">
        <v>-8</v>
      </c>
      <c r="AL148" s="228">
        <v>-62</v>
      </c>
      <c r="AM148" s="228">
        <v>54</v>
      </c>
      <c r="AN148" s="229">
        <v>-1.1999999999999999E-3</v>
      </c>
      <c r="AO148" s="231">
        <v>6877.14</v>
      </c>
      <c r="AP148" s="231">
        <v>6853.73</v>
      </c>
      <c r="AQ148" s="228">
        <v>0</v>
      </c>
      <c r="AR148" s="230">
        <v>191700</v>
      </c>
      <c r="AS148" s="230">
        <v>327825</v>
      </c>
      <c r="AT148" s="230">
        <v>-136125</v>
      </c>
      <c r="AU148" s="229">
        <v>-0.41520000000000001</v>
      </c>
      <c r="AV148" s="230">
        <v>181275</v>
      </c>
      <c r="AW148" s="230">
        <v>313950</v>
      </c>
      <c r="AX148" s="230">
        <v>-132675</v>
      </c>
      <c r="AY148" s="229">
        <v>-0.42259999999999998</v>
      </c>
      <c r="AZ148" s="230">
        <v>9975</v>
      </c>
      <c r="BA148" s="230">
        <v>13500</v>
      </c>
      <c r="BB148" s="230">
        <v>-3525</v>
      </c>
      <c r="BC148" s="229">
        <v>-0.2611</v>
      </c>
      <c r="BD148" s="228">
        <v>450</v>
      </c>
      <c r="BE148" s="228">
        <v>375</v>
      </c>
      <c r="BF148" s="228">
        <v>75</v>
      </c>
      <c r="BG148" s="229">
        <v>0.2</v>
      </c>
      <c r="BH148" s="230">
        <v>1161075</v>
      </c>
      <c r="BI148" s="230">
        <v>2133525</v>
      </c>
      <c r="BJ148" s="230">
        <v>-972450</v>
      </c>
      <c r="BK148" s="229">
        <v>-0.45579999999999998</v>
      </c>
      <c r="BL148" s="230">
        <v>458100</v>
      </c>
      <c r="BM148" s="230">
        <v>659025</v>
      </c>
      <c r="BN148" s="230">
        <v>-200925</v>
      </c>
      <c r="BO148" s="229">
        <v>-0.3049</v>
      </c>
      <c r="BP148" s="230">
        <v>1810875</v>
      </c>
      <c r="BQ148" s="230">
        <v>3120375</v>
      </c>
      <c r="BR148" s="230">
        <v>-1309500</v>
      </c>
      <c r="BS148" s="229">
        <v>-0.41970000000000002</v>
      </c>
      <c r="BT148" s="230">
        <v>195362</v>
      </c>
      <c r="BU148" s="230">
        <v>596381</v>
      </c>
      <c r="BV148" s="230">
        <v>-401019</v>
      </c>
      <c r="BW148" s="229">
        <v>-0.6724</v>
      </c>
      <c r="BX148" s="230">
        <v>337800</v>
      </c>
      <c r="BY148" s="230">
        <v>351675</v>
      </c>
      <c r="BZ148" s="230">
        <v>-13875</v>
      </c>
      <c r="CA148" s="229">
        <v>-3.95E-2</v>
      </c>
      <c r="CB148" s="230">
        <v>315900</v>
      </c>
      <c r="CC148" s="230">
        <v>330900</v>
      </c>
      <c r="CD148" s="230">
        <v>-15000</v>
      </c>
      <c r="CE148" s="229">
        <v>-4.53E-2</v>
      </c>
      <c r="CF148" s="230">
        <v>21600</v>
      </c>
      <c r="CG148" s="230">
        <v>20325</v>
      </c>
      <c r="CH148" s="230">
        <v>1275</v>
      </c>
      <c r="CI148" s="229">
        <v>6.2700000000000006E-2</v>
      </c>
      <c r="CJ148" s="228">
        <v>300</v>
      </c>
      <c r="CK148" s="228">
        <v>450</v>
      </c>
      <c r="CL148" s="228">
        <v>-150</v>
      </c>
      <c r="CM148" s="229">
        <v>-0.33329999999999999</v>
      </c>
      <c r="CN148" s="230">
        <v>241500</v>
      </c>
      <c r="CO148" s="230">
        <v>318300</v>
      </c>
      <c r="CP148" s="230">
        <v>-76800</v>
      </c>
      <c r="CQ148" s="229">
        <v>-0.24129999999999999</v>
      </c>
      <c r="CR148" s="230">
        <v>157875</v>
      </c>
      <c r="CS148" s="230">
        <v>154725</v>
      </c>
      <c r="CT148" s="230">
        <v>3150</v>
      </c>
      <c r="CU148" s="229">
        <v>2.0400000000000001E-2</v>
      </c>
      <c r="CV148" s="230">
        <v>737175</v>
      </c>
      <c r="CW148" s="230">
        <v>824700</v>
      </c>
      <c r="CX148" s="230">
        <v>-87525</v>
      </c>
      <c r="CY148" s="229">
        <v>-0.1061</v>
      </c>
      <c r="CZ148" s="228">
        <v>32.69</v>
      </c>
      <c r="DA148" s="228">
        <v>31.88</v>
      </c>
      <c r="DB148" s="228">
        <v>0.81</v>
      </c>
      <c r="DC148" s="228">
        <v>0.81</v>
      </c>
      <c r="DD148" s="228">
        <v>52.97</v>
      </c>
      <c r="DE148" s="228">
        <v>52.99</v>
      </c>
      <c r="DF148" s="228">
        <v>-20.28</v>
      </c>
      <c r="DG148" s="228">
        <v>-0.02</v>
      </c>
      <c r="DH148" s="228">
        <v>31.29</v>
      </c>
      <c r="DI148" s="228">
        <v>31.59</v>
      </c>
      <c r="DJ148" s="228">
        <v>-0.3</v>
      </c>
      <c r="DK148" s="228">
        <v>-0.3</v>
      </c>
      <c r="DL148" s="228">
        <v>36.24</v>
      </c>
      <c r="DM148" s="228">
        <v>32.82</v>
      </c>
      <c r="DN148" s="228">
        <v>3.42</v>
      </c>
      <c r="DO148" s="228">
        <v>3.42</v>
      </c>
      <c r="DP148" s="228">
        <v>0.65</v>
      </c>
      <c r="DQ148" s="228">
        <v>0.49</v>
      </c>
      <c r="DR148" s="228">
        <v>0.16</v>
      </c>
      <c r="DS148" s="229">
        <v>0.32650000000000001</v>
      </c>
      <c r="DT148" s="231">
        <v>7400</v>
      </c>
      <c r="DU148" s="231">
        <v>6500</v>
      </c>
      <c r="DV148" s="228">
        <v>0.39</v>
      </c>
      <c r="DW148" s="228">
        <v>0.31</v>
      </c>
      <c r="DX148" s="228">
        <v>0.08</v>
      </c>
      <c r="DY148" s="229">
        <v>0.2581</v>
      </c>
      <c r="DZ148" s="229">
        <v>6.4799999999999996E-2</v>
      </c>
      <c r="EA148" s="230">
        <v>20775</v>
      </c>
      <c r="EB148" s="229">
        <v>-3.5000000000000001E-3</v>
      </c>
      <c r="EC148" s="229">
        <v>6.4799999999999996E-2</v>
      </c>
      <c r="ED148" s="228">
        <v>-23.41</v>
      </c>
      <c r="EE148" s="229">
        <v>-3.3999999999999998E-3</v>
      </c>
      <c r="EF148" s="230">
        <v>81425</v>
      </c>
      <c r="EG148" s="230">
        <v>269466</v>
      </c>
      <c r="EH148" s="229">
        <v>-0.69779999999999998</v>
      </c>
      <c r="EI148" s="229">
        <v>0.4168</v>
      </c>
      <c r="EJ148" s="231">
        <v>83116.98</v>
      </c>
      <c r="EK148" s="231">
        <v>29016.82</v>
      </c>
      <c r="EL148" s="231">
        <v>13180.79</v>
      </c>
      <c r="EM148" s="231">
        <v>4497</v>
      </c>
      <c r="EN148" s="231">
        <v>125314.59</v>
      </c>
      <c r="EO148" s="231">
        <v>216335.86</v>
      </c>
      <c r="EP148" s="231">
        <v>-91021.27</v>
      </c>
      <c r="EQ148" s="229">
        <v>-0.42070000000000002</v>
      </c>
      <c r="ER148" s="231">
        <v>16697</v>
      </c>
      <c r="ES148" s="231">
        <v>10127</v>
      </c>
      <c r="ET148" s="231">
        <v>23411</v>
      </c>
      <c r="EU148" s="231">
        <v>2444664</v>
      </c>
      <c r="EV148" s="231">
        <v>50235</v>
      </c>
      <c r="EW148" s="231">
        <v>55516</v>
      </c>
      <c r="EX148" s="231">
        <v>-5281</v>
      </c>
      <c r="EY148" s="229">
        <v>-9.5100000000000004E-2</v>
      </c>
      <c r="EZ148" s="229">
        <v>0.30149999999999999</v>
      </c>
      <c r="FA148" s="227" t="s">
        <v>556</v>
      </c>
      <c r="FB148" s="161">
        <f t="shared" si="3"/>
        <v>0</v>
      </c>
    </row>
    <row r="149" spans="1:158" ht="17.25" hidden="1" thickBot="1" x14ac:dyDescent="0.3">
      <c r="A149" s="226">
        <v>45936</v>
      </c>
      <c r="B149" s="227" t="s">
        <v>616</v>
      </c>
      <c r="C149" s="227" t="s">
        <v>614</v>
      </c>
      <c r="D149" s="228">
        <v>3125</v>
      </c>
      <c r="E149" s="228">
        <v>254.44</v>
      </c>
      <c r="F149" s="228">
        <v>239.63</v>
      </c>
      <c r="G149" s="228">
        <v>14.81</v>
      </c>
      <c r="H149" s="229">
        <v>6.1800000000000001E-2</v>
      </c>
      <c r="I149" s="228">
        <v>255.34</v>
      </c>
      <c r="J149" s="228">
        <v>239.81</v>
      </c>
      <c r="K149" s="228">
        <v>15.53</v>
      </c>
      <c r="L149" s="229">
        <v>6.4799999999999996E-2</v>
      </c>
      <c r="M149" s="228">
        <v>254.44</v>
      </c>
      <c r="N149" s="228">
        <v>239.63</v>
      </c>
      <c r="O149" s="228">
        <v>14.81</v>
      </c>
      <c r="P149" s="229">
        <v>6.1800000000000001E-2</v>
      </c>
      <c r="Q149" s="228">
        <v>251.99</v>
      </c>
      <c r="R149" s="228">
        <v>238</v>
      </c>
      <c r="S149" s="228">
        <v>13.99</v>
      </c>
      <c r="T149" s="229">
        <v>5.8799999999999998E-2</v>
      </c>
      <c r="U149" s="228">
        <v>251.4</v>
      </c>
      <c r="V149" s="228">
        <v>237.1</v>
      </c>
      <c r="W149" s="228">
        <v>14.3</v>
      </c>
      <c r="X149" s="229">
        <v>6.0299999999999999E-2</v>
      </c>
      <c r="Y149" s="228">
        <v>-0.9</v>
      </c>
      <c r="Z149" s="228">
        <v>-0.18</v>
      </c>
      <c r="AA149" s="228">
        <v>-0.72</v>
      </c>
      <c r="AB149" s="229">
        <v>-3.5000000000000001E-3</v>
      </c>
      <c r="AC149" s="228">
        <v>-0.9</v>
      </c>
      <c r="AD149" s="228">
        <v>-0.18</v>
      </c>
      <c r="AE149" s="228">
        <v>-0.72</v>
      </c>
      <c r="AF149" s="229">
        <v>-3.5000000000000001E-3</v>
      </c>
      <c r="AG149" s="228">
        <v>-3.35</v>
      </c>
      <c r="AH149" s="228">
        <v>-1.81</v>
      </c>
      <c r="AI149" s="228">
        <v>-1.54</v>
      </c>
      <c r="AJ149" s="229">
        <v>-1.3100000000000001E-2</v>
      </c>
      <c r="AK149" s="228">
        <v>-3.94</v>
      </c>
      <c r="AL149" s="228">
        <v>-2.71</v>
      </c>
      <c r="AM149" s="228">
        <v>-1.23</v>
      </c>
      <c r="AN149" s="229">
        <v>-1.54E-2</v>
      </c>
      <c r="AO149" s="228">
        <v>250.4</v>
      </c>
      <c r="AP149" s="228">
        <v>248.36</v>
      </c>
      <c r="AQ149" s="228">
        <v>0</v>
      </c>
      <c r="AR149" s="230">
        <v>20765625</v>
      </c>
      <c r="AS149" s="230">
        <v>5743750</v>
      </c>
      <c r="AT149" s="230">
        <v>15021875</v>
      </c>
      <c r="AU149" s="229">
        <v>2.6153</v>
      </c>
      <c r="AV149" s="230">
        <v>19506250</v>
      </c>
      <c r="AW149" s="230">
        <v>5459375</v>
      </c>
      <c r="AX149" s="230">
        <v>14046875</v>
      </c>
      <c r="AY149" s="229">
        <v>2.573</v>
      </c>
      <c r="AZ149" s="230">
        <v>1128125</v>
      </c>
      <c r="BA149" s="230">
        <v>225000</v>
      </c>
      <c r="BB149" s="230">
        <v>903125</v>
      </c>
      <c r="BC149" s="229">
        <v>4.0138999999999996</v>
      </c>
      <c r="BD149" s="230">
        <v>131250</v>
      </c>
      <c r="BE149" s="230">
        <v>59375</v>
      </c>
      <c r="BF149" s="230">
        <v>71875</v>
      </c>
      <c r="BG149" s="229">
        <v>1.2104999999999999</v>
      </c>
      <c r="BH149" s="230">
        <v>78381250</v>
      </c>
      <c r="BI149" s="230">
        <v>10578125</v>
      </c>
      <c r="BJ149" s="230">
        <v>67803125</v>
      </c>
      <c r="BK149" s="229">
        <v>6.4097</v>
      </c>
      <c r="BL149" s="230">
        <v>28690625</v>
      </c>
      <c r="BM149" s="230">
        <v>3128125</v>
      </c>
      <c r="BN149" s="230">
        <v>25562500</v>
      </c>
      <c r="BO149" s="229">
        <v>8.1717999999999993</v>
      </c>
      <c r="BP149" s="230">
        <v>127837500</v>
      </c>
      <c r="BQ149" s="230">
        <v>19450000</v>
      </c>
      <c r="BR149" s="230">
        <v>108387500</v>
      </c>
      <c r="BS149" s="229">
        <v>5.5726000000000004</v>
      </c>
      <c r="BT149" s="230">
        <v>31046264</v>
      </c>
      <c r="BU149" s="230">
        <v>2888769</v>
      </c>
      <c r="BV149" s="230">
        <v>28157495</v>
      </c>
      <c r="BW149" s="229">
        <v>9.7471999999999994</v>
      </c>
      <c r="BX149" s="230">
        <v>62518750</v>
      </c>
      <c r="BY149" s="230">
        <v>58825000</v>
      </c>
      <c r="BZ149" s="230">
        <v>3693750</v>
      </c>
      <c r="CA149" s="229">
        <v>6.2799999999999995E-2</v>
      </c>
      <c r="CB149" s="230">
        <v>61746875</v>
      </c>
      <c r="CC149" s="230">
        <v>58306250</v>
      </c>
      <c r="CD149" s="230">
        <v>3440625</v>
      </c>
      <c r="CE149" s="229">
        <v>5.8999999999999997E-2</v>
      </c>
      <c r="CF149" s="230">
        <v>671875</v>
      </c>
      <c r="CG149" s="230">
        <v>462500</v>
      </c>
      <c r="CH149" s="230">
        <v>209375</v>
      </c>
      <c r="CI149" s="229">
        <v>0.45269999999999999</v>
      </c>
      <c r="CJ149" s="230">
        <v>100000</v>
      </c>
      <c r="CK149" s="230">
        <v>56250</v>
      </c>
      <c r="CL149" s="230">
        <v>43750</v>
      </c>
      <c r="CM149" s="229">
        <v>0.77780000000000005</v>
      </c>
      <c r="CN149" s="230">
        <v>11993750</v>
      </c>
      <c r="CO149" s="230">
        <v>7068750</v>
      </c>
      <c r="CP149" s="230">
        <v>4925000</v>
      </c>
      <c r="CQ149" s="229">
        <v>0.69669999999999999</v>
      </c>
      <c r="CR149" s="230">
        <v>7603125</v>
      </c>
      <c r="CS149" s="230">
        <v>3612500</v>
      </c>
      <c r="CT149" s="230">
        <v>3990625</v>
      </c>
      <c r="CU149" s="229">
        <v>1.1047</v>
      </c>
      <c r="CV149" s="230">
        <v>82115625</v>
      </c>
      <c r="CW149" s="230">
        <v>69506250</v>
      </c>
      <c r="CX149" s="230">
        <v>12609375</v>
      </c>
      <c r="CY149" s="229">
        <v>0.18140000000000001</v>
      </c>
      <c r="CZ149" s="228">
        <v>30.53</v>
      </c>
      <c r="DA149" s="228">
        <v>28.72</v>
      </c>
      <c r="DB149" s="228">
        <v>1.81</v>
      </c>
      <c r="DC149" s="228">
        <v>1.81</v>
      </c>
      <c r="DD149" s="228">
        <v>37.479999999999997</v>
      </c>
      <c r="DE149" s="228">
        <v>36.6</v>
      </c>
      <c r="DF149" s="228">
        <v>-6.95</v>
      </c>
      <c r="DG149" s="228">
        <v>0.88</v>
      </c>
      <c r="DH149" s="228">
        <v>30.32</v>
      </c>
      <c r="DI149" s="228">
        <v>28.73</v>
      </c>
      <c r="DJ149" s="228">
        <v>1.59</v>
      </c>
      <c r="DK149" s="228">
        <v>1.59</v>
      </c>
      <c r="DL149" s="228">
        <v>31.12</v>
      </c>
      <c r="DM149" s="228">
        <v>28.66</v>
      </c>
      <c r="DN149" s="228">
        <v>2.46</v>
      </c>
      <c r="DO149" s="228">
        <v>2.46</v>
      </c>
      <c r="DP149" s="228">
        <v>0.63</v>
      </c>
      <c r="DQ149" s="228">
        <v>0.51</v>
      </c>
      <c r="DR149" s="228">
        <v>0.12</v>
      </c>
      <c r="DS149" s="229">
        <v>0.23530000000000001</v>
      </c>
      <c r="DT149" s="228">
        <v>260</v>
      </c>
      <c r="DU149" s="228">
        <v>250</v>
      </c>
      <c r="DV149" s="228">
        <v>0.37</v>
      </c>
      <c r="DW149" s="228">
        <v>0.3</v>
      </c>
      <c r="DX149" s="228">
        <v>7.0000000000000007E-2</v>
      </c>
      <c r="DY149" s="229">
        <v>0.23330000000000001</v>
      </c>
      <c r="DZ149" s="229">
        <v>1.23E-2</v>
      </c>
      <c r="EA149" s="230">
        <v>518750</v>
      </c>
      <c r="EB149" s="229">
        <v>-9.5999999999999992E-3</v>
      </c>
      <c r="EC149" s="229">
        <v>1.23E-2</v>
      </c>
      <c r="ED149" s="228">
        <v>-2.04</v>
      </c>
      <c r="EE149" s="229">
        <v>-8.0999999999999996E-3</v>
      </c>
      <c r="EF149" s="230">
        <v>11495457</v>
      </c>
      <c r="EG149" s="230">
        <v>1242460</v>
      </c>
      <c r="EH149" s="229">
        <v>8.2522000000000002</v>
      </c>
      <c r="EI149" s="229">
        <v>0.37030000000000002</v>
      </c>
      <c r="EJ149" s="231">
        <v>204690.29</v>
      </c>
      <c r="EK149" s="231">
        <v>70596.039999999994</v>
      </c>
      <c r="EL149" s="231">
        <v>51970.879999999997</v>
      </c>
      <c r="EM149" s="231">
        <v>8270</v>
      </c>
      <c r="EN149" s="231">
        <v>327257.21000000002</v>
      </c>
      <c r="EO149" s="231">
        <v>47758.63</v>
      </c>
      <c r="EP149" s="231">
        <v>279498.58</v>
      </c>
      <c r="EQ149" s="229">
        <v>5.8522999999999996</v>
      </c>
      <c r="ER149" s="231">
        <v>30555</v>
      </c>
      <c r="ES149" s="231">
        <v>18079</v>
      </c>
      <c r="ET149" s="231">
        <v>159053</v>
      </c>
      <c r="EU149" s="231">
        <v>205324177</v>
      </c>
      <c r="EV149" s="231">
        <v>207688</v>
      </c>
      <c r="EW149" s="231">
        <v>166522</v>
      </c>
      <c r="EX149" s="231">
        <v>41166</v>
      </c>
      <c r="EY149" s="229">
        <v>0.2472</v>
      </c>
      <c r="EZ149" s="229">
        <v>0.39989999999999998</v>
      </c>
      <c r="FA149" s="227" t="s">
        <v>555</v>
      </c>
      <c r="FB149" s="161">
        <f t="shared" si="3"/>
        <v>0</v>
      </c>
    </row>
    <row r="150" spans="1:158" ht="17.25" thickBot="1" x14ac:dyDescent="0.3">
      <c r="A150" s="226">
        <v>45936</v>
      </c>
      <c r="B150" s="227" t="s">
        <v>206</v>
      </c>
      <c r="C150" s="227" t="s">
        <v>528</v>
      </c>
      <c r="D150" s="228">
        <v>350</v>
      </c>
      <c r="E150" s="231">
        <v>1632.2</v>
      </c>
      <c r="F150" s="231">
        <v>1615.5</v>
      </c>
      <c r="G150" s="228">
        <v>16.7</v>
      </c>
      <c r="H150" s="229">
        <v>1.03E-2</v>
      </c>
      <c r="I150" s="231">
        <v>1622.3</v>
      </c>
      <c r="J150" s="231">
        <v>1605.4</v>
      </c>
      <c r="K150" s="228">
        <v>16.899999999999999</v>
      </c>
      <c r="L150" s="229">
        <v>1.0500000000000001E-2</v>
      </c>
      <c r="M150" s="231">
        <v>1632.2</v>
      </c>
      <c r="N150" s="231">
        <v>1615.5</v>
      </c>
      <c r="O150" s="228">
        <v>16.7</v>
      </c>
      <c r="P150" s="229">
        <v>1.03E-2</v>
      </c>
      <c r="Q150" s="231">
        <v>1639.8</v>
      </c>
      <c r="R150" s="231">
        <v>1621.7</v>
      </c>
      <c r="S150" s="228">
        <v>18.100000000000001</v>
      </c>
      <c r="T150" s="229">
        <v>1.12E-2</v>
      </c>
      <c r="U150" s="231">
        <v>1615</v>
      </c>
      <c r="V150" s="231">
        <v>1617.8</v>
      </c>
      <c r="W150" s="228">
        <v>-2.8</v>
      </c>
      <c r="X150" s="229">
        <v>-1.6999999999999999E-3</v>
      </c>
      <c r="Y150" s="228">
        <v>9.9</v>
      </c>
      <c r="Z150" s="228">
        <v>10.1</v>
      </c>
      <c r="AA150" s="228">
        <v>-0.2</v>
      </c>
      <c r="AB150" s="229">
        <v>6.1000000000000004E-3</v>
      </c>
      <c r="AC150" s="228">
        <v>9.9</v>
      </c>
      <c r="AD150" s="228">
        <v>10.1</v>
      </c>
      <c r="AE150" s="228">
        <v>-0.2</v>
      </c>
      <c r="AF150" s="229">
        <v>6.1000000000000004E-3</v>
      </c>
      <c r="AG150" s="228">
        <v>17.5</v>
      </c>
      <c r="AH150" s="228">
        <v>16.3</v>
      </c>
      <c r="AI150" s="228">
        <v>1.2</v>
      </c>
      <c r="AJ150" s="229">
        <v>1.0800000000000001E-2</v>
      </c>
      <c r="AK150" s="228">
        <v>-7.3</v>
      </c>
      <c r="AL150" s="228">
        <v>12.4</v>
      </c>
      <c r="AM150" s="228">
        <v>-19.7</v>
      </c>
      <c r="AN150" s="229">
        <v>-4.4999999999999997E-3</v>
      </c>
      <c r="AO150" s="231">
        <v>1617.49</v>
      </c>
      <c r="AP150" s="231">
        <v>1624.98</v>
      </c>
      <c r="AQ150" s="228">
        <v>0</v>
      </c>
      <c r="AR150" s="230">
        <v>595350</v>
      </c>
      <c r="AS150" s="230">
        <v>640150</v>
      </c>
      <c r="AT150" s="230">
        <v>-44800</v>
      </c>
      <c r="AU150" s="229">
        <v>-7.0000000000000007E-2</v>
      </c>
      <c r="AV150" s="230">
        <v>569100</v>
      </c>
      <c r="AW150" s="230">
        <v>619150</v>
      </c>
      <c r="AX150" s="230">
        <v>-50050</v>
      </c>
      <c r="AY150" s="229">
        <v>-8.0799999999999997E-2</v>
      </c>
      <c r="AZ150" s="230">
        <v>25900</v>
      </c>
      <c r="BA150" s="230">
        <v>21000</v>
      </c>
      <c r="BB150" s="230">
        <v>4900</v>
      </c>
      <c r="BC150" s="229">
        <v>0.23330000000000001</v>
      </c>
      <c r="BD150" s="228">
        <v>350</v>
      </c>
      <c r="BE150" s="228">
        <v>0</v>
      </c>
      <c r="BF150" s="228">
        <v>350</v>
      </c>
      <c r="BG150" s="229">
        <v>0</v>
      </c>
      <c r="BH150" s="230">
        <v>1518300</v>
      </c>
      <c r="BI150" s="230">
        <v>586600</v>
      </c>
      <c r="BJ150" s="230">
        <v>931700</v>
      </c>
      <c r="BK150" s="229">
        <v>1.5883</v>
      </c>
      <c r="BL150" s="230">
        <v>378000</v>
      </c>
      <c r="BM150" s="230">
        <v>166950</v>
      </c>
      <c r="BN150" s="230">
        <v>211050</v>
      </c>
      <c r="BO150" s="229">
        <v>1.2642</v>
      </c>
      <c r="BP150" s="230">
        <v>2491650</v>
      </c>
      <c r="BQ150" s="230">
        <v>1393700</v>
      </c>
      <c r="BR150" s="230">
        <v>1097950</v>
      </c>
      <c r="BS150" s="229">
        <v>0.78779999999999994</v>
      </c>
      <c r="BT150" s="230">
        <v>159858</v>
      </c>
      <c r="BU150" s="230">
        <v>434380</v>
      </c>
      <c r="BV150" s="230">
        <v>-274522</v>
      </c>
      <c r="BW150" s="229">
        <v>-0.63200000000000001</v>
      </c>
      <c r="BX150" s="230">
        <v>4815650</v>
      </c>
      <c r="BY150" s="230">
        <v>4744600</v>
      </c>
      <c r="BZ150" s="230">
        <v>71050</v>
      </c>
      <c r="CA150" s="229">
        <v>1.4999999999999999E-2</v>
      </c>
      <c r="CB150" s="230">
        <v>4737950</v>
      </c>
      <c r="CC150" s="230">
        <v>4664100</v>
      </c>
      <c r="CD150" s="230">
        <v>73850</v>
      </c>
      <c r="CE150" s="229">
        <v>1.5800000000000002E-2</v>
      </c>
      <c r="CF150" s="230">
        <v>77000</v>
      </c>
      <c r="CG150" s="230">
        <v>80150</v>
      </c>
      <c r="CH150" s="230">
        <v>-3150</v>
      </c>
      <c r="CI150" s="229">
        <v>-3.9300000000000002E-2</v>
      </c>
      <c r="CJ150" s="228">
        <v>700</v>
      </c>
      <c r="CK150" s="228">
        <v>350</v>
      </c>
      <c r="CL150" s="228">
        <v>350</v>
      </c>
      <c r="CM150" s="229">
        <v>1</v>
      </c>
      <c r="CN150" s="230">
        <v>848750</v>
      </c>
      <c r="CO150" s="230">
        <v>793450</v>
      </c>
      <c r="CP150" s="230">
        <v>55300</v>
      </c>
      <c r="CQ150" s="229">
        <v>6.9699999999999998E-2</v>
      </c>
      <c r="CR150" s="230">
        <v>643300</v>
      </c>
      <c r="CS150" s="230">
        <v>627550</v>
      </c>
      <c r="CT150" s="230">
        <v>15750</v>
      </c>
      <c r="CU150" s="229">
        <v>2.5100000000000001E-2</v>
      </c>
      <c r="CV150" s="230">
        <v>6307700</v>
      </c>
      <c r="CW150" s="230">
        <v>6165600</v>
      </c>
      <c r="CX150" s="230">
        <v>142100</v>
      </c>
      <c r="CY150" s="229">
        <v>2.3E-2</v>
      </c>
      <c r="CZ150" s="228">
        <v>29.85</v>
      </c>
      <c r="DA150" s="228">
        <v>28.71</v>
      </c>
      <c r="DB150" s="228">
        <v>1.1399999999999999</v>
      </c>
      <c r="DC150" s="228">
        <v>1.1399999999999999</v>
      </c>
      <c r="DD150" s="228">
        <v>38.409999999999997</v>
      </c>
      <c r="DE150" s="228">
        <v>38.479999999999997</v>
      </c>
      <c r="DF150" s="228">
        <v>-8.56</v>
      </c>
      <c r="DG150" s="228">
        <v>-7.0000000000000007E-2</v>
      </c>
      <c r="DH150" s="228">
        <v>29.77</v>
      </c>
      <c r="DI150" s="228">
        <v>28.59</v>
      </c>
      <c r="DJ150" s="228">
        <v>1.18</v>
      </c>
      <c r="DK150" s="228">
        <v>1.18</v>
      </c>
      <c r="DL150" s="228">
        <v>30.19</v>
      </c>
      <c r="DM150" s="228">
        <v>29.13</v>
      </c>
      <c r="DN150" s="228">
        <v>1.06</v>
      </c>
      <c r="DO150" s="228">
        <v>1.06</v>
      </c>
      <c r="DP150" s="228">
        <v>0.76</v>
      </c>
      <c r="DQ150" s="228">
        <v>0.79</v>
      </c>
      <c r="DR150" s="228">
        <v>-0.03</v>
      </c>
      <c r="DS150" s="229">
        <v>-3.7999999999999999E-2</v>
      </c>
      <c r="DT150" s="231">
        <v>1700</v>
      </c>
      <c r="DU150" s="231">
        <v>1600</v>
      </c>
      <c r="DV150" s="228">
        <v>0.25</v>
      </c>
      <c r="DW150" s="228">
        <v>0.28000000000000003</v>
      </c>
      <c r="DX150" s="228">
        <v>-0.03</v>
      </c>
      <c r="DY150" s="229">
        <v>-0.1071</v>
      </c>
      <c r="DZ150" s="229">
        <v>1.61E-2</v>
      </c>
      <c r="EA150" s="230">
        <v>80500</v>
      </c>
      <c r="EB150" s="229">
        <v>4.7000000000000002E-3</v>
      </c>
      <c r="EC150" s="229">
        <v>1.61E-2</v>
      </c>
      <c r="ED150" s="228">
        <v>7.49</v>
      </c>
      <c r="EE150" s="229">
        <v>4.5999999999999999E-3</v>
      </c>
      <c r="EF150" s="230">
        <v>61748</v>
      </c>
      <c r="EG150" s="230">
        <v>229502</v>
      </c>
      <c r="EH150" s="229">
        <v>-0.73089999999999999</v>
      </c>
      <c r="EI150" s="229">
        <v>0.38629999999999998</v>
      </c>
      <c r="EJ150" s="231">
        <v>25462.94</v>
      </c>
      <c r="EK150" s="231">
        <v>6104.93</v>
      </c>
      <c r="EL150" s="231">
        <v>9631.6299999999992</v>
      </c>
      <c r="EM150" s="231">
        <v>4829</v>
      </c>
      <c r="EN150" s="231">
        <v>41199.5</v>
      </c>
      <c r="EO150" s="231">
        <v>22838.5</v>
      </c>
      <c r="EP150" s="231">
        <v>18361</v>
      </c>
      <c r="EQ150" s="229">
        <v>0.80389999999999995</v>
      </c>
      <c r="ER150" s="231">
        <v>14101</v>
      </c>
      <c r="ES150" s="231">
        <v>10282</v>
      </c>
      <c r="ET150" s="231">
        <v>78607</v>
      </c>
      <c r="EU150" s="231">
        <v>17614093</v>
      </c>
      <c r="EV150" s="231">
        <v>102990</v>
      </c>
      <c r="EW150" s="231">
        <v>99914</v>
      </c>
      <c r="EX150" s="231">
        <v>3076</v>
      </c>
      <c r="EY150" s="229">
        <v>3.0800000000000001E-2</v>
      </c>
      <c r="EZ150" s="229">
        <v>0.35809999999999997</v>
      </c>
      <c r="FA150" s="227" t="s">
        <v>555</v>
      </c>
      <c r="FB150" s="161">
        <f t="shared" si="3"/>
        <v>0</v>
      </c>
    </row>
    <row r="151" spans="1:158" ht="17.25" thickBot="1" x14ac:dyDescent="0.3">
      <c r="A151" s="226">
        <v>45936</v>
      </c>
      <c r="B151" s="227" t="s">
        <v>221</v>
      </c>
      <c r="C151" s="227" t="s">
        <v>518</v>
      </c>
      <c r="D151" s="228">
        <v>75</v>
      </c>
      <c r="E151" s="231">
        <v>9149</v>
      </c>
      <c r="F151" s="231">
        <v>8977.5</v>
      </c>
      <c r="G151" s="228">
        <v>171.5</v>
      </c>
      <c r="H151" s="229">
        <v>1.9099999999999999E-2</v>
      </c>
      <c r="I151" s="231">
        <v>9093.5</v>
      </c>
      <c r="J151" s="231">
        <v>8962</v>
      </c>
      <c r="K151" s="228">
        <v>131.5</v>
      </c>
      <c r="L151" s="229">
        <v>1.47E-2</v>
      </c>
      <c r="M151" s="231">
        <v>9149</v>
      </c>
      <c r="N151" s="231">
        <v>8977.5</v>
      </c>
      <c r="O151" s="228">
        <v>171.5</v>
      </c>
      <c r="P151" s="229">
        <v>1.9099999999999999E-2</v>
      </c>
      <c r="Q151" s="231">
        <v>9185</v>
      </c>
      <c r="R151" s="231">
        <v>9011</v>
      </c>
      <c r="S151" s="228">
        <v>174</v>
      </c>
      <c r="T151" s="229">
        <v>1.9300000000000001E-2</v>
      </c>
      <c r="U151" s="231">
        <v>9217</v>
      </c>
      <c r="V151" s="231">
        <v>9050</v>
      </c>
      <c r="W151" s="228">
        <v>167</v>
      </c>
      <c r="X151" s="229">
        <v>1.8499999999999999E-2</v>
      </c>
      <c r="Y151" s="228">
        <v>55.5</v>
      </c>
      <c r="Z151" s="228">
        <v>15.5</v>
      </c>
      <c r="AA151" s="228">
        <v>40</v>
      </c>
      <c r="AB151" s="229">
        <v>6.1000000000000004E-3</v>
      </c>
      <c r="AC151" s="228">
        <v>55.5</v>
      </c>
      <c r="AD151" s="228">
        <v>15.5</v>
      </c>
      <c r="AE151" s="228">
        <v>40</v>
      </c>
      <c r="AF151" s="229">
        <v>6.1000000000000004E-3</v>
      </c>
      <c r="AG151" s="228">
        <v>91.5</v>
      </c>
      <c r="AH151" s="228">
        <v>49</v>
      </c>
      <c r="AI151" s="228">
        <v>42.5</v>
      </c>
      <c r="AJ151" s="229">
        <v>1.01E-2</v>
      </c>
      <c r="AK151" s="228">
        <v>123.5</v>
      </c>
      <c r="AL151" s="228">
        <v>88</v>
      </c>
      <c r="AM151" s="228">
        <v>35.5</v>
      </c>
      <c r="AN151" s="229">
        <v>1.3599999999999999E-2</v>
      </c>
      <c r="AO151" s="231">
        <v>9078.0300000000007</v>
      </c>
      <c r="AP151" s="231">
        <v>9114</v>
      </c>
      <c r="AQ151" s="228">
        <v>0</v>
      </c>
      <c r="AR151" s="230">
        <v>246900</v>
      </c>
      <c r="AS151" s="230">
        <v>317325</v>
      </c>
      <c r="AT151" s="230">
        <v>-70425</v>
      </c>
      <c r="AU151" s="229">
        <v>-0.22189999999999999</v>
      </c>
      <c r="AV151" s="230">
        <v>232650</v>
      </c>
      <c r="AW151" s="230">
        <v>303900</v>
      </c>
      <c r="AX151" s="230">
        <v>-71250</v>
      </c>
      <c r="AY151" s="229">
        <v>-0.23449999999999999</v>
      </c>
      <c r="AZ151" s="230">
        <v>13500</v>
      </c>
      <c r="BA151" s="230">
        <v>12825</v>
      </c>
      <c r="BB151" s="228">
        <v>675</v>
      </c>
      <c r="BC151" s="229">
        <v>5.2600000000000001E-2</v>
      </c>
      <c r="BD151" s="228">
        <v>750</v>
      </c>
      <c r="BE151" s="228">
        <v>600</v>
      </c>
      <c r="BF151" s="228">
        <v>150</v>
      </c>
      <c r="BG151" s="229">
        <v>0.25</v>
      </c>
      <c r="BH151" s="230">
        <v>880425</v>
      </c>
      <c r="BI151" s="230">
        <v>1284450</v>
      </c>
      <c r="BJ151" s="230">
        <v>-404025</v>
      </c>
      <c r="BK151" s="229">
        <v>-0.31459999999999999</v>
      </c>
      <c r="BL151" s="230">
        <v>306750</v>
      </c>
      <c r="BM151" s="230">
        <v>432375</v>
      </c>
      <c r="BN151" s="230">
        <v>-125625</v>
      </c>
      <c r="BO151" s="229">
        <v>-0.29049999999999998</v>
      </c>
      <c r="BP151" s="230">
        <v>1434075</v>
      </c>
      <c r="BQ151" s="230">
        <v>2034150</v>
      </c>
      <c r="BR151" s="230">
        <v>-600075</v>
      </c>
      <c r="BS151" s="229">
        <v>-0.29499999999999998</v>
      </c>
      <c r="BT151" s="230">
        <v>117266</v>
      </c>
      <c r="BU151" s="230">
        <v>217125</v>
      </c>
      <c r="BV151" s="230">
        <v>-99859</v>
      </c>
      <c r="BW151" s="229">
        <v>-0.45989999999999998</v>
      </c>
      <c r="BX151" s="230">
        <v>998700</v>
      </c>
      <c r="BY151" s="230">
        <v>977550</v>
      </c>
      <c r="BZ151" s="230">
        <v>21150</v>
      </c>
      <c r="CA151" s="229">
        <v>2.1600000000000001E-2</v>
      </c>
      <c r="CB151" s="230">
        <v>971850</v>
      </c>
      <c r="CC151" s="230">
        <v>953175</v>
      </c>
      <c r="CD151" s="230">
        <v>18675</v>
      </c>
      <c r="CE151" s="229">
        <v>1.9599999999999999E-2</v>
      </c>
      <c r="CF151" s="230">
        <v>25125</v>
      </c>
      <c r="CG151" s="230">
        <v>22950</v>
      </c>
      <c r="CH151" s="230">
        <v>2175</v>
      </c>
      <c r="CI151" s="229">
        <v>9.4799999999999995E-2</v>
      </c>
      <c r="CJ151" s="230">
        <v>1725</v>
      </c>
      <c r="CK151" s="230">
        <v>1425</v>
      </c>
      <c r="CL151" s="228">
        <v>300</v>
      </c>
      <c r="CM151" s="229">
        <v>0.21049999999999999</v>
      </c>
      <c r="CN151" s="230">
        <v>387375</v>
      </c>
      <c r="CO151" s="230">
        <v>384450</v>
      </c>
      <c r="CP151" s="230">
        <v>2925</v>
      </c>
      <c r="CQ151" s="229">
        <v>7.6E-3</v>
      </c>
      <c r="CR151" s="230">
        <v>240975</v>
      </c>
      <c r="CS151" s="230">
        <v>232875</v>
      </c>
      <c r="CT151" s="230">
        <v>8100</v>
      </c>
      <c r="CU151" s="229">
        <v>3.4799999999999998E-2</v>
      </c>
      <c r="CV151" s="230">
        <v>1627050</v>
      </c>
      <c r="CW151" s="230">
        <v>1594875</v>
      </c>
      <c r="CX151" s="230">
        <v>32175</v>
      </c>
      <c r="CY151" s="229">
        <v>2.0199999999999999E-2</v>
      </c>
      <c r="CZ151" s="228">
        <v>31.08</v>
      </c>
      <c r="DA151" s="228">
        <v>29.87</v>
      </c>
      <c r="DB151" s="228">
        <v>1.21</v>
      </c>
      <c r="DC151" s="228">
        <v>1.21</v>
      </c>
      <c r="DD151" s="228">
        <v>42.14</v>
      </c>
      <c r="DE151" s="228">
        <v>42.2</v>
      </c>
      <c r="DF151" s="228">
        <v>-11.06</v>
      </c>
      <c r="DG151" s="228">
        <v>-0.06</v>
      </c>
      <c r="DH151" s="228">
        <v>30.94</v>
      </c>
      <c r="DI151" s="228">
        <v>29.82</v>
      </c>
      <c r="DJ151" s="228">
        <v>1.1200000000000001</v>
      </c>
      <c r="DK151" s="228">
        <v>1.1200000000000001</v>
      </c>
      <c r="DL151" s="228">
        <v>31.51</v>
      </c>
      <c r="DM151" s="228">
        <v>30.02</v>
      </c>
      <c r="DN151" s="228">
        <v>1.49</v>
      </c>
      <c r="DO151" s="228">
        <v>1.49</v>
      </c>
      <c r="DP151" s="228">
        <v>0.62</v>
      </c>
      <c r="DQ151" s="228">
        <v>0.61</v>
      </c>
      <c r="DR151" s="228">
        <v>0.01</v>
      </c>
      <c r="DS151" s="229">
        <v>1.6400000000000001E-2</v>
      </c>
      <c r="DT151" s="231">
        <v>9500</v>
      </c>
      <c r="DU151" s="231">
        <v>9000</v>
      </c>
      <c r="DV151" s="228">
        <v>0.35</v>
      </c>
      <c r="DW151" s="228">
        <v>0.34</v>
      </c>
      <c r="DX151" s="228">
        <v>0.01</v>
      </c>
      <c r="DY151" s="229">
        <v>2.9399999999999999E-2</v>
      </c>
      <c r="DZ151" s="229">
        <v>2.69E-2</v>
      </c>
      <c r="EA151" s="230">
        <v>24375</v>
      </c>
      <c r="EB151" s="229">
        <v>3.8999999999999998E-3</v>
      </c>
      <c r="EC151" s="229">
        <v>2.69E-2</v>
      </c>
      <c r="ED151" s="228">
        <v>35.97</v>
      </c>
      <c r="EE151" s="229">
        <v>4.0000000000000001E-3</v>
      </c>
      <c r="EF151" s="230">
        <v>33732</v>
      </c>
      <c r="EG151" s="230">
        <v>106718</v>
      </c>
      <c r="EH151" s="229">
        <v>-0.68389999999999995</v>
      </c>
      <c r="EI151" s="229">
        <v>0.28770000000000001</v>
      </c>
      <c r="EJ151" s="231">
        <v>83803.100000000006</v>
      </c>
      <c r="EK151" s="231">
        <v>27197.32</v>
      </c>
      <c r="EL151" s="231">
        <v>22418.959999999999</v>
      </c>
      <c r="EM151" s="231">
        <v>6833</v>
      </c>
      <c r="EN151" s="231">
        <v>133419.38</v>
      </c>
      <c r="EO151" s="231">
        <v>186828.74</v>
      </c>
      <c r="EP151" s="231">
        <v>-53409.36</v>
      </c>
      <c r="EQ151" s="229">
        <v>-0.28589999999999999</v>
      </c>
      <c r="ER151" s="231">
        <v>36286</v>
      </c>
      <c r="ES151" s="231">
        <v>20424</v>
      </c>
      <c r="ET151" s="231">
        <v>91381</v>
      </c>
      <c r="EU151" s="231">
        <v>3401732</v>
      </c>
      <c r="EV151" s="231">
        <v>148091</v>
      </c>
      <c r="EW151" s="231">
        <v>143414</v>
      </c>
      <c r="EX151" s="231">
        <v>4677</v>
      </c>
      <c r="EY151" s="229">
        <v>3.2599999999999997E-2</v>
      </c>
      <c r="EZ151" s="229">
        <v>0.4783</v>
      </c>
      <c r="FA151" s="227" t="s">
        <v>555</v>
      </c>
      <c r="FB151" s="161">
        <f t="shared" si="3"/>
        <v>0</v>
      </c>
    </row>
    <row r="152" spans="1:158" ht="17.25" thickBot="1" x14ac:dyDescent="0.3">
      <c r="A152" s="226">
        <v>45936</v>
      </c>
      <c r="B152" s="227" t="s">
        <v>193</v>
      </c>
      <c r="C152" s="227" t="s">
        <v>588</v>
      </c>
      <c r="D152" s="228">
        <v>1400</v>
      </c>
      <c r="E152" s="228">
        <v>421.15</v>
      </c>
      <c r="F152" s="228">
        <v>417.45</v>
      </c>
      <c r="G152" s="228">
        <v>3.7</v>
      </c>
      <c r="H152" s="229">
        <v>8.8999999999999999E-3</v>
      </c>
      <c r="I152" s="228">
        <v>419.2</v>
      </c>
      <c r="J152" s="228">
        <v>414.7</v>
      </c>
      <c r="K152" s="228">
        <v>4.5</v>
      </c>
      <c r="L152" s="229">
        <v>1.09E-2</v>
      </c>
      <c r="M152" s="228">
        <v>421.15</v>
      </c>
      <c r="N152" s="228">
        <v>417.45</v>
      </c>
      <c r="O152" s="228">
        <v>3.7</v>
      </c>
      <c r="P152" s="229">
        <v>8.8999999999999999E-3</v>
      </c>
      <c r="Q152" s="228">
        <v>420.05</v>
      </c>
      <c r="R152" s="228">
        <v>416.7</v>
      </c>
      <c r="S152" s="228">
        <v>3.35</v>
      </c>
      <c r="T152" s="229">
        <v>8.0000000000000002E-3</v>
      </c>
      <c r="U152" s="228">
        <v>421.9</v>
      </c>
      <c r="V152" s="228">
        <v>415.05</v>
      </c>
      <c r="W152" s="228">
        <v>6.85</v>
      </c>
      <c r="X152" s="229">
        <v>1.6500000000000001E-2</v>
      </c>
      <c r="Y152" s="228">
        <v>1.95</v>
      </c>
      <c r="Z152" s="228">
        <v>2.75</v>
      </c>
      <c r="AA152" s="228">
        <v>-0.8</v>
      </c>
      <c r="AB152" s="229">
        <v>4.7000000000000002E-3</v>
      </c>
      <c r="AC152" s="228">
        <v>1.95</v>
      </c>
      <c r="AD152" s="228">
        <v>2.75</v>
      </c>
      <c r="AE152" s="228">
        <v>-0.8</v>
      </c>
      <c r="AF152" s="229">
        <v>4.7000000000000002E-3</v>
      </c>
      <c r="AG152" s="228">
        <v>0.85</v>
      </c>
      <c r="AH152" s="228">
        <v>2</v>
      </c>
      <c r="AI152" s="228">
        <v>-1.1499999999999999</v>
      </c>
      <c r="AJ152" s="229">
        <v>2E-3</v>
      </c>
      <c r="AK152" s="228">
        <v>2.7</v>
      </c>
      <c r="AL152" s="228">
        <v>0.35</v>
      </c>
      <c r="AM152" s="228">
        <v>2.35</v>
      </c>
      <c r="AN152" s="229">
        <v>6.4000000000000003E-3</v>
      </c>
      <c r="AO152" s="228">
        <v>420.1</v>
      </c>
      <c r="AP152" s="228">
        <v>419.44</v>
      </c>
      <c r="AQ152" s="228">
        <v>0</v>
      </c>
      <c r="AR152" s="230">
        <v>2650200</v>
      </c>
      <c r="AS152" s="230">
        <v>2436000</v>
      </c>
      <c r="AT152" s="230">
        <v>214200</v>
      </c>
      <c r="AU152" s="229">
        <v>8.7900000000000006E-2</v>
      </c>
      <c r="AV152" s="230">
        <v>2359000</v>
      </c>
      <c r="AW152" s="230">
        <v>2241400</v>
      </c>
      <c r="AX152" s="230">
        <v>117600</v>
      </c>
      <c r="AY152" s="229">
        <v>5.2499999999999998E-2</v>
      </c>
      <c r="AZ152" s="230">
        <v>271600</v>
      </c>
      <c r="BA152" s="230">
        <v>166600</v>
      </c>
      <c r="BB152" s="230">
        <v>105000</v>
      </c>
      <c r="BC152" s="229">
        <v>0.63029999999999997</v>
      </c>
      <c r="BD152" s="230">
        <v>19600</v>
      </c>
      <c r="BE152" s="230">
        <v>28000</v>
      </c>
      <c r="BF152" s="230">
        <v>-8400</v>
      </c>
      <c r="BG152" s="229">
        <v>-0.3</v>
      </c>
      <c r="BH152" s="230">
        <v>4699800</v>
      </c>
      <c r="BI152" s="230">
        <v>3736600</v>
      </c>
      <c r="BJ152" s="230">
        <v>963200</v>
      </c>
      <c r="BK152" s="229">
        <v>0.25779999999999997</v>
      </c>
      <c r="BL152" s="230">
        <v>1618400</v>
      </c>
      <c r="BM152" s="230">
        <v>1523200</v>
      </c>
      <c r="BN152" s="230">
        <v>95200</v>
      </c>
      <c r="BO152" s="229">
        <v>6.25E-2</v>
      </c>
      <c r="BP152" s="230">
        <v>8968400</v>
      </c>
      <c r="BQ152" s="230">
        <v>7695800</v>
      </c>
      <c r="BR152" s="230">
        <v>1272600</v>
      </c>
      <c r="BS152" s="229">
        <v>0.16539999999999999</v>
      </c>
      <c r="BT152" s="230">
        <v>2467211</v>
      </c>
      <c r="BU152" s="230">
        <v>2866794</v>
      </c>
      <c r="BV152" s="230">
        <v>-399583</v>
      </c>
      <c r="BW152" s="229">
        <v>-0.1394</v>
      </c>
      <c r="BX152" s="230">
        <v>9559200</v>
      </c>
      <c r="BY152" s="230">
        <v>9289000</v>
      </c>
      <c r="BZ152" s="230">
        <v>270200</v>
      </c>
      <c r="CA152" s="229">
        <v>2.9100000000000001E-2</v>
      </c>
      <c r="CB152" s="230">
        <v>9186800</v>
      </c>
      <c r="CC152" s="230">
        <v>8985200</v>
      </c>
      <c r="CD152" s="230">
        <v>201600</v>
      </c>
      <c r="CE152" s="229">
        <v>2.24E-2</v>
      </c>
      <c r="CF152" s="230">
        <v>338800</v>
      </c>
      <c r="CG152" s="230">
        <v>280000</v>
      </c>
      <c r="CH152" s="230">
        <v>58800</v>
      </c>
      <c r="CI152" s="229">
        <v>0.21</v>
      </c>
      <c r="CJ152" s="230">
        <v>33600</v>
      </c>
      <c r="CK152" s="230">
        <v>23800</v>
      </c>
      <c r="CL152" s="230">
        <v>9800</v>
      </c>
      <c r="CM152" s="229">
        <v>0.4118</v>
      </c>
      <c r="CN152" s="230">
        <v>4585000</v>
      </c>
      <c r="CO152" s="230">
        <v>4568200</v>
      </c>
      <c r="CP152" s="230">
        <v>16800</v>
      </c>
      <c r="CQ152" s="229">
        <v>3.7000000000000002E-3</v>
      </c>
      <c r="CR152" s="230">
        <v>2311400</v>
      </c>
      <c r="CS152" s="230">
        <v>2101400</v>
      </c>
      <c r="CT152" s="230">
        <v>210000</v>
      </c>
      <c r="CU152" s="229">
        <v>9.9900000000000003E-2</v>
      </c>
      <c r="CV152" s="230">
        <v>16455600</v>
      </c>
      <c r="CW152" s="230">
        <v>15958600</v>
      </c>
      <c r="CX152" s="230">
        <v>497000</v>
      </c>
      <c r="CY152" s="229">
        <v>3.1099999999999999E-2</v>
      </c>
      <c r="CZ152" s="228">
        <v>31.69</v>
      </c>
      <c r="DA152" s="228">
        <v>31.06</v>
      </c>
      <c r="DB152" s="228">
        <v>0.63</v>
      </c>
      <c r="DC152" s="228">
        <v>0.63</v>
      </c>
      <c r="DD152" s="228">
        <v>45.19</v>
      </c>
      <c r="DE152" s="228">
        <v>45.29</v>
      </c>
      <c r="DF152" s="228">
        <v>-13.5</v>
      </c>
      <c r="DG152" s="228">
        <v>-0.1</v>
      </c>
      <c r="DH152" s="228">
        <v>31.71</v>
      </c>
      <c r="DI152" s="228">
        <v>31.18</v>
      </c>
      <c r="DJ152" s="228">
        <v>0.53</v>
      </c>
      <c r="DK152" s="228">
        <v>0.53</v>
      </c>
      <c r="DL152" s="228">
        <v>31.61</v>
      </c>
      <c r="DM152" s="228">
        <v>30.75</v>
      </c>
      <c r="DN152" s="228">
        <v>0.86</v>
      </c>
      <c r="DO152" s="228">
        <v>0.86</v>
      </c>
      <c r="DP152" s="228">
        <v>0.5</v>
      </c>
      <c r="DQ152" s="228">
        <v>0.46</v>
      </c>
      <c r="DR152" s="228">
        <v>0.04</v>
      </c>
      <c r="DS152" s="229">
        <v>8.6999999999999994E-2</v>
      </c>
      <c r="DT152" s="228">
        <v>420</v>
      </c>
      <c r="DU152" s="228">
        <v>400</v>
      </c>
      <c r="DV152" s="228">
        <v>0.34</v>
      </c>
      <c r="DW152" s="228">
        <v>0.41</v>
      </c>
      <c r="DX152" s="228">
        <v>-7.0000000000000007E-2</v>
      </c>
      <c r="DY152" s="229">
        <v>-0.17069999999999999</v>
      </c>
      <c r="DZ152" s="229">
        <v>3.9E-2</v>
      </c>
      <c r="EA152" s="230">
        <v>303800</v>
      </c>
      <c r="EB152" s="229">
        <v>-2.5999999999999999E-3</v>
      </c>
      <c r="EC152" s="229">
        <v>3.9E-2</v>
      </c>
      <c r="ED152" s="228">
        <v>-0.66</v>
      </c>
      <c r="EE152" s="229">
        <v>-1.6000000000000001E-3</v>
      </c>
      <c r="EF152" s="230">
        <v>1199731</v>
      </c>
      <c r="EG152" s="230">
        <v>1343944</v>
      </c>
      <c r="EH152" s="229">
        <v>-0.10730000000000001</v>
      </c>
      <c r="EI152" s="229">
        <v>0.48630000000000001</v>
      </c>
      <c r="EJ152" s="231">
        <v>20711.64</v>
      </c>
      <c r="EK152" s="231">
        <v>6744.37</v>
      </c>
      <c r="EL152" s="231">
        <v>11131.78</v>
      </c>
      <c r="EM152" s="231">
        <v>3576</v>
      </c>
      <c r="EN152" s="231">
        <v>38587.79</v>
      </c>
      <c r="EO152" s="231">
        <v>32705.759999999998</v>
      </c>
      <c r="EP152" s="231">
        <v>5882.03</v>
      </c>
      <c r="EQ152" s="229">
        <v>0.17979999999999999</v>
      </c>
      <c r="ER152" s="231">
        <v>20047</v>
      </c>
      <c r="ES152" s="231">
        <v>9281</v>
      </c>
      <c r="ET152" s="231">
        <v>40255</v>
      </c>
      <c r="EU152" s="231">
        <v>94123587</v>
      </c>
      <c r="EV152" s="231">
        <v>69583</v>
      </c>
      <c r="EW152" s="231">
        <v>67073</v>
      </c>
      <c r="EX152" s="231">
        <v>2510</v>
      </c>
      <c r="EY152" s="229">
        <v>3.7400000000000003E-2</v>
      </c>
      <c r="EZ152" s="229">
        <v>0.17480000000000001</v>
      </c>
      <c r="FA152" s="227" t="s">
        <v>555</v>
      </c>
      <c r="FB152" s="161">
        <f t="shared" si="3"/>
        <v>0</v>
      </c>
    </row>
    <row r="153" spans="1:158" ht="17.25" thickBot="1" x14ac:dyDescent="0.3">
      <c r="A153" s="226">
        <v>45936</v>
      </c>
      <c r="B153" s="227" t="s">
        <v>193</v>
      </c>
      <c r="C153" s="227" t="s">
        <v>269</v>
      </c>
      <c r="D153" s="228">
        <v>2250</v>
      </c>
      <c r="E153" s="228">
        <v>247.3</v>
      </c>
      <c r="F153" s="228">
        <v>245.23</v>
      </c>
      <c r="G153" s="228">
        <v>2.0699999999999998</v>
      </c>
      <c r="H153" s="229">
        <v>8.3999999999999995E-3</v>
      </c>
      <c r="I153" s="228">
        <v>245.86</v>
      </c>
      <c r="J153" s="228">
        <v>243.66</v>
      </c>
      <c r="K153" s="228">
        <v>2.2000000000000002</v>
      </c>
      <c r="L153" s="229">
        <v>8.9999999999999993E-3</v>
      </c>
      <c r="M153" s="228">
        <v>247.3</v>
      </c>
      <c r="N153" s="228">
        <v>245.23</v>
      </c>
      <c r="O153" s="228">
        <v>2.0699999999999998</v>
      </c>
      <c r="P153" s="229">
        <v>8.3999999999999995E-3</v>
      </c>
      <c r="Q153" s="228">
        <v>248.45</v>
      </c>
      <c r="R153" s="228">
        <v>246.44</v>
      </c>
      <c r="S153" s="228">
        <v>2.0099999999999998</v>
      </c>
      <c r="T153" s="229">
        <v>8.2000000000000007E-3</v>
      </c>
      <c r="U153" s="228">
        <v>249.8</v>
      </c>
      <c r="V153" s="228">
        <v>247.85</v>
      </c>
      <c r="W153" s="228">
        <v>1.95</v>
      </c>
      <c r="X153" s="229">
        <v>7.9000000000000008E-3</v>
      </c>
      <c r="Y153" s="228">
        <v>1.44</v>
      </c>
      <c r="Z153" s="228">
        <v>1.57</v>
      </c>
      <c r="AA153" s="228">
        <v>-0.13</v>
      </c>
      <c r="AB153" s="229">
        <v>5.8999999999999999E-3</v>
      </c>
      <c r="AC153" s="228">
        <v>1.44</v>
      </c>
      <c r="AD153" s="228">
        <v>1.57</v>
      </c>
      <c r="AE153" s="228">
        <v>-0.13</v>
      </c>
      <c r="AF153" s="229">
        <v>5.8999999999999999E-3</v>
      </c>
      <c r="AG153" s="228">
        <v>2.59</v>
      </c>
      <c r="AH153" s="228">
        <v>2.78</v>
      </c>
      <c r="AI153" s="228">
        <v>-0.19</v>
      </c>
      <c r="AJ153" s="229">
        <v>1.0500000000000001E-2</v>
      </c>
      <c r="AK153" s="228">
        <v>3.94</v>
      </c>
      <c r="AL153" s="228">
        <v>4.1900000000000004</v>
      </c>
      <c r="AM153" s="228">
        <v>-0.25</v>
      </c>
      <c r="AN153" s="229">
        <v>1.6E-2</v>
      </c>
      <c r="AO153" s="228">
        <v>247.02</v>
      </c>
      <c r="AP153" s="228">
        <v>248.06</v>
      </c>
      <c r="AQ153" s="228">
        <v>0</v>
      </c>
      <c r="AR153" s="230">
        <v>15948000</v>
      </c>
      <c r="AS153" s="230">
        <v>13738500</v>
      </c>
      <c r="AT153" s="230">
        <v>2209500</v>
      </c>
      <c r="AU153" s="229">
        <v>0.1608</v>
      </c>
      <c r="AV153" s="230">
        <v>15043500</v>
      </c>
      <c r="AW153" s="230">
        <v>12849750</v>
      </c>
      <c r="AX153" s="230">
        <v>2193750</v>
      </c>
      <c r="AY153" s="229">
        <v>0.17069999999999999</v>
      </c>
      <c r="AZ153" s="230">
        <v>751500</v>
      </c>
      <c r="BA153" s="230">
        <v>771750</v>
      </c>
      <c r="BB153" s="230">
        <v>-20250</v>
      </c>
      <c r="BC153" s="229">
        <v>-2.6200000000000001E-2</v>
      </c>
      <c r="BD153" s="230">
        <v>153000</v>
      </c>
      <c r="BE153" s="230">
        <v>117000</v>
      </c>
      <c r="BF153" s="230">
        <v>36000</v>
      </c>
      <c r="BG153" s="229">
        <v>0.30769999999999997</v>
      </c>
      <c r="BH153" s="230">
        <v>61296750</v>
      </c>
      <c r="BI153" s="230">
        <v>42162750</v>
      </c>
      <c r="BJ153" s="230">
        <v>19134000</v>
      </c>
      <c r="BK153" s="229">
        <v>0.45379999999999998</v>
      </c>
      <c r="BL153" s="230">
        <v>26041500</v>
      </c>
      <c r="BM153" s="230">
        <v>17354250</v>
      </c>
      <c r="BN153" s="230">
        <v>8687250</v>
      </c>
      <c r="BO153" s="229">
        <v>0.50060000000000004</v>
      </c>
      <c r="BP153" s="230">
        <v>103286250</v>
      </c>
      <c r="BQ153" s="230">
        <v>73255500</v>
      </c>
      <c r="BR153" s="230">
        <v>30030750</v>
      </c>
      <c r="BS153" s="229">
        <v>0.40989999999999999</v>
      </c>
      <c r="BT153" s="230">
        <v>9773617</v>
      </c>
      <c r="BU153" s="230">
        <v>11592312</v>
      </c>
      <c r="BV153" s="230">
        <v>-1818695</v>
      </c>
      <c r="BW153" s="229">
        <v>-0.15690000000000001</v>
      </c>
      <c r="BX153" s="230">
        <v>98977500</v>
      </c>
      <c r="BY153" s="230">
        <v>99081000</v>
      </c>
      <c r="BZ153" s="230">
        <v>-103500</v>
      </c>
      <c r="CA153" s="229">
        <v>-1E-3</v>
      </c>
      <c r="CB153" s="230">
        <v>97317000</v>
      </c>
      <c r="CC153" s="230">
        <v>97584750</v>
      </c>
      <c r="CD153" s="230">
        <v>-267750</v>
      </c>
      <c r="CE153" s="229">
        <v>-2.7000000000000001E-3</v>
      </c>
      <c r="CF153" s="230">
        <v>1570500</v>
      </c>
      <c r="CG153" s="230">
        <v>1395000</v>
      </c>
      <c r="CH153" s="230">
        <v>175500</v>
      </c>
      <c r="CI153" s="229">
        <v>0.1258</v>
      </c>
      <c r="CJ153" s="230">
        <v>90000</v>
      </c>
      <c r="CK153" s="230">
        <v>101250</v>
      </c>
      <c r="CL153" s="230">
        <v>-11250</v>
      </c>
      <c r="CM153" s="229">
        <v>-0.1111</v>
      </c>
      <c r="CN153" s="230">
        <v>35154000</v>
      </c>
      <c r="CO153" s="230">
        <v>30948750</v>
      </c>
      <c r="CP153" s="230">
        <v>4205250</v>
      </c>
      <c r="CQ153" s="229">
        <v>0.13589999999999999</v>
      </c>
      <c r="CR153" s="230">
        <v>18661500</v>
      </c>
      <c r="CS153" s="230">
        <v>18913500</v>
      </c>
      <c r="CT153" s="230">
        <v>-252000</v>
      </c>
      <c r="CU153" s="229">
        <v>-1.3299999999999999E-2</v>
      </c>
      <c r="CV153" s="230">
        <v>152793000</v>
      </c>
      <c r="CW153" s="230">
        <v>148943250</v>
      </c>
      <c r="CX153" s="230">
        <v>3849750</v>
      </c>
      <c r="CY153" s="229">
        <v>2.58E-2</v>
      </c>
      <c r="CZ153" s="228">
        <v>19.420000000000002</v>
      </c>
      <c r="DA153" s="228">
        <v>19.36</v>
      </c>
      <c r="DB153" s="228">
        <v>0.06</v>
      </c>
      <c r="DC153" s="228">
        <v>0.06</v>
      </c>
      <c r="DD153" s="228">
        <v>32.71</v>
      </c>
      <c r="DE153" s="228">
        <v>32.770000000000003</v>
      </c>
      <c r="DF153" s="228">
        <v>-13.29</v>
      </c>
      <c r="DG153" s="228">
        <v>-0.06</v>
      </c>
      <c r="DH153" s="228">
        <v>19.190000000000001</v>
      </c>
      <c r="DI153" s="228">
        <v>19.309999999999999</v>
      </c>
      <c r="DJ153" s="228">
        <v>-0.12</v>
      </c>
      <c r="DK153" s="228">
        <v>-0.12</v>
      </c>
      <c r="DL153" s="228">
        <v>19.96</v>
      </c>
      <c r="DM153" s="228">
        <v>19.47</v>
      </c>
      <c r="DN153" s="228">
        <v>0.49</v>
      </c>
      <c r="DO153" s="228">
        <v>0.49</v>
      </c>
      <c r="DP153" s="228">
        <v>0.53</v>
      </c>
      <c r="DQ153" s="228">
        <v>0.61</v>
      </c>
      <c r="DR153" s="228">
        <v>-0.08</v>
      </c>
      <c r="DS153" s="229">
        <v>-0.13109999999999999</v>
      </c>
      <c r="DT153" s="228">
        <v>250</v>
      </c>
      <c r="DU153" s="228">
        <v>240</v>
      </c>
      <c r="DV153" s="228">
        <v>0.42</v>
      </c>
      <c r="DW153" s="228">
        <v>0.41</v>
      </c>
      <c r="DX153" s="228">
        <v>0.01</v>
      </c>
      <c r="DY153" s="229">
        <v>2.4400000000000002E-2</v>
      </c>
      <c r="DZ153" s="229">
        <v>1.6799999999999999E-2</v>
      </c>
      <c r="EA153" s="230">
        <v>1496250</v>
      </c>
      <c r="EB153" s="229">
        <v>4.7000000000000002E-3</v>
      </c>
      <c r="EC153" s="229">
        <v>1.6799999999999999E-2</v>
      </c>
      <c r="ED153" s="228">
        <v>1.04</v>
      </c>
      <c r="EE153" s="229">
        <v>4.1999999999999997E-3</v>
      </c>
      <c r="EF153" s="230">
        <v>4633984</v>
      </c>
      <c r="EG153" s="230">
        <v>7641298</v>
      </c>
      <c r="EH153" s="229">
        <v>-0.39360000000000001</v>
      </c>
      <c r="EI153" s="229">
        <v>0.47410000000000002</v>
      </c>
      <c r="EJ153" s="231">
        <v>155972.72</v>
      </c>
      <c r="EK153" s="231">
        <v>63476.74</v>
      </c>
      <c r="EL153" s="231">
        <v>39406.699999999997</v>
      </c>
      <c r="EM153" s="231">
        <v>15041</v>
      </c>
      <c r="EN153" s="231">
        <v>258856.16</v>
      </c>
      <c r="EO153" s="231">
        <v>182161.18</v>
      </c>
      <c r="EP153" s="231">
        <v>76694.98</v>
      </c>
      <c r="EQ153" s="229">
        <v>0.42099999999999999</v>
      </c>
      <c r="ER153" s="231">
        <v>88296</v>
      </c>
      <c r="ES153" s="231">
        <v>44962</v>
      </c>
      <c r="ET153" s="231">
        <v>244792</v>
      </c>
      <c r="EU153" s="231">
        <v>517141211</v>
      </c>
      <c r="EV153" s="231">
        <v>378050</v>
      </c>
      <c r="EW153" s="231">
        <v>366158</v>
      </c>
      <c r="EX153" s="231">
        <v>11892</v>
      </c>
      <c r="EY153" s="229">
        <v>3.2500000000000001E-2</v>
      </c>
      <c r="EZ153" s="229">
        <v>0.29549999999999998</v>
      </c>
      <c r="FA153" s="227" t="s">
        <v>556</v>
      </c>
      <c r="FB153" s="161">
        <f>BX228-CB228</f>
        <v>0</v>
      </c>
    </row>
    <row r="154" spans="1:158" ht="17.25" thickBot="1" x14ac:dyDescent="0.3">
      <c r="A154" s="226">
        <v>45936</v>
      </c>
      <c r="B154" s="227" t="s">
        <v>197</v>
      </c>
      <c r="C154" s="227" t="s">
        <v>270</v>
      </c>
      <c r="D154" s="228">
        <v>15</v>
      </c>
      <c r="E154" s="231">
        <v>41810</v>
      </c>
      <c r="F154" s="231">
        <v>41900</v>
      </c>
      <c r="G154" s="228">
        <v>-90</v>
      </c>
      <c r="H154" s="229">
        <v>-2.0999999999999999E-3</v>
      </c>
      <c r="I154" s="231">
        <v>42195</v>
      </c>
      <c r="J154" s="231">
        <v>42875</v>
      </c>
      <c r="K154" s="228">
        <v>-680</v>
      </c>
      <c r="L154" s="229">
        <v>-1.5900000000000001E-2</v>
      </c>
      <c r="M154" s="231">
        <v>41810</v>
      </c>
      <c r="N154" s="231">
        <v>41900</v>
      </c>
      <c r="O154" s="228">
        <v>-90</v>
      </c>
      <c r="P154" s="229">
        <v>-2.0999999999999999E-3</v>
      </c>
      <c r="Q154" s="231">
        <v>41245</v>
      </c>
      <c r="R154" s="231">
        <v>41260</v>
      </c>
      <c r="S154" s="228">
        <v>-15</v>
      </c>
      <c r="T154" s="229">
        <v>-4.0000000000000002E-4</v>
      </c>
      <c r="U154" s="231">
        <v>41100</v>
      </c>
      <c r="V154" s="231">
        <v>41100</v>
      </c>
      <c r="W154" s="228">
        <v>0</v>
      </c>
      <c r="X154" s="229">
        <v>0</v>
      </c>
      <c r="Y154" s="228">
        <v>-385</v>
      </c>
      <c r="Z154" s="228">
        <v>-975</v>
      </c>
      <c r="AA154" s="228">
        <v>590</v>
      </c>
      <c r="AB154" s="229">
        <v>-9.1000000000000004E-3</v>
      </c>
      <c r="AC154" s="228">
        <v>-385</v>
      </c>
      <c r="AD154" s="228">
        <v>-975</v>
      </c>
      <c r="AE154" s="228">
        <v>590</v>
      </c>
      <c r="AF154" s="229">
        <v>-9.1000000000000004E-3</v>
      </c>
      <c r="AG154" s="228">
        <v>-950</v>
      </c>
      <c r="AH154" s="231">
        <v>-1615</v>
      </c>
      <c r="AI154" s="228">
        <v>665</v>
      </c>
      <c r="AJ154" s="229">
        <v>-2.2499999999999999E-2</v>
      </c>
      <c r="AK154" s="231">
        <v>-1095</v>
      </c>
      <c r="AL154" s="231">
        <v>-1775</v>
      </c>
      <c r="AM154" s="228">
        <v>680</v>
      </c>
      <c r="AN154" s="229">
        <v>-2.5999999999999999E-2</v>
      </c>
      <c r="AO154" s="231">
        <v>41957.67</v>
      </c>
      <c r="AP154" s="231">
        <v>41338.400000000001</v>
      </c>
      <c r="AQ154" s="228">
        <v>0</v>
      </c>
      <c r="AR154" s="230">
        <v>26490</v>
      </c>
      <c r="AS154" s="230">
        <v>44040</v>
      </c>
      <c r="AT154" s="230">
        <v>-17550</v>
      </c>
      <c r="AU154" s="229">
        <v>-0.39850000000000002</v>
      </c>
      <c r="AV154" s="230">
        <v>24120</v>
      </c>
      <c r="AW154" s="230">
        <v>38700</v>
      </c>
      <c r="AX154" s="230">
        <v>-14580</v>
      </c>
      <c r="AY154" s="229">
        <v>-0.37669999999999998</v>
      </c>
      <c r="AZ154" s="230">
        <v>2370</v>
      </c>
      <c r="BA154" s="230">
        <v>5235</v>
      </c>
      <c r="BB154" s="230">
        <v>-2865</v>
      </c>
      <c r="BC154" s="229">
        <v>-0.54730000000000001</v>
      </c>
      <c r="BD154" s="228">
        <v>0</v>
      </c>
      <c r="BE154" s="228">
        <v>105</v>
      </c>
      <c r="BF154" s="228">
        <v>-105</v>
      </c>
      <c r="BG154" s="229">
        <v>-1</v>
      </c>
      <c r="BH154" s="230">
        <v>91830</v>
      </c>
      <c r="BI154" s="230">
        <v>180630</v>
      </c>
      <c r="BJ154" s="230">
        <v>-88800</v>
      </c>
      <c r="BK154" s="229">
        <v>-0.49159999999999998</v>
      </c>
      <c r="BL154" s="230">
        <v>14205</v>
      </c>
      <c r="BM154" s="230">
        <v>46455</v>
      </c>
      <c r="BN154" s="230">
        <v>-32250</v>
      </c>
      <c r="BO154" s="229">
        <v>-0.69420000000000004</v>
      </c>
      <c r="BP154" s="230">
        <v>132525</v>
      </c>
      <c r="BQ154" s="230">
        <v>271125</v>
      </c>
      <c r="BR154" s="230">
        <v>-138600</v>
      </c>
      <c r="BS154" s="229">
        <v>-0.51119999999999999</v>
      </c>
      <c r="BT154" s="230">
        <v>15895</v>
      </c>
      <c r="BU154" s="230">
        <v>41235</v>
      </c>
      <c r="BV154" s="230">
        <v>-25340</v>
      </c>
      <c r="BW154" s="229">
        <v>-0.61450000000000005</v>
      </c>
      <c r="BX154" s="230">
        <v>221790</v>
      </c>
      <c r="BY154" s="230">
        <v>213915</v>
      </c>
      <c r="BZ154" s="230">
        <v>7875</v>
      </c>
      <c r="CA154" s="229">
        <v>3.6799999999999999E-2</v>
      </c>
      <c r="CB154" s="230">
        <v>215970</v>
      </c>
      <c r="CC154" s="230">
        <v>208740</v>
      </c>
      <c r="CD154" s="230">
        <v>7230</v>
      </c>
      <c r="CE154" s="229">
        <v>3.4599999999999999E-2</v>
      </c>
      <c r="CF154" s="230">
        <v>5730</v>
      </c>
      <c r="CG154" s="230">
        <v>5085</v>
      </c>
      <c r="CH154" s="228">
        <v>645</v>
      </c>
      <c r="CI154" s="229">
        <v>0.1268</v>
      </c>
      <c r="CJ154" s="228">
        <v>90</v>
      </c>
      <c r="CK154" s="228">
        <v>90</v>
      </c>
      <c r="CL154" s="228">
        <v>0</v>
      </c>
      <c r="CM154" s="229">
        <v>0</v>
      </c>
      <c r="CN154" s="230">
        <v>65820</v>
      </c>
      <c r="CO154" s="230">
        <v>58815</v>
      </c>
      <c r="CP154" s="230">
        <v>7005</v>
      </c>
      <c r="CQ154" s="229">
        <v>0.1191</v>
      </c>
      <c r="CR154" s="230">
        <v>29370</v>
      </c>
      <c r="CS154" s="230">
        <v>27330</v>
      </c>
      <c r="CT154" s="230">
        <v>2040</v>
      </c>
      <c r="CU154" s="229">
        <v>7.46E-2</v>
      </c>
      <c r="CV154" s="230">
        <v>316980</v>
      </c>
      <c r="CW154" s="230">
        <v>300060</v>
      </c>
      <c r="CX154" s="230">
        <v>16920</v>
      </c>
      <c r="CY154" s="229">
        <v>5.6399999999999999E-2</v>
      </c>
      <c r="CZ154" s="228">
        <v>25.61</v>
      </c>
      <c r="DA154" s="228">
        <v>24.5</v>
      </c>
      <c r="DB154" s="228">
        <v>1.1100000000000001</v>
      </c>
      <c r="DC154" s="228">
        <v>1.1100000000000001</v>
      </c>
      <c r="DD154" s="228">
        <v>29.88</v>
      </c>
      <c r="DE154" s="228">
        <v>29.87</v>
      </c>
      <c r="DF154" s="228">
        <v>-4.2699999999999996</v>
      </c>
      <c r="DG154" s="228">
        <v>0.01</v>
      </c>
      <c r="DH154" s="228">
        <v>25.78</v>
      </c>
      <c r="DI154" s="228">
        <v>24.79</v>
      </c>
      <c r="DJ154" s="228">
        <v>0.99</v>
      </c>
      <c r="DK154" s="228">
        <v>0.99</v>
      </c>
      <c r="DL154" s="228">
        <v>24.47</v>
      </c>
      <c r="DM154" s="228">
        <v>23.36</v>
      </c>
      <c r="DN154" s="228">
        <v>1.1100000000000001</v>
      </c>
      <c r="DO154" s="228">
        <v>1.1100000000000001</v>
      </c>
      <c r="DP154" s="228">
        <v>0.45</v>
      </c>
      <c r="DQ154" s="228">
        <v>0.46</v>
      </c>
      <c r="DR154" s="228">
        <v>-0.01</v>
      </c>
      <c r="DS154" s="229">
        <v>-2.1700000000000001E-2</v>
      </c>
      <c r="DT154" s="231">
        <v>45000</v>
      </c>
      <c r="DU154" s="231">
        <v>42000</v>
      </c>
      <c r="DV154" s="228">
        <v>0.15</v>
      </c>
      <c r="DW154" s="228">
        <v>0.26</v>
      </c>
      <c r="DX154" s="228">
        <v>-0.11</v>
      </c>
      <c r="DY154" s="229">
        <v>-0.42309999999999998</v>
      </c>
      <c r="DZ154" s="229">
        <v>2.6200000000000001E-2</v>
      </c>
      <c r="EA154" s="230">
        <v>5175</v>
      </c>
      <c r="EB154" s="229">
        <v>-1.35E-2</v>
      </c>
      <c r="EC154" s="229">
        <v>2.6200000000000001E-2</v>
      </c>
      <c r="ED154" s="228">
        <v>-619.27</v>
      </c>
      <c r="EE154" s="229">
        <v>-1.4800000000000001E-2</v>
      </c>
      <c r="EF154" s="230">
        <v>9410</v>
      </c>
      <c r="EG154" s="230">
        <v>25487</v>
      </c>
      <c r="EH154" s="229">
        <v>-0.63080000000000003</v>
      </c>
      <c r="EI154" s="229">
        <v>0.59199999999999997</v>
      </c>
      <c r="EJ154" s="231">
        <v>41481.800000000003</v>
      </c>
      <c r="EK154" s="231">
        <v>5814.18</v>
      </c>
      <c r="EL154" s="231">
        <v>11099.91</v>
      </c>
      <c r="EM154" s="231">
        <v>6807</v>
      </c>
      <c r="EN154" s="231">
        <v>58395.89</v>
      </c>
      <c r="EO154" s="231">
        <v>118444.41</v>
      </c>
      <c r="EP154" s="231">
        <v>-60048.52</v>
      </c>
      <c r="EQ154" s="229">
        <v>-0.50700000000000001</v>
      </c>
      <c r="ER154" s="231">
        <v>29157</v>
      </c>
      <c r="ES154" s="231">
        <v>12028</v>
      </c>
      <c r="ET154" s="231">
        <v>92697</v>
      </c>
      <c r="EU154" s="231">
        <v>955549</v>
      </c>
      <c r="EV154" s="231">
        <v>133882</v>
      </c>
      <c r="EW154" s="231">
        <v>126877</v>
      </c>
      <c r="EX154" s="231">
        <v>7005</v>
      </c>
      <c r="EY154" s="229">
        <v>5.5199999999999999E-2</v>
      </c>
      <c r="EZ154" s="229">
        <v>0.33169999999999999</v>
      </c>
      <c r="FA154" s="227" t="s">
        <v>567</v>
      </c>
      <c r="FB154" s="161">
        <f t="shared" si="3"/>
        <v>0</v>
      </c>
    </row>
    <row r="155" spans="1:158" ht="17.25" thickBot="1" x14ac:dyDescent="0.3">
      <c r="A155" s="226">
        <v>45936</v>
      </c>
      <c r="B155" s="227" t="s">
        <v>168</v>
      </c>
      <c r="C155" s="227" t="s">
        <v>667</v>
      </c>
      <c r="D155" s="228">
        <v>900</v>
      </c>
      <c r="E155" s="228">
        <v>601.29999999999995</v>
      </c>
      <c r="F155" s="228">
        <v>590.1</v>
      </c>
      <c r="G155" s="228">
        <v>11.2</v>
      </c>
      <c r="H155" s="229">
        <v>1.9E-2</v>
      </c>
      <c r="I155" s="228">
        <v>597.54999999999995</v>
      </c>
      <c r="J155" s="228">
        <v>588.45000000000005</v>
      </c>
      <c r="K155" s="228">
        <v>9.1</v>
      </c>
      <c r="L155" s="229">
        <v>1.55E-2</v>
      </c>
      <c r="M155" s="228">
        <v>601.29999999999995</v>
      </c>
      <c r="N155" s="228">
        <v>590.1</v>
      </c>
      <c r="O155" s="228">
        <v>11.2</v>
      </c>
      <c r="P155" s="229">
        <v>1.9E-2</v>
      </c>
      <c r="Q155" s="228">
        <v>603.70000000000005</v>
      </c>
      <c r="R155" s="228">
        <v>592.70000000000005</v>
      </c>
      <c r="S155" s="228">
        <v>11</v>
      </c>
      <c r="T155" s="229">
        <v>1.8599999999999998E-2</v>
      </c>
      <c r="U155" s="228">
        <v>604</v>
      </c>
      <c r="V155" s="228">
        <v>585.70000000000005</v>
      </c>
      <c r="W155" s="228">
        <v>18.3</v>
      </c>
      <c r="X155" s="229">
        <v>3.1199999999999999E-2</v>
      </c>
      <c r="Y155" s="228">
        <v>3.75</v>
      </c>
      <c r="Z155" s="228">
        <v>1.65</v>
      </c>
      <c r="AA155" s="228">
        <v>2.1</v>
      </c>
      <c r="AB155" s="229">
        <v>6.3E-3</v>
      </c>
      <c r="AC155" s="228">
        <v>3.75</v>
      </c>
      <c r="AD155" s="228">
        <v>1.65</v>
      </c>
      <c r="AE155" s="228">
        <v>2.1</v>
      </c>
      <c r="AF155" s="229">
        <v>6.3E-3</v>
      </c>
      <c r="AG155" s="228">
        <v>6.15</v>
      </c>
      <c r="AH155" s="228">
        <v>4.25</v>
      </c>
      <c r="AI155" s="228">
        <v>1.9</v>
      </c>
      <c r="AJ155" s="229">
        <v>1.03E-2</v>
      </c>
      <c r="AK155" s="228">
        <v>6.45</v>
      </c>
      <c r="AL155" s="228">
        <v>-2.75</v>
      </c>
      <c r="AM155" s="228">
        <v>9.1999999999999993</v>
      </c>
      <c r="AN155" s="229">
        <v>1.0800000000000001E-2</v>
      </c>
      <c r="AO155" s="228">
        <v>598.08000000000004</v>
      </c>
      <c r="AP155" s="228">
        <v>601.36</v>
      </c>
      <c r="AQ155" s="228">
        <v>0</v>
      </c>
      <c r="AR155" s="230">
        <v>3690000</v>
      </c>
      <c r="AS155" s="230">
        <v>3234600</v>
      </c>
      <c r="AT155" s="230">
        <v>455400</v>
      </c>
      <c r="AU155" s="229">
        <v>0.14080000000000001</v>
      </c>
      <c r="AV155" s="230">
        <v>3546000</v>
      </c>
      <c r="AW155" s="230">
        <v>3139200</v>
      </c>
      <c r="AX155" s="230">
        <v>406800</v>
      </c>
      <c r="AY155" s="229">
        <v>0.12959999999999999</v>
      </c>
      <c r="AZ155" s="230">
        <v>140400</v>
      </c>
      <c r="BA155" s="230">
        <v>91800</v>
      </c>
      <c r="BB155" s="230">
        <v>48600</v>
      </c>
      <c r="BC155" s="229">
        <v>0.52939999999999998</v>
      </c>
      <c r="BD155" s="230">
        <v>3600</v>
      </c>
      <c r="BE155" s="230">
        <v>3600</v>
      </c>
      <c r="BF155" s="228">
        <v>0</v>
      </c>
      <c r="BG155" s="229">
        <v>0</v>
      </c>
      <c r="BH155" s="230">
        <v>6563700</v>
      </c>
      <c r="BI155" s="230">
        <v>3977100</v>
      </c>
      <c r="BJ155" s="230">
        <v>2586600</v>
      </c>
      <c r="BK155" s="229">
        <v>0.65039999999999998</v>
      </c>
      <c r="BL155" s="230">
        <v>2379600</v>
      </c>
      <c r="BM155" s="230">
        <v>2482200</v>
      </c>
      <c r="BN155" s="230">
        <v>-102600</v>
      </c>
      <c r="BO155" s="229">
        <v>-4.1300000000000003E-2</v>
      </c>
      <c r="BP155" s="230">
        <v>12633300</v>
      </c>
      <c r="BQ155" s="230">
        <v>9693900</v>
      </c>
      <c r="BR155" s="230">
        <v>2939400</v>
      </c>
      <c r="BS155" s="229">
        <v>0.30320000000000003</v>
      </c>
      <c r="BT155" s="230">
        <v>976009</v>
      </c>
      <c r="BU155" s="230">
        <v>798330</v>
      </c>
      <c r="BV155" s="230">
        <v>177679</v>
      </c>
      <c r="BW155" s="229">
        <v>0.22259999999999999</v>
      </c>
      <c r="BX155" s="230">
        <v>32193000</v>
      </c>
      <c r="BY155" s="230">
        <v>31879800</v>
      </c>
      <c r="BZ155" s="230">
        <v>313200</v>
      </c>
      <c r="CA155" s="229">
        <v>9.7999999999999997E-3</v>
      </c>
      <c r="CB155" s="230">
        <v>31971600</v>
      </c>
      <c r="CC155" s="230">
        <v>31711500</v>
      </c>
      <c r="CD155" s="230">
        <v>260100</v>
      </c>
      <c r="CE155" s="229">
        <v>8.2000000000000007E-3</v>
      </c>
      <c r="CF155" s="230">
        <v>215100</v>
      </c>
      <c r="CG155" s="230">
        <v>165600</v>
      </c>
      <c r="CH155" s="230">
        <v>49500</v>
      </c>
      <c r="CI155" s="229">
        <v>0.2989</v>
      </c>
      <c r="CJ155" s="230">
        <v>6300</v>
      </c>
      <c r="CK155" s="230">
        <v>2700</v>
      </c>
      <c r="CL155" s="230">
        <v>3600</v>
      </c>
      <c r="CM155" s="229">
        <v>1.3332999999999999</v>
      </c>
      <c r="CN155" s="230">
        <v>4182300</v>
      </c>
      <c r="CO155" s="230">
        <v>3313800</v>
      </c>
      <c r="CP155" s="230">
        <v>868500</v>
      </c>
      <c r="CQ155" s="229">
        <v>0.2621</v>
      </c>
      <c r="CR155" s="230">
        <v>2227500</v>
      </c>
      <c r="CS155" s="230">
        <v>2181600</v>
      </c>
      <c r="CT155" s="230">
        <v>45900</v>
      </c>
      <c r="CU155" s="229">
        <v>2.1000000000000001E-2</v>
      </c>
      <c r="CV155" s="230">
        <v>38602800</v>
      </c>
      <c r="CW155" s="230">
        <v>37375200</v>
      </c>
      <c r="CX155" s="230">
        <v>1227600</v>
      </c>
      <c r="CY155" s="229">
        <v>3.2800000000000003E-2</v>
      </c>
      <c r="CZ155" s="228">
        <v>28.78</v>
      </c>
      <c r="DA155" s="228">
        <v>27.45</v>
      </c>
      <c r="DB155" s="228">
        <v>1.33</v>
      </c>
      <c r="DC155" s="228">
        <v>1.33</v>
      </c>
      <c r="DD155" s="228">
        <v>34.82</v>
      </c>
      <c r="DE155" s="228">
        <v>34.82</v>
      </c>
      <c r="DF155" s="228">
        <v>-6.04</v>
      </c>
      <c r="DG155" s="228">
        <v>0</v>
      </c>
      <c r="DH155" s="228">
        <v>28.65</v>
      </c>
      <c r="DI155" s="228">
        <v>27.59</v>
      </c>
      <c r="DJ155" s="228">
        <v>1.06</v>
      </c>
      <c r="DK155" s="228">
        <v>1.06</v>
      </c>
      <c r="DL155" s="228">
        <v>29.15</v>
      </c>
      <c r="DM155" s="228">
        <v>27.22</v>
      </c>
      <c r="DN155" s="228">
        <v>1.93</v>
      </c>
      <c r="DO155" s="228">
        <v>1.93</v>
      </c>
      <c r="DP155" s="228">
        <v>0.53</v>
      </c>
      <c r="DQ155" s="228">
        <v>0.66</v>
      </c>
      <c r="DR155" s="228">
        <v>-0.13</v>
      </c>
      <c r="DS155" s="229">
        <v>-0.19700000000000001</v>
      </c>
      <c r="DT155" s="228">
        <v>600</v>
      </c>
      <c r="DU155" s="228">
        <v>600</v>
      </c>
      <c r="DV155" s="228">
        <v>0.36</v>
      </c>
      <c r="DW155" s="228">
        <v>0.62</v>
      </c>
      <c r="DX155" s="228">
        <v>-0.26</v>
      </c>
      <c r="DY155" s="229">
        <v>-0.4194</v>
      </c>
      <c r="DZ155" s="229">
        <v>6.8999999999999999E-3</v>
      </c>
      <c r="EA155" s="230">
        <v>168300</v>
      </c>
      <c r="EB155" s="229">
        <v>4.0000000000000001E-3</v>
      </c>
      <c r="EC155" s="229">
        <v>6.8999999999999999E-3</v>
      </c>
      <c r="ED155" s="228">
        <v>3.28</v>
      </c>
      <c r="EE155" s="229">
        <v>5.4999999999999997E-3</v>
      </c>
      <c r="EF155" s="230">
        <v>321386</v>
      </c>
      <c r="EG155" s="230">
        <v>324794</v>
      </c>
      <c r="EH155" s="229">
        <v>-1.0500000000000001E-2</v>
      </c>
      <c r="EI155" s="229">
        <v>0.32929999999999998</v>
      </c>
      <c r="EJ155" s="231">
        <v>40749.379999999997</v>
      </c>
      <c r="EK155" s="231">
        <v>14288.32</v>
      </c>
      <c r="EL155" s="231">
        <v>22073.72</v>
      </c>
      <c r="EM155" s="231">
        <v>10796</v>
      </c>
      <c r="EN155" s="231">
        <v>77111.42</v>
      </c>
      <c r="EO155" s="231">
        <v>58031.93</v>
      </c>
      <c r="EP155" s="231">
        <v>19079.490000000002</v>
      </c>
      <c r="EQ155" s="229">
        <v>0.32879999999999998</v>
      </c>
      <c r="ER155" s="231">
        <v>25516</v>
      </c>
      <c r="ES155" s="231">
        <v>12949</v>
      </c>
      <c r="ET155" s="231">
        <v>193582</v>
      </c>
      <c r="EU155" s="231">
        <v>50840137</v>
      </c>
      <c r="EV155" s="231">
        <v>232047</v>
      </c>
      <c r="EW155" s="231">
        <v>220875</v>
      </c>
      <c r="EX155" s="231">
        <v>11172</v>
      </c>
      <c r="EY155" s="229">
        <v>5.0599999999999999E-2</v>
      </c>
      <c r="EZ155" s="229">
        <v>0.75929999999999997</v>
      </c>
      <c r="FA155" s="227" t="s">
        <v>555</v>
      </c>
      <c r="FB155" s="161">
        <f t="shared" si="3"/>
        <v>0</v>
      </c>
    </row>
    <row r="156" spans="1:158" ht="17.25" thickBot="1" x14ac:dyDescent="0.3">
      <c r="A156" s="226">
        <v>45936</v>
      </c>
      <c r="B156" s="227" t="s">
        <v>616</v>
      </c>
      <c r="C156" s="227" t="s">
        <v>576</v>
      </c>
      <c r="D156" s="228">
        <v>725</v>
      </c>
      <c r="E156" s="231">
        <v>1229.0999999999999</v>
      </c>
      <c r="F156" s="231">
        <v>1172.3</v>
      </c>
      <c r="G156" s="228">
        <v>56.8</v>
      </c>
      <c r="H156" s="229">
        <v>4.8500000000000001E-2</v>
      </c>
      <c r="I156" s="231">
        <v>1224.2</v>
      </c>
      <c r="J156" s="231">
        <v>1168</v>
      </c>
      <c r="K156" s="228">
        <v>56.2</v>
      </c>
      <c r="L156" s="229">
        <v>4.8099999999999997E-2</v>
      </c>
      <c r="M156" s="231">
        <v>1229.0999999999999</v>
      </c>
      <c r="N156" s="231">
        <v>1172.3</v>
      </c>
      <c r="O156" s="228">
        <v>56.8</v>
      </c>
      <c r="P156" s="229">
        <v>4.8500000000000001E-2</v>
      </c>
      <c r="Q156" s="231">
        <v>1234</v>
      </c>
      <c r="R156" s="231">
        <v>1177.3</v>
      </c>
      <c r="S156" s="228">
        <v>56.7</v>
      </c>
      <c r="T156" s="229">
        <v>4.82E-2</v>
      </c>
      <c r="U156" s="231">
        <v>1239.5999999999999</v>
      </c>
      <c r="V156" s="231">
        <v>1184</v>
      </c>
      <c r="W156" s="228">
        <v>55.6</v>
      </c>
      <c r="X156" s="229">
        <v>4.7E-2</v>
      </c>
      <c r="Y156" s="228">
        <v>4.9000000000000004</v>
      </c>
      <c r="Z156" s="228">
        <v>4.3</v>
      </c>
      <c r="AA156" s="228">
        <v>0.6</v>
      </c>
      <c r="AB156" s="229">
        <v>4.0000000000000001E-3</v>
      </c>
      <c r="AC156" s="228">
        <v>4.9000000000000004</v>
      </c>
      <c r="AD156" s="228">
        <v>4.3</v>
      </c>
      <c r="AE156" s="228">
        <v>0.6</v>
      </c>
      <c r="AF156" s="229">
        <v>4.0000000000000001E-3</v>
      </c>
      <c r="AG156" s="228">
        <v>9.8000000000000007</v>
      </c>
      <c r="AH156" s="228">
        <v>9.3000000000000007</v>
      </c>
      <c r="AI156" s="228">
        <v>0.5</v>
      </c>
      <c r="AJ156" s="229">
        <v>8.0000000000000002E-3</v>
      </c>
      <c r="AK156" s="228">
        <v>15.4</v>
      </c>
      <c r="AL156" s="228">
        <v>16</v>
      </c>
      <c r="AM156" s="228">
        <v>-0.6</v>
      </c>
      <c r="AN156" s="229">
        <v>1.26E-2</v>
      </c>
      <c r="AO156" s="231">
        <v>1211.47</v>
      </c>
      <c r="AP156" s="231">
        <v>1214.58</v>
      </c>
      <c r="AQ156" s="228">
        <v>0</v>
      </c>
      <c r="AR156" s="230">
        <v>7918450</v>
      </c>
      <c r="AS156" s="230">
        <v>4073775</v>
      </c>
      <c r="AT156" s="230">
        <v>3844675</v>
      </c>
      <c r="AU156" s="229">
        <v>0.94379999999999997</v>
      </c>
      <c r="AV156" s="230">
        <v>7528400</v>
      </c>
      <c r="AW156" s="230">
        <v>3925875</v>
      </c>
      <c r="AX156" s="230">
        <v>3602525</v>
      </c>
      <c r="AY156" s="229">
        <v>0.91759999999999997</v>
      </c>
      <c r="AZ156" s="230">
        <v>327700</v>
      </c>
      <c r="BA156" s="230">
        <v>143550</v>
      </c>
      <c r="BB156" s="230">
        <v>184150</v>
      </c>
      <c r="BC156" s="229">
        <v>1.2827999999999999</v>
      </c>
      <c r="BD156" s="230">
        <v>62350</v>
      </c>
      <c r="BE156" s="230">
        <v>4350</v>
      </c>
      <c r="BF156" s="230">
        <v>58000</v>
      </c>
      <c r="BG156" s="229">
        <v>13.333299999999999</v>
      </c>
      <c r="BH156" s="230">
        <v>25810725</v>
      </c>
      <c r="BI156" s="230">
        <v>10685775</v>
      </c>
      <c r="BJ156" s="230">
        <v>15124950</v>
      </c>
      <c r="BK156" s="229">
        <v>1.4154</v>
      </c>
      <c r="BL156" s="230">
        <v>13093500</v>
      </c>
      <c r="BM156" s="230">
        <v>4467450</v>
      </c>
      <c r="BN156" s="230">
        <v>8626050</v>
      </c>
      <c r="BO156" s="229">
        <v>1.9309000000000001</v>
      </c>
      <c r="BP156" s="230">
        <v>46822675</v>
      </c>
      <c r="BQ156" s="230">
        <v>19227000</v>
      </c>
      <c r="BR156" s="230">
        <v>27595675</v>
      </c>
      <c r="BS156" s="229">
        <v>1.4353</v>
      </c>
      <c r="BT156" s="230">
        <v>5004500</v>
      </c>
      <c r="BU156" s="230">
        <v>2558609</v>
      </c>
      <c r="BV156" s="230">
        <v>2445891</v>
      </c>
      <c r="BW156" s="229">
        <v>0.95589999999999997</v>
      </c>
      <c r="BX156" s="230">
        <v>27228100</v>
      </c>
      <c r="BY156" s="230">
        <v>28119850</v>
      </c>
      <c r="BZ156" s="230">
        <v>-891750</v>
      </c>
      <c r="CA156" s="229">
        <v>-3.1699999999999999E-2</v>
      </c>
      <c r="CB156" s="230">
        <v>26880825</v>
      </c>
      <c r="CC156" s="230">
        <v>27806650</v>
      </c>
      <c r="CD156" s="230">
        <v>-925825</v>
      </c>
      <c r="CE156" s="229">
        <v>-3.3300000000000003E-2</v>
      </c>
      <c r="CF156" s="230">
        <v>308125</v>
      </c>
      <c r="CG156" s="230">
        <v>306675</v>
      </c>
      <c r="CH156" s="230">
        <v>1450</v>
      </c>
      <c r="CI156" s="229">
        <v>4.7000000000000002E-3</v>
      </c>
      <c r="CJ156" s="230">
        <v>39150</v>
      </c>
      <c r="CK156" s="230">
        <v>6525</v>
      </c>
      <c r="CL156" s="230">
        <v>32625</v>
      </c>
      <c r="CM156" s="229">
        <v>5</v>
      </c>
      <c r="CN156" s="230">
        <v>5428075</v>
      </c>
      <c r="CO156" s="230">
        <v>5018450</v>
      </c>
      <c r="CP156" s="230">
        <v>409625</v>
      </c>
      <c r="CQ156" s="229">
        <v>8.1600000000000006E-2</v>
      </c>
      <c r="CR156" s="230">
        <v>4998150</v>
      </c>
      <c r="CS156" s="230">
        <v>4442075</v>
      </c>
      <c r="CT156" s="230">
        <v>556075</v>
      </c>
      <c r="CU156" s="229">
        <v>0.12520000000000001</v>
      </c>
      <c r="CV156" s="230">
        <v>37654325</v>
      </c>
      <c r="CW156" s="230">
        <v>37580375</v>
      </c>
      <c r="CX156" s="230">
        <v>73950</v>
      </c>
      <c r="CY156" s="229">
        <v>2E-3</v>
      </c>
      <c r="CZ156" s="228">
        <v>36.229999999999997</v>
      </c>
      <c r="DA156" s="228">
        <v>34.94</v>
      </c>
      <c r="DB156" s="228">
        <v>1.29</v>
      </c>
      <c r="DC156" s="228">
        <v>1.29</v>
      </c>
      <c r="DD156" s="228">
        <v>56.87</v>
      </c>
      <c r="DE156" s="228">
        <v>56.65</v>
      </c>
      <c r="DF156" s="228">
        <v>-20.64</v>
      </c>
      <c r="DG156" s="228">
        <v>0.22</v>
      </c>
      <c r="DH156" s="228">
        <v>35.6</v>
      </c>
      <c r="DI156" s="228">
        <v>34.43</v>
      </c>
      <c r="DJ156" s="228">
        <v>1.17</v>
      </c>
      <c r="DK156" s="228">
        <v>1.17</v>
      </c>
      <c r="DL156" s="228">
        <v>37.479999999999997</v>
      </c>
      <c r="DM156" s="228">
        <v>36.15</v>
      </c>
      <c r="DN156" s="228">
        <v>1.33</v>
      </c>
      <c r="DO156" s="228">
        <v>1.33</v>
      </c>
      <c r="DP156" s="228">
        <v>0.92</v>
      </c>
      <c r="DQ156" s="228">
        <v>0.89</v>
      </c>
      <c r="DR156" s="228">
        <v>0.03</v>
      </c>
      <c r="DS156" s="229">
        <v>3.3700000000000001E-2</v>
      </c>
      <c r="DT156" s="231">
        <v>1240</v>
      </c>
      <c r="DU156" s="231">
        <v>1100</v>
      </c>
      <c r="DV156" s="228">
        <v>0.51</v>
      </c>
      <c r="DW156" s="228">
        <v>0.42</v>
      </c>
      <c r="DX156" s="228">
        <v>0.09</v>
      </c>
      <c r="DY156" s="229">
        <v>0.21429999999999999</v>
      </c>
      <c r="DZ156" s="229">
        <v>1.2800000000000001E-2</v>
      </c>
      <c r="EA156" s="230">
        <v>313200</v>
      </c>
      <c r="EB156" s="229">
        <v>4.0000000000000001E-3</v>
      </c>
      <c r="EC156" s="229">
        <v>1.2800000000000001E-2</v>
      </c>
      <c r="ED156" s="228">
        <v>3.11</v>
      </c>
      <c r="EE156" s="229">
        <v>2.5999999999999999E-3</v>
      </c>
      <c r="EF156" s="230">
        <v>1985483</v>
      </c>
      <c r="EG156" s="230">
        <v>1228450</v>
      </c>
      <c r="EH156" s="229">
        <v>0.61629999999999996</v>
      </c>
      <c r="EI156" s="229">
        <v>0.3967</v>
      </c>
      <c r="EJ156" s="231">
        <v>329573.45</v>
      </c>
      <c r="EK156" s="231">
        <v>153611.09</v>
      </c>
      <c r="EL156" s="231">
        <v>95946.93</v>
      </c>
      <c r="EM156" s="231">
        <v>14161</v>
      </c>
      <c r="EN156" s="231">
        <v>579131.47</v>
      </c>
      <c r="EO156" s="231">
        <v>230133.46</v>
      </c>
      <c r="EP156" s="231">
        <v>348998.01</v>
      </c>
      <c r="EQ156" s="229">
        <v>1.5165</v>
      </c>
      <c r="ER156" s="231">
        <v>67550</v>
      </c>
      <c r="ES156" s="231">
        <v>56558</v>
      </c>
      <c r="ET156" s="231">
        <v>334680</v>
      </c>
      <c r="EU156" s="231">
        <v>95715382</v>
      </c>
      <c r="EV156" s="231">
        <v>458788</v>
      </c>
      <c r="EW156" s="231">
        <v>439843</v>
      </c>
      <c r="EX156" s="231">
        <v>18945</v>
      </c>
      <c r="EY156" s="229">
        <v>4.3099999999999999E-2</v>
      </c>
      <c r="EZ156" s="229">
        <v>0.39340000000000003</v>
      </c>
      <c r="FA156" s="227" t="s">
        <v>556</v>
      </c>
      <c r="FB156" s="161">
        <f t="shared" si="3"/>
        <v>0</v>
      </c>
    </row>
    <row r="157" spans="1:158" ht="17.25" thickBot="1" x14ac:dyDescent="0.3">
      <c r="A157" s="226">
        <v>45936</v>
      </c>
      <c r="B157" s="227" t="s">
        <v>221</v>
      </c>
      <c r="C157" s="227" t="s">
        <v>529</v>
      </c>
      <c r="D157" s="228">
        <v>100</v>
      </c>
      <c r="E157" s="231">
        <v>5208.2</v>
      </c>
      <c r="F157" s="231">
        <v>5087</v>
      </c>
      <c r="G157" s="228">
        <v>121.2</v>
      </c>
      <c r="H157" s="229">
        <v>2.3800000000000002E-2</v>
      </c>
      <c r="I157" s="231">
        <v>5189.3</v>
      </c>
      <c r="J157" s="231">
        <v>5068.8</v>
      </c>
      <c r="K157" s="228">
        <v>120.5</v>
      </c>
      <c r="L157" s="229">
        <v>2.3800000000000002E-2</v>
      </c>
      <c r="M157" s="231">
        <v>5208.2</v>
      </c>
      <c r="N157" s="231">
        <v>5087</v>
      </c>
      <c r="O157" s="228">
        <v>121.2</v>
      </c>
      <c r="P157" s="229">
        <v>2.3800000000000002E-2</v>
      </c>
      <c r="Q157" s="231">
        <v>5236.3</v>
      </c>
      <c r="R157" s="231">
        <v>5112.3999999999996</v>
      </c>
      <c r="S157" s="228">
        <v>123.9</v>
      </c>
      <c r="T157" s="229">
        <v>2.4199999999999999E-2</v>
      </c>
      <c r="U157" s="231">
        <v>5260.3</v>
      </c>
      <c r="V157" s="231">
        <v>5135.8</v>
      </c>
      <c r="W157" s="228">
        <v>124.5</v>
      </c>
      <c r="X157" s="229">
        <v>2.4199999999999999E-2</v>
      </c>
      <c r="Y157" s="228">
        <v>18.899999999999999</v>
      </c>
      <c r="Z157" s="228">
        <v>18.2</v>
      </c>
      <c r="AA157" s="228">
        <v>0.7</v>
      </c>
      <c r="AB157" s="229">
        <v>3.5999999999999999E-3</v>
      </c>
      <c r="AC157" s="228">
        <v>18.899999999999999</v>
      </c>
      <c r="AD157" s="228">
        <v>18.2</v>
      </c>
      <c r="AE157" s="228">
        <v>0.7</v>
      </c>
      <c r="AF157" s="229">
        <v>3.5999999999999999E-3</v>
      </c>
      <c r="AG157" s="228">
        <v>47</v>
      </c>
      <c r="AH157" s="228">
        <v>43.6</v>
      </c>
      <c r="AI157" s="228">
        <v>3.4</v>
      </c>
      <c r="AJ157" s="229">
        <v>9.1000000000000004E-3</v>
      </c>
      <c r="AK157" s="228">
        <v>71</v>
      </c>
      <c r="AL157" s="228">
        <v>67</v>
      </c>
      <c r="AM157" s="228">
        <v>4</v>
      </c>
      <c r="AN157" s="229">
        <v>1.37E-2</v>
      </c>
      <c r="AO157" s="231">
        <v>5194.76</v>
      </c>
      <c r="AP157" s="231">
        <v>5222.3900000000003</v>
      </c>
      <c r="AQ157" s="228">
        <v>0</v>
      </c>
      <c r="AR157" s="230">
        <v>677200</v>
      </c>
      <c r="AS157" s="230">
        <v>498700</v>
      </c>
      <c r="AT157" s="230">
        <v>178500</v>
      </c>
      <c r="AU157" s="229">
        <v>0.3579</v>
      </c>
      <c r="AV157" s="230">
        <v>651700</v>
      </c>
      <c r="AW157" s="230">
        <v>478600</v>
      </c>
      <c r="AX157" s="230">
        <v>173100</v>
      </c>
      <c r="AY157" s="229">
        <v>0.36170000000000002</v>
      </c>
      <c r="AZ157" s="230">
        <v>19700</v>
      </c>
      <c r="BA157" s="230">
        <v>17200</v>
      </c>
      <c r="BB157" s="230">
        <v>2500</v>
      </c>
      <c r="BC157" s="229">
        <v>0.14530000000000001</v>
      </c>
      <c r="BD157" s="230">
        <v>5800</v>
      </c>
      <c r="BE157" s="230">
        <v>2900</v>
      </c>
      <c r="BF157" s="230">
        <v>2900</v>
      </c>
      <c r="BG157" s="229">
        <v>1</v>
      </c>
      <c r="BH157" s="230">
        <v>2366800</v>
      </c>
      <c r="BI157" s="230">
        <v>1589500</v>
      </c>
      <c r="BJ157" s="230">
        <v>777300</v>
      </c>
      <c r="BK157" s="229">
        <v>0.48899999999999999</v>
      </c>
      <c r="BL157" s="230">
        <v>1048500</v>
      </c>
      <c r="BM157" s="230">
        <v>615900</v>
      </c>
      <c r="BN157" s="230">
        <v>432600</v>
      </c>
      <c r="BO157" s="229">
        <v>0.70240000000000002</v>
      </c>
      <c r="BP157" s="230">
        <v>4092500</v>
      </c>
      <c r="BQ157" s="230">
        <v>2704100</v>
      </c>
      <c r="BR157" s="230">
        <v>1388400</v>
      </c>
      <c r="BS157" s="229">
        <v>0.51339999999999997</v>
      </c>
      <c r="BT157" s="230">
        <v>519431</v>
      </c>
      <c r="BU157" s="230">
        <v>372388</v>
      </c>
      <c r="BV157" s="230">
        <v>147043</v>
      </c>
      <c r="BW157" s="229">
        <v>0.39489999999999997</v>
      </c>
      <c r="BX157" s="230">
        <v>2958300</v>
      </c>
      <c r="BY157" s="230">
        <v>2992100</v>
      </c>
      <c r="BZ157" s="230">
        <v>-33800</v>
      </c>
      <c r="CA157" s="229">
        <v>-1.1299999999999999E-2</v>
      </c>
      <c r="CB157" s="230">
        <v>2900600</v>
      </c>
      <c r="CC157" s="230">
        <v>2936200</v>
      </c>
      <c r="CD157" s="230">
        <v>-35600</v>
      </c>
      <c r="CE157" s="229">
        <v>-1.21E-2</v>
      </c>
      <c r="CF157" s="230">
        <v>52500</v>
      </c>
      <c r="CG157" s="230">
        <v>53800</v>
      </c>
      <c r="CH157" s="230">
        <v>-1300</v>
      </c>
      <c r="CI157" s="229">
        <v>-2.4199999999999999E-2</v>
      </c>
      <c r="CJ157" s="230">
        <v>5200</v>
      </c>
      <c r="CK157" s="230">
        <v>2100</v>
      </c>
      <c r="CL157" s="230">
        <v>3100</v>
      </c>
      <c r="CM157" s="229">
        <v>1.4762</v>
      </c>
      <c r="CN157" s="230">
        <v>748900</v>
      </c>
      <c r="CO157" s="230">
        <v>722300</v>
      </c>
      <c r="CP157" s="230">
        <v>26600</v>
      </c>
      <c r="CQ157" s="229">
        <v>3.6799999999999999E-2</v>
      </c>
      <c r="CR157" s="230">
        <v>509100</v>
      </c>
      <c r="CS157" s="230">
        <v>488200</v>
      </c>
      <c r="CT157" s="230">
        <v>20900</v>
      </c>
      <c r="CU157" s="229">
        <v>4.2799999999999998E-2</v>
      </c>
      <c r="CV157" s="230">
        <v>4216300</v>
      </c>
      <c r="CW157" s="230">
        <v>4202600</v>
      </c>
      <c r="CX157" s="230">
        <v>13700</v>
      </c>
      <c r="CY157" s="229">
        <v>3.3E-3</v>
      </c>
      <c r="CZ157" s="228">
        <v>36.229999999999997</v>
      </c>
      <c r="DA157" s="228">
        <v>35</v>
      </c>
      <c r="DB157" s="228">
        <v>1.23</v>
      </c>
      <c r="DC157" s="228">
        <v>1.23</v>
      </c>
      <c r="DD157" s="228">
        <v>42.02</v>
      </c>
      <c r="DE157" s="228">
        <v>42.01</v>
      </c>
      <c r="DF157" s="228">
        <v>-5.79</v>
      </c>
      <c r="DG157" s="228">
        <v>0.01</v>
      </c>
      <c r="DH157" s="228">
        <v>35.979999999999997</v>
      </c>
      <c r="DI157" s="228">
        <v>34.75</v>
      </c>
      <c r="DJ157" s="228">
        <v>1.23</v>
      </c>
      <c r="DK157" s="228">
        <v>1.23</v>
      </c>
      <c r="DL157" s="228">
        <v>36.79</v>
      </c>
      <c r="DM157" s="228">
        <v>35.65</v>
      </c>
      <c r="DN157" s="228">
        <v>1.1399999999999999</v>
      </c>
      <c r="DO157" s="228">
        <v>1.1399999999999999</v>
      </c>
      <c r="DP157" s="228">
        <v>0.68</v>
      </c>
      <c r="DQ157" s="228">
        <v>0.68</v>
      </c>
      <c r="DR157" s="228">
        <v>0</v>
      </c>
      <c r="DS157" s="229">
        <v>0</v>
      </c>
      <c r="DT157" s="231">
        <v>5200</v>
      </c>
      <c r="DU157" s="231">
        <v>5000</v>
      </c>
      <c r="DV157" s="228">
        <v>0.44</v>
      </c>
      <c r="DW157" s="228">
        <v>0.39</v>
      </c>
      <c r="DX157" s="228">
        <v>0.05</v>
      </c>
      <c r="DY157" s="229">
        <v>0.12820000000000001</v>
      </c>
      <c r="DZ157" s="229">
        <v>1.95E-2</v>
      </c>
      <c r="EA157" s="230">
        <v>55900</v>
      </c>
      <c r="EB157" s="229">
        <v>5.4000000000000003E-3</v>
      </c>
      <c r="EC157" s="229">
        <v>1.95E-2</v>
      </c>
      <c r="ED157" s="228">
        <v>27.63</v>
      </c>
      <c r="EE157" s="229">
        <v>5.3E-3</v>
      </c>
      <c r="EF157" s="230">
        <v>244062</v>
      </c>
      <c r="EG157" s="230">
        <v>179649</v>
      </c>
      <c r="EH157" s="229">
        <v>0.35849999999999999</v>
      </c>
      <c r="EI157" s="229">
        <v>0.46989999999999998</v>
      </c>
      <c r="EJ157" s="231">
        <v>129803.08</v>
      </c>
      <c r="EK157" s="231">
        <v>53187.92</v>
      </c>
      <c r="EL157" s="231">
        <v>35186.78</v>
      </c>
      <c r="EM157" s="231">
        <v>12483</v>
      </c>
      <c r="EN157" s="231">
        <v>218177.78</v>
      </c>
      <c r="EO157" s="231">
        <v>140886.54</v>
      </c>
      <c r="EP157" s="231">
        <v>77291.240000000005</v>
      </c>
      <c r="EQ157" s="229">
        <v>0.54859999999999998</v>
      </c>
      <c r="ER157" s="231">
        <v>40850</v>
      </c>
      <c r="ES157" s="231">
        <v>24956</v>
      </c>
      <c r="ET157" s="231">
        <v>154092</v>
      </c>
      <c r="EU157" s="231">
        <v>16151851</v>
      </c>
      <c r="EV157" s="231">
        <v>219898</v>
      </c>
      <c r="EW157" s="231">
        <v>215125</v>
      </c>
      <c r="EX157" s="231">
        <v>4773</v>
      </c>
      <c r="EY157" s="229">
        <v>2.2200000000000001E-2</v>
      </c>
      <c r="EZ157" s="229">
        <v>0.26100000000000001</v>
      </c>
      <c r="FA157" s="227" t="s">
        <v>556</v>
      </c>
      <c r="FB157" s="161">
        <f t="shared" si="3"/>
        <v>0</v>
      </c>
    </row>
    <row r="158" spans="1:158" ht="17.25" thickBot="1" x14ac:dyDescent="0.3">
      <c r="A158" s="226">
        <v>45936</v>
      </c>
      <c r="B158" s="227" t="s">
        <v>193</v>
      </c>
      <c r="C158" s="227" t="s">
        <v>272</v>
      </c>
      <c r="D158" s="228">
        <v>1800</v>
      </c>
      <c r="E158" s="228">
        <v>281.95</v>
      </c>
      <c r="F158" s="228">
        <v>280.60000000000002</v>
      </c>
      <c r="G158" s="228">
        <v>1.35</v>
      </c>
      <c r="H158" s="229">
        <v>4.7999999999999996E-3</v>
      </c>
      <c r="I158" s="228">
        <v>280.3</v>
      </c>
      <c r="J158" s="228">
        <v>278.95</v>
      </c>
      <c r="K158" s="228">
        <v>1.35</v>
      </c>
      <c r="L158" s="229">
        <v>4.7999999999999996E-3</v>
      </c>
      <c r="M158" s="228">
        <v>281.95</v>
      </c>
      <c r="N158" s="228">
        <v>280.60000000000002</v>
      </c>
      <c r="O158" s="228">
        <v>1.35</v>
      </c>
      <c r="P158" s="229">
        <v>4.7999999999999996E-3</v>
      </c>
      <c r="Q158" s="228">
        <v>283.25</v>
      </c>
      <c r="R158" s="228">
        <v>282.25</v>
      </c>
      <c r="S158" s="228">
        <v>1</v>
      </c>
      <c r="T158" s="229">
        <v>3.5000000000000001E-3</v>
      </c>
      <c r="U158" s="228">
        <v>283.75</v>
      </c>
      <c r="V158" s="228">
        <v>282.45</v>
      </c>
      <c r="W158" s="228">
        <v>1.3</v>
      </c>
      <c r="X158" s="229">
        <v>4.5999999999999999E-3</v>
      </c>
      <c r="Y158" s="228">
        <v>1.65</v>
      </c>
      <c r="Z158" s="228">
        <v>1.65</v>
      </c>
      <c r="AA158" s="228">
        <v>0</v>
      </c>
      <c r="AB158" s="229">
        <v>5.8999999999999999E-3</v>
      </c>
      <c r="AC158" s="228">
        <v>1.65</v>
      </c>
      <c r="AD158" s="228">
        <v>1.65</v>
      </c>
      <c r="AE158" s="228">
        <v>0</v>
      </c>
      <c r="AF158" s="229">
        <v>5.8999999999999999E-3</v>
      </c>
      <c r="AG158" s="228">
        <v>2.95</v>
      </c>
      <c r="AH158" s="228">
        <v>3.3</v>
      </c>
      <c r="AI158" s="228">
        <v>-0.35</v>
      </c>
      <c r="AJ158" s="229">
        <v>1.0500000000000001E-2</v>
      </c>
      <c r="AK158" s="228">
        <v>3.45</v>
      </c>
      <c r="AL158" s="228">
        <v>3.5</v>
      </c>
      <c r="AM158" s="228">
        <v>-0.05</v>
      </c>
      <c r="AN158" s="229">
        <v>1.23E-2</v>
      </c>
      <c r="AO158" s="228">
        <v>281.31</v>
      </c>
      <c r="AP158" s="228">
        <v>282.45999999999998</v>
      </c>
      <c r="AQ158" s="228">
        <v>0</v>
      </c>
      <c r="AR158" s="230">
        <v>2215800</v>
      </c>
      <c r="AS158" s="230">
        <v>4230000</v>
      </c>
      <c r="AT158" s="230">
        <v>-2014200</v>
      </c>
      <c r="AU158" s="229">
        <v>-0.47620000000000001</v>
      </c>
      <c r="AV158" s="230">
        <v>2116800</v>
      </c>
      <c r="AW158" s="230">
        <v>4059000</v>
      </c>
      <c r="AX158" s="230">
        <v>-1942200</v>
      </c>
      <c r="AY158" s="229">
        <v>-0.47849999999999998</v>
      </c>
      <c r="AZ158" s="230">
        <v>91800</v>
      </c>
      <c r="BA158" s="230">
        <v>162000</v>
      </c>
      <c r="BB158" s="230">
        <v>-70200</v>
      </c>
      <c r="BC158" s="229">
        <v>-0.43330000000000002</v>
      </c>
      <c r="BD158" s="230">
        <v>7200</v>
      </c>
      <c r="BE158" s="230">
        <v>9000</v>
      </c>
      <c r="BF158" s="230">
        <v>-1800</v>
      </c>
      <c r="BG158" s="229">
        <v>-0.2</v>
      </c>
      <c r="BH158" s="230">
        <v>10530000</v>
      </c>
      <c r="BI158" s="230">
        <v>4737600</v>
      </c>
      <c r="BJ158" s="230">
        <v>5792400</v>
      </c>
      <c r="BK158" s="229">
        <v>1.2225999999999999</v>
      </c>
      <c r="BL158" s="230">
        <v>2478600</v>
      </c>
      <c r="BM158" s="230">
        <v>2836800</v>
      </c>
      <c r="BN158" s="230">
        <v>-358200</v>
      </c>
      <c r="BO158" s="229">
        <v>-0.1263</v>
      </c>
      <c r="BP158" s="230">
        <v>15224400</v>
      </c>
      <c r="BQ158" s="230">
        <v>11804400</v>
      </c>
      <c r="BR158" s="230">
        <v>3420000</v>
      </c>
      <c r="BS158" s="229">
        <v>0.28970000000000001</v>
      </c>
      <c r="BT158" s="230">
        <v>1390824</v>
      </c>
      <c r="BU158" s="230">
        <v>4663264</v>
      </c>
      <c r="BV158" s="230">
        <v>-3272440</v>
      </c>
      <c r="BW158" s="229">
        <v>-0.70169999999999999</v>
      </c>
      <c r="BX158" s="230">
        <v>40168800</v>
      </c>
      <c r="BY158" s="230">
        <v>39792600</v>
      </c>
      <c r="BZ158" s="230">
        <v>376200</v>
      </c>
      <c r="CA158" s="229">
        <v>9.4999999999999998E-3</v>
      </c>
      <c r="CB158" s="230">
        <v>39576600</v>
      </c>
      <c r="CC158" s="230">
        <v>39207600</v>
      </c>
      <c r="CD158" s="230">
        <v>369000</v>
      </c>
      <c r="CE158" s="229">
        <v>9.4000000000000004E-3</v>
      </c>
      <c r="CF158" s="230">
        <v>574200</v>
      </c>
      <c r="CG158" s="230">
        <v>574200</v>
      </c>
      <c r="CH158" s="228">
        <v>0</v>
      </c>
      <c r="CI158" s="229">
        <v>0</v>
      </c>
      <c r="CJ158" s="230">
        <v>18000</v>
      </c>
      <c r="CK158" s="230">
        <v>10800</v>
      </c>
      <c r="CL158" s="230">
        <v>7200</v>
      </c>
      <c r="CM158" s="229">
        <v>0.66669999999999996</v>
      </c>
      <c r="CN158" s="230">
        <v>13726800</v>
      </c>
      <c r="CO158" s="230">
        <v>11575800</v>
      </c>
      <c r="CP158" s="230">
        <v>2151000</v>
      </c>
      <c r="CQ158" s="229">
        <v>0.18579999999999999</v>
      </c>
      <c r="CR158" s="230">
        <v>14209200</v>
      </c>
      <c r="CS158" s="230">
        <v>13487400</v>
      </c>
      <c r="CT158" s="230">
        <v>721800</v>
      </c>
      <c r="CU158" s="229">
        <v>5.3499999999999999E-2</v>
      </c>
      <c r="CV158" s="230">
        <v>68104800</v>
      </c>
      <c r="CW158" s="230">
        <v>64855800</v>
      </c>
      <c r="CX158" s="230">
        <v>3249000</v>
      </c>
      <c r="CY158" s="229">
        <v>5.0099999999999999E-2</v>
      </c>
      <c r="CZ158" s="228">
        <v>25.45</v>
      </c>
      <c r="DA158" s="228">
        <v>24.38</v>
      </c>
      <c r="DB158" s="228">
        <v>1.07</v>
      </c>
      <c r="DC158" s="228">
        <v>1.07</v>
      </c>
      <c r="DD158" s="228">
        <v>33.22</v>
      </c>
      <c r="DE158" s="228">
        <v>33.29</v>
      </c>
      <c r="DF158" s="228">
        <v>-7.77</v>
      </c>
      <c r="DG158" s="228">
        <v>-7.0000000000000007E-2</v>
      </c>
      <c r="DH158" s="228">
        <v>25.16</v>
      </c>
      <c r="DI158" s="228">
        <v>24.05</v>
      </c>
      <c r="DJ158" s="228">
        <v>1.1100000000000001</v>
      </c>
      <c r="DK158" s="228">
        <v>1.1100000000000001</v>
      </c>
      <c r="DL158" s="228">
        <v>26.71</v>
      </c>
      <c r="DM158" s="228">
        <v>24.94</v>
      </c>
      <c r="DN158" s="228">
        <v>1.77</v>
      </c>
      <c r="DO158" s="228">
        <v>1.77</v>
      </c>
      <c r="DP158" s="228">
        <v>1.04</v>
      </c>
      <c r="DQ158" s="228">
        <v>1.17</v>
      </c>
      <c r="DR158" s="228">
        <v>-0.13</v>
      </c>
      <c r="DS158" s="229">
        <v>-0.1111</v>
      </c>
      <c r="DT158" s="228">
        <v>300</v>
      </c>
      <c r="DU158" s="228">
        <v>270</v>
      </c>
      <c r="DV158" s="228">
        <v>0.24</v>
      </c>
      <c r="DW158" s="228">
        <v>0.6</v>
      </c>
      <c r="DX158" s="228">
        <v>-0.36</v>
      </c>
      <c r="DY158" s="229">
        <v>-0.6</v>
      </c>
      <c r="DZ158" s="229">
        <v>1.47E-2</v>
      </c>
      <c r="EA158" s="230">
        <v>585000</v>
      </c>
      <c r="EB158" s="229">
        <v>4.5999999999999999E-3</v>
      </c>
      <c r="EC158" s="229">
        <v>1.47E-2</v>
      </c>
      <c r="ED158" s="228">
        <v>1.1499999999999999</v>
      </c>
      <c r="EE158" s="229">
        <v>4.1000000000000003E-3</v>
      </c>
      <c r="EF158" s="230">
        <v>821669</v>
      </c>
      <c r="EG158" s="230">
        <v>3306483</v>
      </c>
      <c r="EH158" s="229">
        <v>-0.75149999999999995</v>
      </c>
      <c r="EI158" s="229">
        <v>0.59079999999999999</v>
      </c>
      <c r="EJ158" s="231">
        <v>30817.8</v>
      </c>
      <c r="EK158" s="231">
        <v>6786.39</v>
      </c>
      <c r="EL158" s="231">
        <v>6234.42</v>
      </c>
      <c r="EM158" s="231">
        <v>5858</v>
      </c>
      <c r="EN158" s="231">
        <v>43838.61</v>
      </c>
      <c r="EO158" s="231">
        <v>33466.129999999997</v>
      </c>
      <c r="EP158" s="231">
        <v>10372.48</v>
      </c>
      <c r="EQ158" s="229">
        <v>0.30990000000000001</v>
      </c>
      <c r="ER158" s="231">
        <v>40114</v>
      </c>
      <c r="ES158" s="231">
        <v>39906</v>
      </c>
      <c r="ET158" s="231">
        <v>113264</v>
      </c>
      <c r="EU158" s="231">
        <v>93668136</v>
      </c>
      <c r="EV158" s="231">
        <v>193284</v>
      </c>
      <c r="EW158" s="231">
        <v>183449</v>
      </c>
      <c r="EX158" s="231">
        <v>9835</v>
      </c>
      <c r="EY158" s="229">
        <v>5.3600000000000002E-2</v>
      </c>
      <c r="EZ158" s="229">
        <v>0.72709999999999997</v>
      </c>
      <c r="FA158" s="227" t="s">
        <v>555</v>
      </c>
      <c r="FB158" s="161">
        <f t="shared" si="3"/>
        <v>0</v>
      </c>
    </row>
    <row r="159" spans="1:158" ht="17.25" thickBot="1" x14ac:dyDescent="0.3">
      <c r="A159" s="226">
        <v>45936</v>
      </c>
      <c r="B159" s="227" t="s">
        <v>175</v>
      </c>
      <c r="C159" s="227" t="s">
        <v>273</v>
      </c>
      <c r="D159" s="228">
        <v>1300</v>
      </c>
      <c r="E159" s="228">
        <v>407.55</v>
      </c>
      <c r="F159" s="228">
        <v>414.7</v>
      </c>
      <c r="G159" s="228">
        <v>-7.15</v>
      </c>
      <c r="H159" s="229">
        <v>-1.72E-2</v>
      </c>
      <c r="I159" s="228">
        <v>405.9</v>
      </c>
      <c r="J159" s="228">
        <v>412.2</v>
      </c>
      <c r="K159" s="228">
        <v>-6.3</v>
      </c>
      <c r="L159" s="229">
        <v>-1.5299999999999999E-2</v>
      </c>
      <c r="M159" s="228">
        <v>407.55</v>
      </c>
      <c r="N159" s="228">
        <v>414.7</v>
      </c>
      <c r="O159" s="228">
        <v>-7.15</v>
      </c>
      <c r="P159" s="229">
        <v>-1.72E-2</v>
      </c>
      <c r="Q159" s="228">
        <v>406.9</v>
      </c>
      <c r="R159" s="228">
        <v>413.85</v>
      </c>
      <c r="S159" s="228">
        <v>-6.95</v>
      </c>
      <c r="T159" s="229">
        <v>-1.6799999999999999E-2</v>
      </c>
      <c r="U159" s="228">
        <v>409.4</v>
      </c>
      <c r="V159" s="228">
        <v>416.1</v>
      </c>
      <c r="W159" s="228">
        <v>-6.7</v>
      </c>
      <c r="X159" s="229">
        <v>-1.61E-2</v>
      </c>
      <c r="Y159" s="228">
        <v>1.65</v>
      </c>
      <c r="Z159" s="228">
        <v>2.5</v>
      </c>
      <c r="AA159" s="228">
        <v>-0.85</v>
      </c>
      <c r="AB159" s="229">
        <v>4.1000000000000003E-3</v>
      </c>
      <c r="AC159" s="228">
        <v>1.65</v>
      </c>
      <c r="AD159" s="228">
        <v>2.5</v>
      </c>
      <c r="AE159" s="228">
        <v>-0.85</v>
      </c>
      <c r="AF159" s="229">
        <v>4.1000000000000003E-3</v>
      </c>
      <c r="AG159" s="228">
        <v>1</v>
      </c>
      <c r="AH159" s="228">
        <v>1.65</v>
      </c>
      <c r="AI159" s="228">
        <v>-0.65</v>
      </c>
      <c r="AJ159" s="229">
        <v>2.5000000000000001E-3</v>
      </c>
      <c r="AK159" s="228">
        <v>3.5</v>
      </c>
      <c r="AL159" s="228">
        <v>3.9</v>
      </c>
      <c r="AM159" s="228">
        <v>-0.4</v>
      </c>
      <c r="AN159" s="229">
        <v>8.6E-3</v>
      </c>
      <c r="AO159" s="228">
        <v>408.39</v>
      </c>
      <c r="AP159" s="228">
        <v>407.87</v>
      </c>
      <c r="AQ159" s="228">
        <v>0</v>
      </c>
      <c r="AR159" s="230">
        <v>8201700</v>
      </c>
      <c r="AS159" s="230">
        <v>7385300</v>
      </c>
      <c r="AT159" s="230">
        <v>816400</v>
      </c>
      <c r="AU159" s="229">
        <v>0.1105</v>
      </c>
      <c r="AV159" s="230">
        <v>7347600</v>
      </c>
      <c r="AW159" s="230">
        <v>6418100</v>
      </c>
      <c r="AX159" s="230">
        <v>929500</v>
      </c>
      <c r="AY159" s="229">
        <v>0.14480000000000001</v>
      </c>
      <c r="AZ159" s="230">
        <v>802100</v>
      </c>
      <c r="BA159" s="230">
        <v>932100</v>
      </c>
      <c r="BB159" s="230">
        <v>-130000</v>
      </c>
      <c r="BC159" s="229">
        <v>-0.13950000000000001</v>
      </c>
      <c r="BD159" s="230">
        <v>52000</v>
      </c>
      <c r="BE159" s="230">
        <v>35100</v>
      </c>
      <c r="BF159" s="230">
        <v>16900</v>
      </c>
      <c r="BG159" s="229">
        <v>0.48149999999999998</v>
      </c>
      <c r="BH159" s="230">
        <v>21060000</v>
      </c>
      <c r="BI159" s="230">
        <v>20754500</v>
      </c>
      <c r="BJ159" s="230">
        <v>305500</v>
      </c>
      <c r="BK159" s="229">
        <v>1.47E-2</v>
      </c>
      <c r="BL159" s="230">
        <v>10141300</v>
      </c>
      <c r="BM159" s="230">
        <v>10541700</v>
      </c>
      <c r="BN159" s="230">
        <v>-400400</v>
      </c>
      <c r="BO159" s="229">
        <v>-3.7999999999999999E-2</v>
      </c>
      <c r="BP159" s="230">
        <v>39403000</v>
      </c>
      <c r="BQ159" s="230">
        <v>38681500</v>
      </c>
      <c r="BR159" s="230">
        <v>721500</v>
      </c>
      <c r="BS159" s="229">
        <v>1.8700000000000001E-2</v>
      </c>
      <c r="BT159" s="230">
        <v>3329923</v>
      </c>
      <c r="BU159" s="230">
        <v>6580055</v>
      </c>
      <c r="BV159" s="230">
        <v>-3250132</v>
      </c>
      <c r="BW159" s="229">
        <v>-0.49390000000000001</v>
      </c>
      <c r="BX159" s="230">
        <v>53329900</v>
      </c>
      <c r="BY159" s="230">
        <v>51073100</v>
      </c>
      <c r="BZ159" s="230">
        <v>2256800</v>
      </c>
      <c r="CA159" s="229">
        <v>4.4200000000000003E-2</v>
      </c>
      <c r="CB159" s="230">
        <v>50135800</v>
      </c>
      <c r="CC159" s="230">
        <v>48304100</v>
      </c>
      <c r="CD159" s="230">
        <v>1831700</v>
      </c>
      <c r="CE159" s="229">
        <v>3.7900000000000003E-2</v>
      </c>
      <c r="CF159" s="230">
        <v>3086200</v>
      </c>
      <c r="CG159" s="230">
        <v>2704000</v>
      </c>
      <c r="CH159" s="230">
        <v>382200</v>
      </c>
      <c r="CI159" s="229">
        <v>0.14130000000000001</v>
      </c>
      <c r="CJ159" s="230">
        <v>107900</v>
      </c>
      <c r="CK159" s="230">
        <v>65000</v>
      </c>
      <c r="CL159" s="230">
        <v>42900</v>
      </c>
      <c r="CM159" s="229">
        <v>0.66</v>
      </c>
      <c r="CN159" s="230">
        <v>19072300</v>
      </c>
      <c r="CO159" s="230">
        <v>15978300</v>
      </c>
      <c r="CP159" s="230">
        <v>3094000</v>
      </c>
      <c r="CQ159" s="229">
        <v>0.19359999999999999</v>
      </c>
      <c r="CR159" s="230">
        <v>15130700</v>
      </c>
      <c r="CS159" s="230">
        <v>13461500</v>
      </c>
      <c r="CT159" s="230">
        <v>1669200</v>
      </c>
      <c r="CU159" s="229">
        <v>0.124</v>
      </c>
      <c r="CV159" s="230">
        <v>87532900</v>
      </c>
      <c r="CW159" s="230">
        <v>80512900</v>
      </c>
      <c r="CX159" s="230">
        <v>7020000</v>
      </c>
      <c r="CY159" s="229">
        <v>8.72E-2</v>
      </c>
      <c r="CZ159" s="228">
        <v>26.31</v>
      </c>
      <c r="DA159" s="228">
        <v>24.67</v>
      </c>
      <c r="DB159" s="228">
        <v>1.64</v>
      </c>
      <c r="DC159" s="228">
        <v>1.64</v>
      </c>
      <c r="DD159" s="228">
        <v>45.2</v>
      </c>
      <c r="DE159" s="228">
        <v>45.25</v>
      </c>
      <c r="DF159" s="228">
        <v>-18.89</v>
      </c>
      <c r="DG159" s="228">
        <v>-0.05</v>
      </c>
      <c r="DH159" s="228">
        <v>26.5</v>
      </c>
      <c r="DI159" s="228">
        <v>24.61</v>
      </c>
      <c r="DJ159" s="228">
        <v>1.89</v>
      </c>
      <c r="DK159" s="228">
        <v>1.89</v>
      </c>
      <c r="DL159" s="228">
        <v>25.91</v>
      </c>
      <c r="DM159" s="228">
        <v>24.78</v>
      </c>
      <c r="DN159" s="228">
        <v>1.1299999999999999</v>
      </c>
      <c r="DO159" s="228">
        <v>1.1299999999999999</v>
      </c>
      <c r="DP159" s="228">
        <v>0.79</v>
      </c>
      <c r="DQ159" s="228">
        <v>0.84</v>
      </c>
      <c r="DR159" s="228">
        <v>-0.05</v>
      </c>
      <c r="DS159" s="229">
        <v>-5.9499999999999997E-2</v>
      </c>
      <c r="DT159" s="228">
        <v>420</v>
      </c>
      <c r="DU159" s="228">
        <v>410</v>
      </c>
      <c r="DV159" s="228">
        <v>0.48</v>
      </c>
      <c r="DW159" s="228">
        <v>0.51</v>
      </c>
      <c r="DX159" s="228">
        <v>-0.03</v>
      </c>
      <c r="DY159" s="229">
        <v>-5.8799999999999998E-2</v>
      </c>
      <c r="DZ159" s="229">
        <v>5.9900000000000002E-2</v>
      </c>
      <c r="EA159" s="230">
        <v>2769000</v>
      </c>
      <c r="EB159" s="229">
        <v>-1.6000000000000001E-3</v>
      </c>
      <c r="EC159" s="229">
        <v>5.9900000000000002E-2</v>
      </c>
      <c r="ED159" s="228">
        <v>-0.52</v>
      </c>
      <c r="EE159" s="229">
        <v>-1.2999999999999999E-3</v>
      </c>
      <c r="EF159" s="230">
        <v>1626471</v>
      </c>
      <c r="EG159" s="230">
        <v>3900957</v>
      </c>
      <c r="EH159" s="229">
        <v>-0.58309999999999995</v>
      </c>
      <c r="EI159" s="229">
        <v>0.4884</v>
      </c>
      <c r="EJ159" s="231">
        <v>89937.09</v>
      </c>
      <c r="EK159" s="231">
        <v>41705.94</v>
      </c>
      <c r="EL159" s="231">
        <v>33491.879999999997</v>
      </c>
      <c r="EM159" s="231">
        <v>13599</v>
      </c>
      <c r="EN159" s="231">
        <v>165134.91</v>
      </c>
      <c r="EO159" s="231">
        <v>163178.75</v>
      </c>
      <c r="EP159" s="231">
        <v>1956.16</v>
      </c>
      <c r="EQ159" s="229">
        <v>1.2E-2</v>
      </c>
      <c r="ER159" s="231">
        <v>80719</v>
      </c>
      <c r="ES159" s="231">
        <v>61502</v>
      </c>
      <c r="ET159" s="231">
        <v>217328</v>
      </c>
      <c r="EU159" s="231">
        <v>203602113</v>
      </c>
      <c r="EV159" s="231">
        <v>359549</v>
      </c>
      <c r="EW159" s="231">
        <v>334560</v>
      </c>
      <c r="EX159" s="231">
        <v>24989</v>
      </c>
      <c r="EY159" s="229">
        <v>7.4700000000000003E-2</v>
      </c>
      <c r="EZ159" s="229">
        <v>0.4299</v>
      </c>
      <c r="FA159" s="227" t="s">
        <v>567</v>
      </c>
      <c r="FB159" s="161">
        <f t="shared" si="3"/>
        <v>0</v>
      </c>
    </row>
    <row r="160" spans="1:158" ht="17.25" thickBot="1" x14ac:dyDescent="0.3">
      <c r="A160" s="226">
        <v>45936</v>
      </c>
      <c r="B160" s="227" t="s">
        <v>184</v>
      </c>
      <c r="C160" s="227" t="s">
        <v>682</v>
      </c>
      <c r="D160" s="228">
        <v>700</v>
      </c>
      <c r="E160" s="228">
        <v>520.95000000000005</v>
      </c>
      <c r="F160" s="228">
        <v>516.35</v>
      </c>
      <c r="G160" s="228">
        <v>4.5999999999999996</v>
      </c>
      <c r="H160" s="229">
        <v>8.8999999999999999E-3</v>
      </c>
      <c r="I160" s="228">
        <v>517.20000000000005</v>
      </c>
      <c r="J160" s="228">
        <v>514.15</v>
      </c>
      <c r="K160" s="228">
        <v>3.05</v>
      </c>
      <c r="L160" s="229">
        <v>5.8999999999999999E-3</v>
      </c>
      <c r="M160" s="228">
        <v>520.95000000000005</v>
      </c>
      <c r="N160" s="228">
        <v>516.35</v>
      </c>
      <c r="O160" s="228">
        <v>4.5999999999999996</v>
      </c>
      <c r="P160" s="229">
        <v>8.8999999999999999E-3</v>
      </c>
      <c r="Q160" s="228">
        <v>522.4</v>
      </c>
      <c r="R160" s="228">
        <v>519.25</v>
      </c>
      <c r="S160" s="228">
        <v>3.15</v>
      </c>
      <c r="T160" s="229">
        <v>6.1000000000000004E-3</v>
      </c>
      <c r="U160" s="228">
        <v>521</v>
      </c>
      <c r="V160" s="228">
        <v>521.29999999999995</v>
      </c>
      <c r="W160" s="228">
        <v>-0.3</v>
      </c>
      <c r="X160" s="229">
        <v>-5.9999999999999995E-4</v>
      </c>
      <c r="Y160" s="228">
        <v>3.75</v>
      </c>
      <c r="Z160" s="228">
        <v>2.2000000000000002</v>
      </c>
      <c r="AA160" s="228">
        <v>1.55</v>
      </c>
      <c r="AB160" s="229">
        <v>7.3000000000000001E-3</v>
      </c>
      <c r="AC160" s="228">
        <v>3.75</v>
      </c>
      <c r="AD160" s="228">
        <v>2.2000000000000002</v>
      </c>
      <c r="AE160" s="228">
        <v>1.55</v>
      </c>
      <c r="AF160" s="229">
        <v>7.3000000000000001E-3</v>
      </c>
      <c r="AG160" s="228">
        <v>5.2</v>
      </c>
      <c r="AH160" s="228">
        <v>5.0999999999999996</v>
      </c>
      <c r="AI160" s="228">
        <v>0.1</v>
      </c>
      <c r="AJ160" s="229">
        <v>1.01E-2</v>
      </c>
      <c r="AK160" s="228">
        <v>3.8</v>
      </c>
      <c r="AL160" s="228">
        <v>7.15</v>
      </c>
      <c r="AM160" s="228">
        <v>-3.35</v>
      </c>
      <c r="AN160" s="229">
        <v>7.3000000000000001E-3</v>
      </c>
      <c r="AO160" s="228">
        <v>513.35</v>
      </c>
      <c r="AP160" s="228">
        <v>515.4</v>
      </c>
      <c r="AQ160" s="228">
        <v>0</v>
      </c>
      <c r="AR160" s="230">
        <v>1977500</v>
      </c>
      <c r="AS160" s="230">
        <v>1603000</v>
      </c>
      <c r="AT160" s="230">
        <v>374500</v>
      </c>
      <c r="AU160" s="229">
        <v>0.2336</v>
      </c>
      <c r="AV160" s="230">
        <v>1887200</v>
      </c>
      <c r="AW160" s="230">
        <v>1548400</v>
      </c>
      <c r="AX160" s="230">
        <v>338800</v>
      </c>
      <c r="AY160" s="229">
        <v>0.21879999999999999</v>
      </c>
      <c r="AZ160" s="230">
        <v>84700</v>
      </c>
      <c r="BA160" s="230">
        <v>51100</v>
      </c>
      <c r="BB160" s="230">
        <v>33600</v>
      </c>
      <c r="BC160" s="229">
        <v>0.65749999999999997</v>
      </c>
      <c r="BD160" s="230">
        <v>5600</v>
      </c>
      <c r="BE160" s="230">
        <v>3500</v>
      </c>
      <c r="BF160" s="230">
        <v>2100</v>
      </c>
      <c r="BG160" s="229">
        <v>0.6</v>
      </c>
      <c r="BH160" s="230">
        <v>4673900</v>
      </c>
      <c r="BI160" s="230">
        <v>4048800</v>
      </c>
      <c r="BJ160" s="230">
        <v>625100</v>
      </c>
      <c r="BK160" s="229">
        <v>0.15440000000000001</v>
      </c>
      <c r="BL160" s="230">
        <v>1880900</v>
      </c>
      <c r="BM160" s="230">
        <v>1170400</v>
      </c>
      <c r="BN160" s="230">
        <v>710500</v>
      </c>
      <c r="BO160" s="229">
        <v>0.60709999999999997</v>
      </c>
      <c r="BP160" s="230">
        <v>8532300</v>
      </c>
      <c r="BQ160" s="230">
        <v>6822200</v>
      </c>
      <c r="BR160" s="230">
        <v>1710100</v>
      </c>
      <c r="BS160" s="229">
        <v>0.25069999999999998</v>
      </c>
      <c r="BT160" s="230">
        <v>2141959</v>
      </c>
      <c r="BU160" s="230">
        <v>1860374</v>
      </c>
      <c r="BV160" s="230">
        <v>281585</v>
      </c>
      <c r="BW160" s="229">
        <v>0.15140000000000001</v>
      </c>
      <c r="BX160" s="230">
        <v>8727600</v>
      </c>
      <c r="BY160" s="230">
        <v>8897700</v>
      </c>
      <c r="BZ160" s="230">
        <v>-170100</v>
      </c>
      <c r="CA160" s="229">
        <v>-1.9099999999999999E-2</v>
      </c>
      <c r="CB160" s="230">
        <v>8477700</v>
      </c>
      <c r="CC160" s="230">
        <v>8652700</v>
      </c>
      <c r="CD160" s="230">
        <v>-175000</v>
      </c>
      <c r="CE160" s="229">
        <v>-2.0199999999999999E-2</v>
      </c>
      <c r="CF160" s="230">
        <v>245700</v>
      </c>
      <c r="CG160" s="230">
        <v>241500</v>
      </c>
      <c r="CH160" s="230">
        <v>4200</v>
      </c>
      <c r="CI160" s="229">
        <v>1.7399999999999999E-2</v>
      </c>
      <c r="CJ160" s="230">
        <v>4200</v>
      </c>
      <c r="CK160" s="230">
        <v>3500</v>
      </c>
      <c r="CL160" s="228">
        <v>700</v>
      </c>
      <c r="CM160" s="229">
        <v>0.2</v>
      </c>
      <c r="CN160" s="230">
        <v>3976000</v>
      </c>
      <c r="CO160" s="230">
        <v>3518200</v>
      </c>
      <c r="CP160" s="230">
        <v>457800</v>
      </c>
      <c r="CQ160" s="229">
        <v>0.13009999999999999</v>
      </c>
      <c r="CR160" s="230">
        <v>1988700</v>
      </c>
      <c r="CS160" s="230">
        <v>1743000</v>
      </c>
      <c r="CT160" s="230">
        <v>245700</v>
      </c>
      <c r="CU160" s="229">
        <v>0.14099999999999999</v>
      </c>
      <c r="CV160" s="230">
        <v>14692300</v>
      </c>
      <c r="CW160" s="230">
        <v>14158900</v>
      </c>
      <c r="CX160" s="230">
        <v>533400</v>
      </c>
      <c r="CY160" s="229">
        <v>3.7699999999999997E-2</v>
      </c>
      <c r="CZ160" s="228">
        <v>39.36</v>
      </c>
      <c r="DA160" s="228">
        <v>40.35</v>
      </c>
      <c r="DB160" s="228">
        <v>-0.99</v>
      </c>
      <c r="DC160" s="228">
        <v>-0.99</v>
      </c>
      <c r="DD160" s="228">
        <v>70.010000000000005</v>
      </c>
      <c r="DE160" s="228">
        <v>70.17</v>
      </c>
      <c r="DF160" s="228">
        <v>-30.65</v>
      </c>
      <c r="DG160" s="228">
        <v>-0.16</v>
      </c>
      <c r="DH160" s="228">
        <v>39.29</v>
      </c>
      <c r="DI160" s="228">
        <v>40.729999999999997</v>
      </c>
      <c r="DJ160" s="228">
        <v>-1.44</v>
      </c>
      <c r="DK160" s="228">
        <v>-1.44</v>
      </c>
      <c r="DL160" s="228">
        <v>39.53</v>
      </c>
      <c r="DM160" s="228">
        <v>39.049999999999997</v>
      </c>
      <c r="DN160" s="228">
        <v>0.48</v>
      </c>
      <c r="DO160" s="228">
        <v>0.48</v>
      </c>
      <c r="DP160" s="228">
        <v>0.5</v>
      </c>
      <c r="DQ160" s="228">
        <v>0.5</v>
      </c>
      <c r="DR160" s="228">
        <v>0</v>
      </c>
      <c r="DS160" s="229">
        <v>0</v>
      </c>
      <c r="DT160" s="228">
        <v>600</v>
      </c>
      <c r="DU160" s="228">
        <v>500</v>
      </c>
      <c r="DV160" s="228">
        <v>0.4</v>
      </c>
      <c r="DW160" s="228">
        <v>0.28999999999999998</v>
      </c>
      <c r="DX160" s="228">
        <v>0.11</v>
      </c>
      <c r="DY160" s="229">
        <v>0.37930000000000003</v>
      </c>
      <c r="DZ160" s="229">
        <v>2.86E-2</v>
      </c>
      <c r="EA160" s="230">
        <v>245000</v>
      </c>
      <c r="EB160" s="229">
        <v>2.8E-3</v>
      </c>
      <c r="EC160" s="229">
        <v>2.86E-2</v>
      </c>
      <c r="ED160" s="228">
        <v>2.0499999999999998</v>
      </c>
      <c r="EE160" s="229">
        <v>4.0000000000000001E-3</v>
      </c>
      <c r="EF160" s="230">
        <v>771154</v>
      </c>
      <c r="EG160" s="230">
        <v>587381</v>
      </c>
      <c r="EH160" s="229">
        <v>0.31290000000000001</v>
      </c>
      <c r="EI160" s="229">
        <v>0.36</v>
      </c>
      <c r="EJ160" s="231">
        <v>25952.98</v>
      </c>
      <c r="EK160" s="231">
        <v>9584.43</v>
      </c>
      <c r="EL160" s="231">
        <v>10153.42</v>
      </c>
      <c r="EM160" s="231">
        <v>7005</v>
      </c>
      <c r="EN160" s="231">
        <v>45690.83</v>
      </c>
      <c r="EO160" s="231">
        <v>36952.6</v>
      </c>
      <c r="EP160" s="231">
        <v>8738.23</v>
      </c>
      <c r="EQ160" s="229">
        <v>0.23649999999999999</v>
      </c>
      <c r="ER160" s="231">
        <v>22064</v>
      </c>
      <c r="ES160" s="231">
        <v>9840</v>
      </c>
      <c r="ET160" s="231">
        <v>45470</v>
      </c>
      <c r="EU160" s="231">
        <v>23897684</v>
      </c>
      <c r="EV160" s="231">
        <v>77374</v>
      </c>
      <c r="EW160" s="231">
        <v>74026</v>
      </c>
      <c r="EX160" s="231">
        <v>3348</v>
      </c>
      <c r="EY160" s="229">
        <v>4.5199999999999997E-2</v>
      </c>
      <c r="EZ160" s="229">
        <v>0.61480000000000001</v>
      </c>
      <c r="FA160" s="227" t="s">
        <v>556</v>
      </c>
      <c r="FB160" s="161">
        <f t="shared" si="3"/>
        <v>0</v>
      </c>
    </row>
    <row r="161" spans="1:158" ht="17.25" thickBot="1" x14ac:dyDescent="0.3">
      <c r="A161" s="226">
        <v>45936</v>
      </c>
      <c r="B161" s="227" t="s">
        <v>206</v>
      </c>
      <c r="C161" s="227" t="s">
        <v>646</v>
      </c>
      <c r="D161" s="228">
        <v>350</v>
      </c>
      <c r="E161" s="231">
        <v>1600.3</v>
      </c>
      <c r="F161" s="231">
        <v>1568.1</v>
      </c>
      <c r="G161" s="228">
        <v>32.200000000000003</v>
      </c>
      <c r="H161" s="229">
        <v>2.0500000000000001E-2</v>
      </c>
      <c r="I161" s="231">
        <v>1594.4</v>
      </c>
      <c r="J161" s="231">
        <v>1562.5</v>
      </c>
      <c r="K161" s="228">
        <v>31.9</v>
      </c>
      <c r="L161" s="229">
        <v>2.0400000000000001E-2</v>
      </c>
      <c r="M161" s="231">
        <v>1600.3</v>
      </c>
      <c r="N161" s="231">
        <v>1568.1</v>
      </c>
      <c r="O161" s="228">
        <v>32.200000000000003</v>
      </c>
      <c r="P161" s="229">
        <v>2.0500000000000001E-2</v>
      </c>
      <c r="Q161" s="231">
        <v>1612.2</v>
      </c>
      <c r="R161" s="231">
        <v>1577</v>
      </c>
      <c r="S161" s="228">
        <v>35.200000000000003</v>
      </c>
      <c r="T161" s="229">
        <v>2.23E-2</v>
      </c>
      <c r="U161" s="231">
        <v>1586</v>
      </c>
      <c r="V161" s="228">
        <v>0</v>
      </c>
      <c r="W161" s="231">
        <v>1586</v>
      </c>
      <c r="X161" s="229">
        <v>0</v>
      </c>
      <c r="Y161" s="228">
        <v>5.9</v>
      </c>
      <c r="Z161" s="228">
        <v>5.6</v>
      </c>
      <c r="AA161" s="228">
        <v>0.3</v>
      </c>
      <c r="AB161" s="229">
        <v>3.7000000000000002E-3</v>
      </c>
      <c r="AC161" s="228">
        <v>5.9</v>
      </c>
      <c r="AD161" s="228">
        <v>5.6</v>
      </c>
      <c r="AE161" s="228">
        <v>0.3</v>
      </c>
      <c r="AF161" s="229">
        <v>3.7000000000000002E-3</v>
      </c>
      <c r="AG161" s="228">
        <v>17.8</v>
      </c>
      <c r="AH161" s="228">
        <v>14.5</v>
      </c>
      <c r="AI161" s="228">
        <v>3.3</v>
      </c>
      <c r="AJ161" s="229">
        <v>1.12E-2</v>
      </c>
      <c r="AK161" s="228">
        <v>-8.4</v>
      </c>
      <c r="AL161" s="228">
        <v>0</v>
      </c>
      <c r="AM161" s="228">
        <v>-8.4</v>
      </c>
      <c r="AN161" s="229">
        <v>-5.3E-3</v>
      </c>
      <c r="AO161" s="231">
        <v>1586.72</v>
      </c>
      <c r="AP161" s="231">
        <v>1589.77</v>
      </c>
      <c r="AQ161" s="228">
        <v>0</v>
      </c>
      <c r="AR161" s="230">
        <v>452900</v>
      </c>
      <c r="AS161" s="230">
        <v>384650</v>
      </c>
      <c r="AT161" s="230">
        <v>68250</v>
      </c>
      <c r="AU161" s="229">
        <v>0.1774</v>
      </c>
      <c r="AV161" s="230">
        <v>445900</v>
      </c>
      <c r="AW161" s="230">
        <v>375550</v>
      </c>
      <c r="AX161" s="230">
        <v>70350</v>
      </c>
      <c r="AY161" s="229">
        <v>0.18729999999999999</v>
      </c>
      <c r="AZ161" s="230">
        <v>6650</v>
      </c>
      <c r="BA161" s="230">
        <v>9100</v>
      </c>
      <c r="BB161" s="230">
        <v>-2450</v>
      </c>
      <c r="BC161" s="229">
        <v>-0.26919999999999999</v>
      </c>
      <c r="BD161" s="228">
        <v>350</v>
      </c>
      <c r="BE161" s="228">
        <v>0</v>
      </c>
      <c r="BF161" s="228">
        <v>350</v>
      </c>
      <c r="BG161" s="229">
        <v>0</v>
      </c>
      <c r="BH161" s="230">
        <v>915250</v>
      </c>
      <c r="BI161" s="230">
        <v>256550</v>
      </c>
      <c r="BJ161" s="230">
        <v>658700</v>
      </c>
      <c r="BK161" s="229">
        <v>2.5674999999999999</v>
      </c>
      <c r="BL161" s="230">
        <v>222950</v>
      </c>
      <c r="BM161" s="230">
        <v>135100</v>
      </c>
      <c r="BN161" s="230">
        <v>87850</v>
      </c>
      <c r="BO161" s="229">
        <v>0.65029999999999999</v>
      </c>
      <c r="BP161" s="230">
        <v>1591100</v>
      </c>
      <c r="BQ161" s="230">
        <v>776300</v>
      </c>
      <c r="BR161" s="230">
        <v>814800</v>
      </c>
      <c r="BS161" s="229">
        <v>1.0496000000000001</v>
      </c>
      <c r="BT161" s="230">
        <v>391146</v>
      </c>
      <c r="BU161" s="230">
        <v>587903</v>
      </c>
      <c r="BV161" s="230">
        <v>-196757</v>
      </c>
      <c r="BW161" s="229">
        <v>-0.3347</v>
      </c>
      <c r="BX161" s="230">
        <v>4280500</v>
      </c>
      <c r="BY161" s="230">
        <v>4210500</v>
      </c>
      <c r="BZ161" s="230">
        <v>70000</v>
      </c>
      <c r="CA161" s="229">
        <v>1.66E-2</v>
      </c>
      <c r="CB161" s="230">
        <v>4258100</v>
      </c>
      <c r="CC161" s="230">
        <v>4190550</v>
      </c>
      <c r="CD161" s="230">
        <v>67550</v>
      </c>
      <c r="CE161" s="229">
        <v>1.61E-2</v>
      </c>
      <c r="CF161" s="230">
        <v>22050</v>
      </c>
      <c r="CG161" s="230">
        <v>19950</v>
      </c>
      <c r="CH161" s="230">
        <v>2100</v>
      </c>
      <c r="CI161" s="229">
        <v>0.1053</v>
      </c>
      <c r="CJ161" s="228">
        <v>350</v>
      </c>
      <c r="CK161" s="228">
        <v>0</v>
      </c>
      <c r="CL161" s="228">
        <v>350</v>
      </c>
      <c r="CM161" s="229">
        <v>0</v>
      </c>
      <c r="CN161" s="230">
        <v>575750</v>
      </c>
      <c r="CO161" s="230">
        <v>490350</v>
      </c>
      <c r="CP161" s="230">
        <v>85400</v>
      </c>
      <c r="CQ161" s="229">
        <v>0.17419999999999999</v>
      </c>
      <c r="CR161" s="230">
        <v>318150</v>
      </c>
      <c r="CS161" s="230">
        <v>265650</v>
      </c>
      <c r="CT161" s="230">
        <v>52500</v>
      </c>
      <c r="CU161" s="229">
        <v>0.1976</v>
      </c>
      <c r="CV161" s="230">
        <v>5174400</v>
      </c>
      <c r="CW161" s="230">
        <v>4966500</v>
      </c>
      <c r="CX161" s="230">
        <v>207900</v>
      </c>
      <c r="CY161" s="229">
        <v>4.19E-2</v>
      </c>
      <c r="CZ161" s="228">
        <v>29.9</v>
      </c>
      <c r="DA161" s="228">
        <v>28.45</v>
      </c>
      <c r="DB161" s="228">
        <v>1.45</v>
      </c>
      <c r="DC161" s="228">
        <v>1.45</v>
      </c>
      <c r="DD161" s="228">
        <v>45.08</v>
      </c>
      <c r="DE161" s="228">
        <v>45.1</v>
      </c>
      <c r="DF161" s="228">
        <v>-15.18</v>
      </c>
      <c r="DG161" s="228">
        <v>-0.02</v>
      </c>
      <c r="DH161" s="228">
        <v>29.79</v>
      </c>
      <c r="DI161" s="228">
        <v>28.51</v>
      </c>
      <c r="DJ161" s="228">
        <v>1.28</v>
      </c>
      <c r="DK161" s="228">
        <v>1.28</v>
      </c>
      <c r="DL161" s="228">
        <v>30.37</v>
      </c>
      <c r="DM161" s="228">
        <v>28.34</v>
      </c>
      <c r="DN161" s="228">
        <v>2.0299999999999998</v>
      </c>
      <c r="DO161" s="228">
        <v>2.0299999999999998</v>
      </c>
      <c r="DP161" s="228">
        <v>0.55000000000000004</v>
      </c>
      <c r="DQ161" s="228">
        <v>0.54</v>
      </c>
      <c r="DR161" s="228">
        <v>0.01</v>
      </c>
      <c r="DS161" s="229">
        <v>1.8499999999999999E-2</v>
      </c>
      <c r="DT161" s="231">
        <v>1600</v>
      </c>
      <c r="DU161" s="231">
        <v>1500</v>
      </c>
      <c r="DV161" s="228">
        <v>0.24</v>
      </c>
      <c r="DW161" s="228">
        <v>0.53</v>
      </c>
      <c r="DX161" s="228">
        <v>-0.28999999999999998</v>
      </c>
      <c r="DY161" s="229">
        <v>-0.54720000000000002</v>
      </c>
      <c r="DZ161" s="229">
        <v>5.1999999999999998E-3</v>
      </c>
      <c r="EA161" s="230">
        <v>19950</v>
      </c>
      <c r="EB161" s="229">
        <v>7.4000000000000003E-3</v>
      </c>
      <c r="EC161" s="229">
        <v>5.1999999999999998E-3</v>
      </c>
      <c r="ED161" s="228">
        <v>3.05</v>
      </c>
      <c r="EE161" s="229">
        <v>1.9E-3</v>
      </c>
      <c r="EF161" s="230">
        <v>229647</v>
      </c>
      <c r="EG161" s="230">
        <v>383328</v>
      </c>
      <c r="EH161" s="229">
        <v>-0.40089999999999998</v>
      </c>
      <c r="EI161" s="229">
        <v>0.58709999999999996</v>
      </c>
      <c r="EJ161" s="231">
        <v>15172.05</v>
      </c>
      <c r="EK161" s="231">
        <v>3490.81</v>
      </c>
      <c r="EL161" s="231">
        <v>7186.44</v>
      </c>
      <c r="EM161" s="231">
        <v>4055</v>
      </c>
      <c r="EN161" s="231">
        <v>25849.3</v>
      </c>
      <c r="EO161" s="231">
        <v>12320.05</v>
      </c>
      <c r="EP161" s="231">
        <v>13529.25</v>
      </c>
      <c r="EQ161" s="229">
        <v>1.0981000000000001</v>
      </c>
      <c r="ER161" s="231">
        <v>9435</v>
      </c>
      <c r="ES161" s="231">
        <v>4938</v>
      </c>
      <c r="ET161" s="231">
        <v>68503</v>
      </c>
      <c r="EU161" s="231">
        <v>28283155</v>
      </c>
      <c r="EV161" s="231">
        <v>82876</v>
      </c>
      <c r="EW161" s="231">
        <v>78140</v>
      </c>
      <c r="EX161" s="231">
        <v>4736</v>
      </c>
      <c r="EY161" s="229">
        <v>6.0600000000000001E-2</v>
      </c>
      <c r="EZ161" s="229">
        <v>0.18290000000000001</v>
      </c>
      <c r="FA161" s="227" t="s">
        <v>555</v>
      </c>
      <c r="FB161" s="161">
        <f t="shared" si="3"/>
        <v>0</v>
      </c>
    </row>
    <row r="162" spans="1:158" ht="17.25" thickBot="1" x14ac:dyDescent="0.3">
      <c r="A162" s="226">
        <v>45936</v>
      </c>
      <c r="B162" s="227" t="s">
        <v>168</v>
      </c>
      <c r="C162" s="227" t="s">
        <v>274</v>
      </c>
      <c r="D162" s="228">
        <v>500</v>
      </c>
      <c r="E162" s="231">
        <v>1496.2</v>
      </c>
      <c r="F162" s="231">
        <v>1495</v>
      </c>
      <c r="G162" s="228">
        <v>1.2</v>
      </c>
      <c r="H162" s="229">
        <v>8.0000000000000004E-4</v>
      </c>
      <c r="I162" s="231">
        <v>1489</v>
      </c>
      <c r="J162" s="231">
        <v>1489.6</v>
      </c>
      <c r="K162" s="228">
        <v>-0.6</v>
      </c>
      <c r="L162" s="229">
        <v>-4.0000000000000002E-4</v>
      </c>
      <c r="M162" s="231">
        <v>1496.2</v>
      </c>
      <c r="N162" s="231">
        <v>1495</v>
      </c>
      <c r="O162" s="228">
        <v>1.2</v>
      </c>
      <c r="P162" s="229">
        <v>8.0000000000000004E-4</v>
      </c>
      <c r="Q162" s="231">
        <v>1500.7</v>
      </c>
      <c r="R162" s="231">
        <v>1502</v>
      </c>
      <c r="S162" s="228">
        <v>-1.3</v>
      </c>
      <c r="T162" s="229">
        <v>-8.9999999999999998E-4</v>
      </c>
      <c r="U162" s="231">
        <v>1514.9</v>
      </c>
      <c r="V162" s="231">
        <v>1497.6</v>
      </c>
      <c r="W162" s="228">
        <v>17.3</v>
      </c>
      <c r="X162" s="229">
        <v>1.1599999999999999E-2</v>
      </c>
      <c r="Y162" s="228">
        <v>7.2</v>
      </c>
      <c r="Z162" s="228">
        <v>5.4</v>
      </c>
      <c r="AA162" s="228">
        <v>1.8</v>
      </c>
      <c r="AB162" s="229">
        <v>4.7999999999999996E-3</v>
      </c>
      <c r="AC162" s="228">
        <v>7.2</v>
      </c>
      <c r="AD162" s="228">
        <v>5.4</v>
      </c>
      <c r="AE162" s="228">
        <v>1.8</v>
      </c>
      <c r="AF162" s="229">
        <v>4.7999999999999996E-3</v>
      </c>
      <c r="AG162" s="228">
        <v>11.7</v>
      </c>
      <c r="AH162" s="228">
        <v>12.4</v>
      </c>
      <c r="AI162" s="228">
        <v>-0.7</v>
      </c>
      <c r="AJ162" s="229">
        <v>7.9000000000000008E-3</v>
      </c>
      <c r="AK162" s="228">
        <v>25.9</v>
      </c>
      <c r="AL162" s="228">
        <v>8</v>
      </c>
      <c r="AM162" s="228">
        <v>17.899999999999999</v>
      </c>
      <c r="AN162" s="229">
        <v>1.7399999999999999E-2</v>
      </c>
      <c r="AO162" s="231">
        <v>1493.75</v>
      </c>
      <c r="AP162" s="231">
        <v>1501.52</v>
      </c>
      <c r="AQ162" s="228">
        <v>0</v>
      </c>
      <c r="AR162" s="230">
        <v>439000</v>
      </c>
      <c r="AS162" s="230">
        <v>885000</v>
      </c>
      <c r="AT162" s="230">
        <v>-446000</v>
      </c>
      <c r="AU162" s="229">
        <v>-0.504</v>
      </c>
      <c r="AV162" s="230">
        <v>428000</v>
      </c>
      <c r="AW162" s="230">
        <v>863000</v>
      </c>
      <c r="AX162" s="230">
        <v>-435000</v>
      </c>
      <c r="AY162" s="229">
        <v>-0.50409999999999999</v>
      </c>
      <c r="AZ162" s="230">
        <v>10500</v>
      </c>
      <c r="BA162" s="230">
        <v>21500</v>
      </c>
      <c r="BB162" s="230">
        <v>-11000</v>
      </c>
      <c r="BC162" s="229">
        <v>-0.51160000000000005</v>
      </c>
      <c r="BD162" s="228">
        <v>500</v>
      </c>
      <c r="BE162" s="228">
        <v>500</v>
      </c>
      <c r="BF162" s="228">
        <v>0</v>
      </c>
      <c r="BG162" s="229">
        <v>0</v>
      </c>
      <c r="BH162" s="230">
        <v>464000</v>
      </c>
      <c r="BI162" s="230">
        <v>1116000</v>
      </c>
      <c r="BJ162" s="230">
        <v>-652000</v>
      </c>
      <c r="BK162" s="229">
        <v>-0.58420000000000005</v>
      </c>
      <c r="BL162" s="230">
        <v>245500</v>
      </c>
      <c r="BM162" s="230">
        <v>395500</v>
      </c>
      <c r="BN162" s="230">
        <v>-150000</v>
      </c>
      <c r="BO162" s="229">
        <v>-0.37930000000000003</v>
      </c>
      <c r="BP162" s="230">
        <v>1148500</v>
      </c>
      <c r="BQ162" s="230">
        <v>2396500</v>
      </c>
      <c r="BR162" s="230">
        <v>-1248000</v>
      </c>
      <c r="BS162" s="229">
        <v>-0.52080000000000004</v>
      </c>
      <c r="BT162" s="230">
        <v>433211</v>
      </c>
      <c r="BU162" s="230">
        <v>788448</v>
      </c>
      <c r="BV162" s="230">
        <v>-355237</v>
      </c>
      <c r="BW162" s="229">
        <v>-0.4506</v>
      </c>
      <c r="BX162" s="230">
        <v>8787500</v>
      </c>
      <c r="BY162" s="230">
        <v>8818000</v>
      </c>
      <c r="BZ162" s="230">
        <v>-30500</v>
      </c>
      <c r="CA162" s="229">
        <v>-3.5000000000000001E-3</v>
      </c>
      <c r="CB162" s="230">
        <v>8731500</v>
      </c>
      <c r="CC162" s="230">
        <v>8764500</v>
      </c>
      <c r="CD162" s="230">
        <v>-33000</v>
      </c>
      <c r="CE162" s="229">
        <v>-3.8E-3</v>
      </c>
      <c r="CF162" s="230">
        <v>55000</v>
      </c>
      <c r="CG162" s="230">
        <v>53000</v>
      </c>
      <c r="CH162" s="230">
        <v>2000</v>
      </c>
      <c r="CI162" s="229">
        <v>3.7699999999999997E-2</v>
      </c>
      <c r="CJ162" s="230">
        <v>1000</v>
      </c>
      <c r="CK162" s="228">
        <v>500</v>
      </c>
      <c r="CL162" s="228">
        <v>500</v>
      </c>
      <c r="CM162" s="229">
        <v>1</v>
      </c>
      <c r="CN162" s="230">
        <v>1003000</v>
      </c>
      <c r="CO162" s="230">
        <v>980000</v>
      </c>
      <c r="CP162" s="230">
        <v>23000</v>
      </c>
      <c r="CQ162" s="229">
        <v>2.35E-2</v>
      </c>
      <c r="CR162" s="230">
        <v>738000</v>
      </c>
      <c r="CS162" s="230">
        <v>721000</v>
      </c>
      <c r="CT162" s="230">
        <v>17000</v>
      </c>
      <c r="CU162" s="229">
        <v>2.3599999999999999E-2</v>
      </c>
      <c r="CV162" s="230">
        <v>10528500</v>
      </c>
      <c r="CW162" s="230">
        <v>10519000</v>
      </c>
      <c r="CX162" s="230">
        <v>9500</v>
      </c>
      <c r="CY162" s="229">
        <v>8.9999999999999998E-4</v>
      </c>
      <c r="CZ162" s="228">
        <v>18.73</v>
      </c>
      <c r="DA162" s="228">
        <v>18.2</v>
      </c>
      <c r="DB162" s="228">
        <v>0.53</v>
      </c>
      <c r="DC162" s="228">
        <v>0.53</v>
      </c>
      <c r="DD162" s="228">
        <v>22.17</v>
      </c>
      <c r="DE162" s="228">
        <v>22.23</v>
      </c>
      <c r="DF162" s="228">
        <v>-3.44</v>
      </c>
      <c r="DG162" s="228">
        <v>-0.06</v>
      </c>
      <c r="DH162" s="228">
        <v>18.600000000000001</v>
      </c>
      <c r="DI162" s="228">
        <v>18.010000000000002</v>
      </c>
      <c r="DJ162" s="228">
        <v>0.59</v>
      </c>
      <c r="DK162" s="228">
        <v>0.59</v>
      </c>
      <c r="DL162" s="228">
        <v>18.97</v>
      </c>
      <c r="DM162" s="228">
        <v>18.72</v>
      </c>
      <c r="DN162" s="228">
        <v>0.25</v>
      </c>
      <c r="DO162" s="228">
        <v>0.25</v>
      </c>
      <c r="DP162" s="228">
        <v>0.74</v>
      </c>
      <c r="DQ162" s="228">
        <v>0.74</v>
      </c>
      <c r="DR162" s="228">
        <v>0</v>
      </c>
      <c r="DS162" s="229">
        <v>0</v>
      </c>
      <c r="DT162" s="231">
        <v>1500</v>
      </c>
      <c r="DU162" s="231">
        <v>1500</v>
      </c>
      <c r="DV162" s="228">
        <v>0.53</v>
      </c>
      <c r="DW162" s="228">
        <v>0.35</v>
      </c>
      <c r="DX162" s="228">
        <v>0.18</v>
      </c>
      <c r="DY162" s="229">
        <v>0.51429999999999998</v>
      </c>
      <c r="DZ162" s="229">
        <v>6.4000000000000003E-3</v>
      </c>
      <c r="EA162" s="230">
        <v>53500</v>
      </c>
      <c r="EB162" s="229">
        <v>3.0000000000000001E-3</v>
      </c>
      <c r="EC162" s="229">
        <v>6.4000000000000003E-3</v>
      </c>
      <c r="ED162" s="228">
        <v>7.77</v>
      </c>
      <c r="EE162" s="229">
        <v>5.1999999999999998E-3</v>
      </c>
      <c r="EF162" s="230">
        <v>330719</v>
      </c>
      <c r="EG162" s="230">
        <v>490815</v>
      </c>
      <c r="EH162" s="229">
        <v>-0.32619999999999999</v>
      </c>
      <c r="EI162" s="229">
        <v>0.76339999999999997</v>
      </c>
      <c r="EJ162" s="231">
        <v>7130.91</v>
      </c>
      <c r="EK162" s="231">
        <v>3645.55</v>
      </c>
      <c r="EL162" s="231">
        <v>6558.46</v>
      </c>
      <c r="EM162" s="231">
        <v>5409</v>
      </c>
      <c r="EN162" s="231">
        <v>17334.919999999998</v>
      </c>
      <c r="EO162" s="231">
        <v>36058.54</v>
      </c>
      <c r="EP162" s="231">
        <v>-18723.62</v>
      </c>
      <c r="EQ162" s="229">
        <v>-0.51929999999999998</v>
      </c>
      <c r="ER162" s="231">
        <v>15346</v>
      </c>
      <c r="ES162" s="231">
        <v>10849</v>
      </c>
      <c r="ET162" s="231">
        <v>131481</v>
      </c>
      <c r="EU162" s="231">
        <v>31170515</v>
      </c>
      <c r="EV162" s="231">
        <v>157676</v>
      </c>
      <c r="EW162" s="231">
        <v>157424</v>
      </c>
      <c r="EX162" s="228">
        <v>252</v>
      </c>
      <c r="EY162" s="229">
        <v>1.6000000000000001E-3</v>
      </c>
      <c r="EZ162" s="229">
        <v>0.33779999999999999</v>
      </c>
      <c r="FA162" s="227" t="s">
        <v>556</v>
      </c>
      <c r="FB162" s="161">
        <f t="shared" ref="FB162:FB194" si="4">BX229-CB229</f>
        <v>0</v>
      </c>
    </row>
    <row r="163" spans="1:158" ht="17.25" thickBot="1" x14ac:dyDescent="0.3">
      <c r="A163" s="226">
        <v>45936</v>
      </c>
      <c r="B163" s="227" t="s">
        <v>498</v>
      </c>
      <c r="C163" s="227" t="s">
        <v>483</v>
      </c>
      <c r="D163" s="228">
        <v>175</v>
      </c>
      <c r="E163" s="231">
        <v>3614.2</v>
      </c>
      <c r="F163" s="231">
        <v>3603</v>
      </c>
      <c r="G163" s="228">
        <v>11.2</v>
      </c>
      <c r="H163" s="229">
        <v>3.0999999999999999E-3</v>
      </c>
      <c r="I163" s="231">
        <v>3630.4</v>
      </c>
      <c r="J163" s="231">
        <v>3617</v>
      </c>
      <c r="K163" s="228">
        <v>13.4</v>
      </c>
      <c r="L163" s="229">
        <v>3.7000000000000002E-3</v>
      </c>
      <c r="M163" s="231">
        <v>3614.2</v>
      </c>
      <c r="N163" s="231">
        <v>3603</v>
      </c>
      <c r="O163" s="228">
        <v>11.2</v>
      </c>
      <c r="P163" s="229">
        <v>3.0999999999999999E-3</v>
      </c>
      <c r="Q163" s="231">
        <v>3617.5</v>
      </c>
      <c r="R163" s="231">
        <v>3609</v>
      </c>
      <c r="S163" s="228">
        <v>8.5</v>
      </c>
      <c r="T163" s="229">
        <v>2.3999999999999998E-3</v>
      </c>
      <c r="U163" s="231">
        <v>3622.2</v>
      </c>
      <c r="V163" s="231">
        <v>3631</v>
      </c>
      <c r="W163" s="228">
        <v>-8.8000000000000007</v>
      </c>
      <c r="X163" s="229">
        <v>-2.3999999999999998E-3</v>
      </c>
      <c r="Y163" s="228">
        <v>-16.2</v>
      </c>
      <c r="Z163" s="228">
        <v>-14</v>
      </c>
      <c r="AA163" s="228">
        <v>-2.2000000000000002</v>
      </c>
      <c r="AB163" s="229">
        <v>-4.4999999999999997E-3</v>
      </c>
      <c r="AC163" s="228">
        <v>-16.2</v>
      </c>
      <c r="AD163" s="228">
        <v>-14</v>
      </c>
      <c r="AE163" s="228">
        <v>-2.2000000000000002</v>
      </c>
      <c r="AF163" s="229">
        <v>-4.4999999999999997E-3</v>
      </c>
      <c r="AG163" s="228">
        <v>-12.9</v>
      </c>
      <c r="AH163" s="228">
        <v>-8</v>
      </c>
      <c r="AI163" s="228">
        <v>-4.9000000000000004</v>
      </c>
      <c r="AJ163" s="229">
        <v>-3.5999999999999999E-3</v>
      </c>
      <c r="AK163" s="228">
        <v>-8.1999999999999993</v>
      </c>
      <c r="AL163" s="228">
        <v>14</v>
      </c>
      <c r="AM163" s="228">
        <v>-22.2</v>
      </c>
      <c r="AN163" s="229">
        <v>-2.3E-3</v>
      </c>
      <c r="AO163" s="231">
        <v>3585.21</v>
      </c>
      <c r="AP163" s="231">
        <v>3578.49</v>
      </c>
      <c r="AQ163" s="228">
        <v>0</v>
      </c>
      <c r="AR163" s="230">
        <v>395675</v>
      </c>
      <c r="AS163" s="230">
        <v>240275</v>
      </c>
      <c r="AT163" s="230">
        <v>155400</v>
      </c>
      <c r="AU163" s="229">
        <v>0.64680000000000004</v>
      </c>
      <c r="AV163" s="230">
        <v>365750</v>
      </c>
      <c r="AW163" s="230">
        <v>219275</v>
      </c>
      <c r="AX163" s="230">
        <v>146475</v>
      </c>
      <c r="AY163" s="229">
        <v>0.66800000000000004</v>
      </c>
      <c r="AZ163" s="230">
        <v>26075</v>
      </c>
      <c r="BA163" s="230">
        <v>18900</v>
      </c>
      <c r="BB163" s="230">
        <v>7175</v>
      </c>
      <c r="BC163" s="229">
        <v>0.37959999999999999</v>
      </c>
      <c r="BD163" s="230">
        <v>3850</v>
      </c>
      <c r="BE163" s="230">
        <v>2100</v>
      </c>
      <c r="BF163" s="230">
        <v>1750</v>
      </c>
      <c r="BG163" s="229">
        <v>0.83330000000000004</v>
      </c>
      <c r="BH163" s="230">
        <v>487550</v>
      </c>
      <c r="BI163" s="230">
        <v>282450</v>
      </c>
      <c r="BJ163" s="230">
        <v>205100</v>
      </c>
      <c r="BK163" s="229">
        <v>0.72609999999999997</v>
      </c>
      <c r="BL163" s="230">
        <v>244300</v>
      </c>
      <c r="BM163" s="230">
        <v>162050</v>
      </c>
      <c r="BN163" s="230">
        <v>82250</v>
      </c>
      <c r="BO163" s="229">
        <v>0.50760000000000005</v>
      </c>
      <c r="BP163" s="230">
        <v>1127525</v>
      </c>
      <c r="BQ163" s="230">
        <v>684775</v>
      </c>
      <c r="BR163" s="230">
        <v>442750</v>
      </c>
      <c r="BS163" s="229">
        <v>0.64659999999999995</v>
      </c>
      <c r="BT163" s="230">
        <v>225004</v>
      </c>
      <c r="BU163" s="230">
        <v>152635</v>
      </c>
      <c r="BV163" s="230">
        <v>72369</v>
      </c>
      <c r="BW163" s="229">
        <v>0.47410000000000002</v>
      </c>
      <c r="BX163" s="230">
        <v>1746850</v>
      </c>
      <c r="BY163" s="230">
        <v>1649725</v>
      </c>
      <c r="BZ163" s="230">
        <v>97125</v>
      </c>
      <c r="CA163" s="229">
        <v>5.8900000000000001E-2</v>
      </c>
      <c r="CB163" s="230">
        <v>1712725</v>
      </c>
      <c r="CC163" s="230">
        <v>1623475</v>
      </c>
      <c r="CD163" s="230">
        <v>89250</v>
      </c>
      <c r="CE163" s="229">
        <v>5.5E-2</v>
      </c>
      <c r="CF163" s="230">
        <v>30625</v>
      </c>
      <c r="CG163" s="230">
        <v>24325</v>
      </c>
      <c r="CH163" s="230">
        <v>6300</v>
      </c>
      <c r="CI163" s="229">
        <v>0.25900000000000001</v>
      </c>
      <c r="CJ163" s="230">
        <v>3500</v>
      </c>
      <c r="CK163" s="230">
        <v>1925</v>
      </c>
      <c r="CL163" s="230">
        <v>1575</v>
      </c>
      <c r="CM163" s="229">
        <v>0.81820000000000004</v>
      </c>
      <c r="CN163" s="230">
        <v>273875</v>
      </c>
      <c r="CO163" s="230">
        <v>267925</v>
      </c>
      <c r="CP163" s="230">
        <v>5950</v>
      </c>
      <c r="CQ163" s="229">
        <v>2.2200000000000001E-2</v>
      </c>
      <c r="CR163" s="230">
        <v>247975</v>
      </c>
      <c r="CS163" s="230">
        <v>231875</v>
      </c>
      <c r="CT163" s="230">
        <v>16100</v>
      </c>
      <c r="CU163" s="229">
        <v>6.9400000000000003E-2</v>
      </c>
      <c r="CV163" s="230">
        <v>2268700</v>
      </c>
      <c r="CW163" s="230">
        <v>2149525</v>
      </c>
      <c r="CX163" s="230">
        <v>119175</v>
      </c>
      <c r="CY163" s="229">
        <v>5.5399999999999998E-2</v>
      </c>
      <c r="CZ163" s="228">
        <v>23.56</v>
      </c>
      <c r="DA163" s="228">
        <v>23.01</v>
      </c>
      <c r="DB163" s="228">
        <v>0.55000000000000004</v>
      </c>
      <c r="DC163" s="228">
        <v>0.55000000000000004</v>
      </c>
      <c r="DD163" s="228">
        <v>30.43</v>
      </c>
      <c r="DE163" s="228">
        <v>30.51</v>
      </c>
      <c r="DF163" s="228">
        <v>-6.87</v>
      </c>
      <c r="DG163" s="228">
        <v>-0.08</v>
      </c>
      <c r="DH163" s="228">
        <v>23.43</v>
      </c>
      <c r="DI163" s="228">
        <v>23.1</v>
      </c>
      <c r="DJ163" s="228">
        <v>0.33</v>
      </c>
      <c r="DK163" s="228">
        <v>0.33</v>
      </c>
      <c r="DL163" s="228">
        <v>23.83</v>
      </c>
      <c r="DM163" s="228">
        <v>22.86</v>
      </c>
      <c r="DN163" s="228">
        <v>0.97</v>
      </c>
      <c r="DO163" s="228">
        <v>0.97</v>
      </c>
      <c r="DP163" s="228">
        <v>0.91</v>
      </c>
      <c r="DQ163" s="228">
        <v>0.87</v>
      </c>
      <c r="DR163" s="228">
        <v>0.04</v>
      </c>
      <c r="DS163" s="229">
        <v>4.5999999999999999E-2</v>
      </c>
      <c r="DT163" s="231">
        <v>3800</v>
      </c>
      <c r="DU163" s="231">
        <v>3600</v>
      </c>
      <c r="DV163" s="228">
        <v>0.5</v>
      </c>
      <c r="DW163" s="228">
        <v>0.56999999999999995</v>
      </c>
      <c r="DX163" s="228">
        <v>-7.0000000000000007E-2</v>
      </c>
      <c r="DY163" s="229">
        <v>-0.12280000000000001</v>
      </c>
      <c r="DZ163" s="229">
        <v>1.95E-2</v>
      </c>
      <c r="EA163" s="230">
        <v>26250</v>
      </c>
      <c r="EB163" s="229">
        <v>8.9999999999999998E-4</v>
      </c>
      <c r="EC163" s="229">
        <v>1.95E-2</v>
      </c>
      <c r="ED163" s="228">
        <v>-6.72</v>
      </c>
      <c r="EE163" s="229">
        <v>-1.9E-3</v>
      </c>
      <c r="EF163" s="230">
        <v>97659</v>
      </c>
      <c r="EG163" s="230">
        <v>91319</v>
      </c>
      <c r="EH163" s="229">
        <v>6.9400000000000003E-2</v>
      </c>
      <c r="EI163" s="229">
        <v>0.434</v>
      </c>
      <c r="EJ163" s="231">
        <v>18210.37</v>
      </c>
      <c r="EK163" s="231">
        <v>8722.52</v>
      </c>
      <c r="EL163" s="231">
        <v>14183.85</v>
      </c>
      <c r="EM163" s="231">
        <v>3069</v>
      </c>
      <c r="EN163" s="231">
        <v>41116.74</v>
      </c>
      <c r="EO163" s="231">
        <v>24977.88</v>
      </c>
      <c r="EP163" s="231">
        <v>16138.86</v>
      </c>
      <c r="EQ163" s="229">
        <v>0.64610000000000001</v>
      </c>
      <c r="ER163" s="231">
        <v>10226</v>
      </c>
      <c r="ES163" s="231">
        <v>8770</v>
      </c>
      <c r="ET163" s="231">
        <v>63136</v>
      </c>
      <c r="EU163" s="231">
        <v>8178275</v>
      </c>
      <c r="EV163" s="231">
        <v>82132</v>
      </c>
      <c r="EW163" s="231">
        <v>77662</v>
      </c>
      <c r="EX163" s="231">
        <v>4470</v>
      </c>
      <c r="EY163" s="229">
        <v>5.7599999999999998E-2</v>
      </c>
      <c r="EZ163" s="229">
        <v>0.27739999999999998</v>
      </c>
      <c r="FA163" s="227" t="s">
        <v>555</v>
      </c>
      <c r="FB163" s="161">
        <f t="shared" si="4"/>
        <v>0</v>
      </c>
    </row>
    <row r="164" spans="1:158" ht="17.25" thickBot="1" x14ac:dyDescent="0.3">
      <c r="A164" s="226">
        <v>45936</v>
      </c>
      <c r="B164" s="227" t="s">
        <v>172</v>
      </c>
      <c r="C164" s="227" t="s">
        <v>275</v>
      </c>
      <c r="D164" s="228">
        <v>8000</v>
      </c>
      <c r="E164" s="228">
        <v>115.23</v>
      </c>
      <c r="F164" s="228">
        <v>115.15</v>
      </c>
      <c r="G164" s="228">
        <v>0.08</v>
      </c>
      <c r="H164" s="229">
        <v>6.9999999999999999E-4</v>
      </c>
      <c r="I164" s="228">
        <v>114.54</v>
      </c>
      <c r="J164" s="228">
        <v>114.37</v>
      </c>
      <c r="K164" s="228">
        <v>0.17</v>
      </c>
      <c r="L164" s="229">
        <v>1.5E-3</v>
      </c>
      <c r="M164" s="228">
        <v>115.23</v>
      </c>
      <c r="N164" s="228">
        <v>115.15</v>
      </c>
      <c r="O164" s="228">
        <v>0.08</v>
      </c>
      <c r="P164" s="229">
        <v>6.9999999999999999E-4</v>
      </c>
      <c r="Q164" s="228">
        <v>115.86</v>
      </c>
      <c r="R164" s="228">
        <v>115.73</v>
      </c>
      <c r="S164" s="228">
        <v>0.13</v>
      </c>
      <c r="T164" s="229">
        <v>1.1000000000000001E-3</v>
      </c>
      <c r="U164" s="228">
        <v>116.51</v>
      </c>
      <c r="V164" s="228">
        <v>116.48</v>
      </c>
      <c r="W164" s="228">
        <v>0.03</v>
      </c>
      <c r="X164" s="229">
        <v>2.9999999999999997E-4</v>
      </c>
      <c r="Y164" s="228">
        <v>0.69</v>
      </c>
      <c r="Z164" s="228">
        <v>0.78</v>
      </c>
      <c r="AA164" s="228">
        <v>-0.09</v>
      </c>
      <c r="AB164" s="229">
        <v>6.0000000000000001E-3</v>
      </c>
      <c r="AC164" s="228">
        <v>0.69</v>
      </c>
      <c r="AD164" s="228">
        <v>0.78</v>
      </c>
      <c r="AE164" s="228">
        <v>-0.09</v>
      </c>
      <c r="AF164" s="229">
        <v>6.0000000000000001E-3</v>
      </c>
      <c r="AG164" s="228">
        <v>1.32</v>
      </c>
      <c r="AH164" s="228">
        <v>1.36</v>
      </c>
      <c r="AI164" s="228">
        <v>-0.04</v>
      </c>
      <c r="AJ164" s="229">
        <v>1.15E-2</v>
      </c>
      <c r="AK164" s="228">
        <v>1.97</v>
      </c>
      <c r="AL164" s="228">
        <v>2.11</v>
      </c>
      <c r="AM164" s="228">
        <v>-0.14000000000000001</v>
      </c>
      <c r="AN164" s="229">
        <v>1.72E-2</v>
      </c>
      <c r="AO164" s="228">
        <v>115.18</v>
      </c>
      <c r="AP164" s="228">
        <v>115.79</v>
      </c>
      <c r="AQ164" s="228">
        <v>0</v>
      </c>
      <c r="AR164" s="230">
        <v>47512000</v>
      </c>
      <c r="AS164" s="230">
        <v>58760000</v>
      </c>
      <c r="AT164" s="230">
        <v>-11248000</v>
      </c>
      <c r="AU164" s="229">
        <v>-0.19139999999999999</v>
      </c>
      <c r="AV164" s="230">
        <v>43040000</v>
      </c>
      <c r="AW164" s="230">
        <v>54200000</v>
      </c>
      <c r="AX164" s="230">
        <v>-11160000</v>
      </c>
      <c r="AY164" s="229">
        <v>-0.2059</v>
      </c>
      <c r="AZ164" s="230">
        <v>3952000</v>
      </c>
      <c r="BA164" s="230">
        <v>4024000</v>
      </c>
      <c r="BB164" s="230">
        <v>-72000</v>
      </c>
      <c r="BC164" s="229">
        <v>-1.7899999999999999E-2</v>
      </c>
      <c r="BD164" s="230">
        <v>520000</v>
      </c>
      <c r="BE164" s="230">
        <v>536000</v>
      </c>
      <c r="BF164" s="230">
        <v>-16000</v>
      </c>
      <c r="BG164" s="229">
        <v>-2.9899999999999999E-2</v>
      </c>
      <c r="BH164" s="230">
        <v>156240000</v>
      </c>
      <c r="BI164" s="230">
        <v>195072000</v>
      </c>
      <c r="BJ164" s="230">
        <v>-38832000</v>
      </c>
      <c r="BK164" s="229">
        <v>-0.1991</v>
      </c>
      <c r="BL164" s="230">
        <v>65264000</v>
      </c>
      <c r="BM164" s="230">
        <v>87680000</v>
      </c>
      <c r="BN164" s="230">
        <v>-22416000</v>
      </c>
      <c r="BO164" s="229">
        <v>-0.25569999999999998</v>
      </c>
      <c r="BP164" s="230">
        <v>269016000</v>
      </c>
      <c r="BQ164" s="230">
        <v>341512000</v>
      </c>
      <c r="BR164" s="230">
        <v>-72496000</v>
      </c>
      <c r="BS164" s="229">
        <v>-0.21229999999999999</v>
      </c>
      <c r="BT164" s="230">
        <v>19369617</v>
      </c>
      <c r="BU164" s="230">
        <v>25679752</v>
      </c>
      <c r="BV164" s="230">
        <v>-6310135</v>
      </c>
      <c r="BW164" s="229">
        <v>-0.2457</v>
      </c>
      <c r="BX164" s="230">
        <v>257896000</v>
      </c>
      <c r="BY164" s="230">
        <v>253728000</v>
      </c>
      <c r="BZ164" s="230">
        <v>4168000</v>
      </c>
      <c r="CA164" s="229">
        <v>1.6400000000000001E-2</v>
      </c>
      <c r="CB164" s="230">
        <v>248144000</v>
      </c>
      <c r="CC164" s="230">
        <v>245104000</v>
      </c>
      <c r="CD164" s="230">
        <v>3040000</v>
      </c>
      <c r="CE164" s="229">
        <v>1.24E-2</v>
      </c>
      <c r="CF164" s="230">
        <v>8928000</v>
      </c>
      <c r="CG164" s="230">
        <v>8080000</v>
      </c>
      <c r="CH164" s="230">
        <v>848000</v>
      </c>
      <c r="CI164" s="229">
        <v>0.105</v>
      </c>
      <c r="CJ164" s="230">
        <v>824000</v>
      </c>
      <c r="CK164" s="230">
        <v>544000</v>
      </c>
      <c r="CL164" s="230">
        <v>280000</v>
      </c>
      <c r="CM164" s="229">
        <v>0.51470000000000005</v>
      </c>
      <c r="CN164" s="230">
        <v>107840000</v>
      </c>
      <c r="CO164" s="230">
        <v>98800000</v>
      </c>
      <c r="CP164" s="230">
        <v>9040000</v>
      </c>
      <c r="CQ164" s="229">
        <v>9.1499999999999998E-2</v>
      </c>
      <c r="CR164" s="230">
        <v>76136000</v>
      </c>
      <c r="CS164" s="230">
        <v>73504000</v>
      </c>
      <c r="CT164" s="230">
        <v>2632000</v>
      </c>
      <c r="CU164" s="229">
        <v>3.5799999999999998E-2</v>
      </c>
      <c r="CV164" s="230">
        <v>441872000</v>
      </c>
      <c r="CW164" s="230">
        <v>426032000</v>
      </c>
      <c r="CX164" s="230">
        <v>15840000</v>
      </c>
      <c r="CY164" s="229">
        <v>3.7199999999999997E-2</v>
      </c>
      <c r="CZ164" s="228">
        <v>26.57</v>
      </c>
      <c r="DA164" s="228">
        <v>26.01</v>
      </c>
      <c r="DB164" s="228">
        <v>0.56000000000000005</v>
      </c>
      <c r="DC164" s="228">
        <v>0.56000000000000005</v>
      </c>
      <c r="DD164" s="228">
        <v>37.49</v>
      </c>
      <c r="DE164" s="228">
        <v>37.58</v>
      </c>
      <c r="DF164" s="228">
        <v>-10.92</v>
      </c>
      <c r="DG164" s="228">
        <v>-0.09</v>
      </c>
      <c r="DH164" s="228">
        <v>26.39</v>
      </c>
      <c r="DI164" s="228">
        <v>25.71</v>
      </c>
      <c r="DJ164" s="228">
        <v>0.68</v>
      </c>
      <c r="DK164" s="228">
        <v>0.68</v>
      </c>
      <c r="DL164" s="228">
        <v>26.99</v>
      </c>
      <c r="DM164" s="228">
        <v>26.69</v>
      </c>
      <c r="DN164" s="228">
        <v>0.3</v>
      </c>
      <c r="DO164" s="228">
        <v>0.3</v>
      </c>
      <c r="DP164" s="228">
        <v>0.71</v>
      </c>
      <c r="DQ164" s="228">
        <v>0.74</v>
      </c>
      <c r="DR164" s="228">
        <v>-0.03</v>
      </c>
      <c r="DS164" s="229">
        <v>-4.0500000000000001E-2</v>
      </c>
      <c r="DT164" s="228">
        <v>115</v>
      </c>
      <c r="DU164" s="228">
        <v>115</v>
      </c>
      <c r="DV164" s="228">
        <v>0.42</v>
      </c>
      <c r="DW164" s="228">
        <v>0.45</v>
      </c>
      <c r="DX164" s="228">
        <v>-0.03</v>
      </c>
      <c r="DY164" s="229">
        <v>-6.6699999999999995E-2</v>
      </c>
      <c r="DZ164" s="229">
        <v>3.78E-2</v>
      </c>
      <c r="EA164" s="230">
        <v>8624000</v>
      </c>
      <c r="EB164" s="229">
        <v>5.4999999999999997E-3</v>
      </c>
      <c r="EC164" s="229">
        <v>3.78E-2</v>
      </c>
      <c r="ED164" s="228">
        <v>0.61</v>
      </c>
      <c r="EE164" s="229">
        <v>5.3E-3</v>
      </c>
      <c r="EF164" s="230">
        <v>7298425</v>
      </c>
      <c r="EG164" s="230">
        <v>13429840</v>
      </c>
      <c r="EH164" s="229">
        <v>-0.45660000000000001</v>
      </c>
      <c r="EI164" s="229">
        <v>0.37680000000000002</v>
      </c>
      <c r="EJ164" s="231">
        <v>187281.84</v>
      </c>
      <c r="EK164" s="231">
        <v>74709.789999999994</v>
      </c>
      <c r="EL164" s="231">
        <v>54753.59</v>
      </c>
      <c r="EM164" s="231">
        <v>13845</v>
      </c>
      <c r="EN164" s="231">
        <v>316745.21999999997</v>
      </c>
      <c r="EO164" s="231">
        <v>398478.01</v>
      </c>
      <c r="EP164" s="231">
        <v>-81732.789999999994</v>
      </c>
      <c r="EQ164" s="229">
        <v>-0.2051</v>
      </c>
      <c r="ER164" s="231">
        <v>126195</v>
      </c>
      <c r="ES164" s="231">
        <v>83728</v>
      </c>
      <c r="ET164" s="231">
        <v>297240</v>
      </c>
      <c r="EU164" s="231">
        <v>447910372</v>
      </c>
      <c r="EV164" s="231">
        <v>507163</v>
      </c>
      <c r="EW164" s="231">
        <v>488027</v>
      </c>
      <c r="EX164" s="231">
        <v>19136</v>
      </c>
      <c r="EY164" s="229">
        <v>3.9199999999999999E-2</v>
      </c>
      <c r="EZ164" s="229">
        <v>0.98650000000000004</v>
      </c>
      <c r="FA164" s="227" t="s">
        <v>555</v>
      </c>
      <c r="FB164" s="161">
        <f t="shared" si="4"/>
        <v>0</v>
      </c>
    </row>
    <row r="165" spans="1:158" ht="17.25" thickBot="1" x14ac:dyDescent="0.3">
      <c r="A165" s="226">
        <v>45936</v>
      </c>
      <c r="B165" s="227" t="s">
        <v>175</v>
      </c>
      <c r="C165" s="227" t="s">
        <v>672</v>
      </c>
      <c r="D165" s="228">
        <v>650</v>
      </c>
      <c r="E165" s="228">
        <v>900.7</v>
      </c>
      <c r="F165" s="228">
        <v>893.9</v>
      </c>
      <c r="G165" s="228">
        <v>6.8</v>
      </c>
      <c r="H165" s="229">
        <v>7.6E-3</v>
      </c>
      <c r="I165" s="228">
        <v>895.05</v>
      </c>
      <c r="J165" s="228">
        <v>888.05</v>
      </c>
      <c r="K165" s="228">
        <v>7</v>
      </c>
      <c r="L165" s="229">
        <v>7.9000000000000008E-3</v>
      </c>
      <c r="M165" s="228">
        <v>900.7</v>
      </c>
      <c r="N165" s="228">
        <v>893.9</v>
      </c>
      <c r="O165" s="228">
        <v>6.8</v>
      </c>
      <c r="P165" s="229">
        <v>7.6E-3</v>
      </c>
      <c r="Q165" s="228">
        <v>905.25</v>
      </c>
      <c r="R165" s="228">
        <v>898.8</v>
      </c>
      <c r="S165" s="228">
        <v>6.45</v>
      </c>
      <c r="T165" s="229">
        <v>7.1999999999999998E-3</v>
      </c>
      <c r="U165" s="228">
        <v>911.15</v>
      </c>
      <c r="V165" s="228">
        <v>903.6</v>
      </c>
      <c r="W165" s="228">
        <v>7.55</v>
      </c>
      <c r="X165" s="229">
        <v>8.3999999999999995E-3</v>
      </c>
      <c r="Y165" s="228">
        <v>5.65</v>
      </c>
      <c r="Z165" s="228">
        <v>5.85</v>
      </c>
      <c r="AA165" s="228">
        <v>-0.2</v>
      </c>
      <c r="AB165" s="229">
        <v>6.3E-3</v>
      </c>
      <c r="AC165" s="228">
        <v>5.65</v>
      </c>
      <c r="AD165" s="228">
        <v>5.85</v>
      </c>
      <c r="AE165" s="228">
        <v>-0.2</v>
      </c>
      <c r="AF165" s="229">
        <v>6.3E-3</v>
      </c>
      <c r="AG165" s="228">
        <v>10.199999999999999</v>
      </c>
      <c r="AH165" s="228">
        <v>10.75</v>
      </c>
      <c r="AI165" s="228">
        <v>-0.55000000000000004</v>
      </c>
      <c r="AJ165" s="229">
        <v>1.14E-2</v>
      </c>
      <c r="AK165" s="228">
        <v>16.100000000000001</v>
      </c>
      <c r="AL165" s="228">
        <v>15.55</v>
      </c>
      <c r="AM165" s="228">
        <v>0.55000000000000004</v>
      </c>
      <c r="AN165" s="229">
        <v>1.7999999999999999E-2</v>
      </c>
      <c r="AO165" s="228">
        <v>901.72</v>
      </c>
      <c r="AP165" s="228">
        <v>906.62</v>
      </c>
      <c r="AQ165" s="228">
        <v>0</v>
      </c>
      <c r="AR165" s="230">
        <v>2046850</v>
      </c>
      <c r="AS165" s="230">
        <v>1058200</v>
      </c>
      <c r="AT165" s="230">
        <v>988650</v>
      </c>
      <c r="AU165" s="229">
        <v>0.93430000000000002</v>
      </c>
      <c r="AV165" s="230">
        <v>1899950</v>
      </c>
      <c r="AW165" s="230">
        <v>980200</v>
      </c>
      <c r="AX165" s="230">
        <v>919750</v>
      </c>
      <c r="AY165" s="229">
        <v>0.93830000000000002</v>
      </c>
      <c r="AZ165" s="230">
        <v>103350</v>
      </c>
      <c r="BA165" s="230">
        <v>46150</v>
      </c>
      <c r="BB165" s="230">
        <v>57200</v>
      </c>
      <c r="BC165" s="229">
        <v>1.2394000000000001</v>
      </c>
      <c r="BD165" s="230">
        <v>43550</v>
      </c>
      <c r="BE165" s="230">
        <v>31850</v>
      </c>
      <c r="BF165" s="230">
        <v>11700</v>
      </c>
      <c r="BG165" s="229">
        <v>0.36730000000000002</v>
      </c>
      <c r="BH165" s="230">
        <v>3106350</v>
      </c>
      <c r="BI165" s="230">
        <v>1328600</v>
      </c>
      <c r="BJ165" s="230">
        <v>1777750</v>
      </c>
      <c r="BK165" s="229">
        <v>1.3381000000000001</v>
      </c>
      <c r="BL165" s="230">
        <v>1310400</v>
      </c>
      <c r="BM165" s="230">
        <v>894400</v>
      </c>
      <c r="BN165" s="230">
        <v>416000</v>
      </c>
      <c r="BO165" s="229">
        <v>0.46510000000000001</v>
      </c>
      <c r="BP165" s="230">
        <v>6463600</v>
      </c>
      <c r="BQ165" s="230">
        <v>3281200</v>
      </c>
      <c r="BR165" s="230">
        <v>3182400</v>
      </c>
      <c r="BS165" s="229">
        <v>0.96989999999999998</v>
      </c>
      <c r="BT165" s="230">
        <v>1149714</v>
      </c>
      <c r="BU165" s="230">
        <v>761675</v>
      </c>
      <c r="BV165" s="230">
        <v>388039</v>
      </c>
      <c r="BW165" s="229">
        <v>0.50949999999999995</v>
      </c>
      <c r="BX165" s="230">
        <v>15127450</v>
      </c>
      <c r="BY165" s="230">
        <v>15208700</v>
      </c>
      <c r="BZ165" s="230">
        <v>-81250</v>
      </c>
      <c r="CA165" s="229">
        <v>-5.3E-3</v>
      </c>
      <c r="CB165" s="230">
        <v>14887600</v>
      </c>
      <c r="CC165" s="230">
        <v>15017600</v>
      </c>
      <c r="CD165" s="230">
        <v>-130000</v>
      </c>
      <c r="CE165" s="229">
        <v>-8.6999999999999994E-3</v>
      </c>
      <c r="CF165" s="230">
        <v>207350</v>
      </c>
      <c r="CG165" s="230">
        <v>169000</v>
      </c>
      <c r="CH165" s="230">
        <v>38350</v>
      </c>
      <c r="CI165" s="229">
        <v>0.22689999999999999</v>
      </c>
      <c r="CJ165" s="230">
        <v>32500</v>
      </c>
      <c r="CK165" s="230">
        <v>22100</v>
      </c>
      <c r="CL165" s="230">
        <v>10400</v>
      </c>
      <c r="CM165" s="229">
        <v>0.47060000000000002</v>
      </c>
      <c r="CN165" s="230">
        <v>3285100</v>
      </c>
      <c r="CO165" s="230">
        <v>3047200</v>
      </c>
      <c r="CP165" s="230">
        <v>237900</v>
      </c>
      <c r="CQ165" s="229">
        <v>7.8100000000000003E-2</v>
      </c>
      <c r="CR165" s="230">
        <v>2118350</v>
      </c>
      <c r="CS165" s="230">
        <v>1986400</v>
      </c>
      <c r="CT165" s="230">
        <v>131950</v>
      </c>
      <c r="CU165" s="229">
        <v>6.6400000000000001E-2</v>
      </c>
      <c r="CV165" s="230">
        <v>20530900</v>
      </c>
      <c r="CW165" s="230">
        <v>20242300</v>
      </c>
      <c r="CX165" s="230">
        <v>288600</v>
      </c>
      <c r="CY165" s="229">
        <v>1.43E-2</v>
      </c>
      <c r="CZ165" s="228">
        <v>36.520000000000003</v>
      </c>
      <c r="DA165" s="228">
        <v>35.89</v>
      </c>
      <c r="DB165" s="228">
        <v>0.63</v>
      </c>
      <c r="DC165" s="228">
        <v>0.63</v>
      </c>
      <c r="DD165" s="228">
        <v>49.82</v>
      </c>
      <c r="DE165" s="228">
        <v>49.93</v>
      </c>
      <c r="DF165" s="228">
        <v>-13.3</v>
      </c>
      <c r="DG165" s="228">
        <v>-0.11</v>
      </c>
      <c r="DH165" s="228">
        <v>36.46</v>
      </c>
      <c r="DI165" s="228">
        <v>35.340000000000003</v>
      </c>
      <c r="DJ165" s="228">
        <v>1.1200000000000001</v>
      </c>
      <c r="DK165" s="228">
        <v>1.1200000000000001</v>
      </c>
      <c r="DL165" s="228">
        <v>36.64</v>
      </c>
      <c r="DM165" s="228">
        <v>36.69</v>
      </c>
      <c r="DN165" s="228">
        <v>-0.05</v>
      </c>
      <c r="DO165" s="228">
        <v>-0.05</v>
      </c>
      <c r="DP165" s="228">
        <v>0.64</v>
      </c>
      <c r="DQ165" s="228">
        <v>0.65</v>
      </c>
      <c r="DR165" s="228">
        <v>-0.01</v>
      </c>
      <c r="DS165" s="229">
        <v>-1.54E-2</v>
      </c>
      <c r="DT165" s="228">
        <v>900</v>
      </c>
      <c r="DU165" s="228">
        <v>800</v>
      </c>
      <c r="DV165" s="228">
        <v>0.42</v>
      </c>
      <c r="DW165" s="228">
        <v>0.67</v>
      </c>
      <c r="DX165" s="228">
        <v>-0.25</v>
      </c>
      <c r="DY165" s="229">
        <v>-0.37309999999999999</v>
      </c>
      <c r="DZ165" s="229">
        <v>1.5900000000000001E-2</v>
      </c>
      <c r="EA165" s="230">
        <v>191100</v>
      </c>
      <c r="EB165" s="229">
        <v>5.1000000000000004E-3</v>
      </c>
      <c r="EC165" s="229">
        <v>1.5900000000000001E-2</v>
      </c>
      <c r="ED165" s="228">
        <v>4.9000000000000004</v>
      </c>
      <c r="EE165" s="229">
        <v>5.4000000000000003E-3</v>
      </c>
      <c r="EF165" s="230">
        <v>526668</v>
      </c>
      <c r="EG165" s="230">
        <v>292069</v>
      </c>
      <c r="EH165" s="229">
        <v>0.80320000000000003</v>
      </c>
      <c r="EI165" s="229">
        <v>0.45810000000000001</v>
      </c>
      <c r="EJ165" s="231">
        <v>29433.5</v>
      </c>
      <c r="EK165" s="231">
        <v>11544.38</v>
      </c>
      <c r="EL165" s="231">
        <v>18466.48</v>
      </c>
      <c r="EM165" s="231">
        <v>6727</v>
      </c>
      <c r="EN165" s="231">
        <v>59444.36</v>
      </c>
      <c r="EO165" s="231">
        <v>29638.93</v>
      </c>
      <c r="EP165" s="231">
        <v>29805.43</v>
      </c>
      <c r="EQ165" s="229">
        <v>1.0056</v>
      </c>
      <c r="ER165" s="231">
        <v>30254</v>
      </c>
      <c r="ES165" s="231">
        <v>17628</v>
      </c>
      <c r="ET165" s="231">
        <v>136266</v>
      </c>
      <c r="EU165" s="231">
        <v>28062406</v>
      </c>
      <c r="EV165" s="231">
        <v>184148</v>
      </c>
      <c r="EW165" s="231">
        <v>180425</v>
      </c>
      <c r="EX165" s="231">
        <v>3723</v>
      </c>
      <c r="EY165" s="229">
        <v>2.06E-2</v>
      </c>
      <c r="EZ165" s="229">
        <v>0.73160000000000003</v>
      </c>
      <c r="FA165" s="227" t="s">
        <v>556</v>
      </c>
      <c r="FB165" s="161">
        <f t="shared" si="4"/>
        <v>0</v>
      </c>
    </row>
    <row r="166" spans="1:158" ht="17.25" thickBot="1" x14ac:dyDescent="0.3">
      <c r="A166" s="226">
        <v>45936</v>
      </c>
      <c r="B166" s="227" t="s">
        <v>616</v>
      </c>
      <c r="C166" s="227" t="s">
        <v>574</v>
      </c>
      <c r="D166" s="228">
        <v>350</v>
      </c>
      <c r="E166" s="231">
        <v>1733.1</v>
      </c>
      <c r="F166" s="231">
        <v>1707.8</v>
      </c>
      <c r="G166" s="228">
        <v>25.3</v>
      </c>
      <c r="H166" s="229">
        <v>1.4800000000000001E-2</v>
      </c>
      <c r="I166" s="231">
        <v>1725.4</v>
      </c>
      <c r="J166" s="231">
        <v>1700.5</v>
      </c>
      <c r="K166" s="228">
        <v>24.9</v>
      </c>
      <c r="L166" s="229">
        <v>1.46E-2</v>
      </c>
      <c r="M166" s="231">
        <v>1733.1</v>
      </c>
      <c r="N166" s="231">
        <v>1707.8</v>
      </c>
      <c r="O166" s="228">
        <v>25.3</v>
      </c>
      <c r="P166" s="229">
        <v>1.4800000000000001E-2</v>
      </c>
      <c r="Q166" s="231">
        <v>1740.6</v>
      </c>
      <c r="R166" s="231">
        <v>1716.3</v>
      </c>
      <c r="S166" s="228">
        <v>24.3</v>
      </c>
      <c r="T166" s="229">
        <v>1.4200000000000001E-2</v>
      </c>
      <c r="U166" s="231">
        <v>1739.1</v>
      </c>
      <c r="V166" s="231">
        <v>1725.6</v>
      </c>
      <c r="W166" s="228">
        <v>13.5</v>
      </c>
      <c r="X166" s="229">
        <v>7.7999999999999996E-3</v>
      </c>
      <c r="Y166" s="228">
        <v>7.7</v>
      </c>
      <c r="Z166" s="228">
        <v>7.3</v>
      </c>
      <c r="AA166" s="228">
        <v>0.4</v>
      </c>
      <c r="AB166" s="229">
        <v>4.4999999999999997E-3</v>
      </c>
      <c r="AC166" s="228">
        <v>7.7</v>
      </c>
      <c r="AD166" s="228">
        <v>7.3</v>
      </c>
      <c r="AE166" s="228">
        <v>0.4</v>
      </c>
      <c r="AF166" s="229">
        <v>4.4999999999999997E-3</v>
      </c>
      <c r="AG166" s="228">
        <v>15.2</v>
      </c>
      <c r="AH166" s="228">
        <v>15.8</v>
      </c>
      <c r="AI166" s="228">
        <v>-0.6</v>
      </c>
      <c r="AJ166" s="229">
        <v>8.8000000000000005E-3</v>
      </c>
      <c r="AK166" s="228">
        <v>13.7</v>
      </c>
      <c r="AL166" s="228">
        <v>25.1</v>
      </c>
      <c r="AM166" s="228">
        <v>-11.4</v>
      </c>
      <c r="AN166" s="229">
        <v>7.9000000000000008E-3</v>
      </c>
      <c r="AO166" s="231">
        <v>1716.58</v>
      </c>
      <c r="AP166" s="231">
        <v>1727.38</v>
      </c>
      <c r="AQ166" s="228">
        <v>0</v>
      </c>
      <c r="AR166" s="230">
        <v>1340850</v>
      </c>
      <c r="AS166" s="230">
        <v>1797950</v>
      </c>
      <c r="AT166" s="230">
        <v>-457100</v>
      </c>
      <c r="AU166" s="229">
        <v>-0.25419999999999998</v>
      </c>
      <c r="AV166" s="230">
        <v>1310050</v>
      </c>
      <c r="AW166" s="230">
        <v>1761200</v>
      </c>
      <c r="AX166" s="230">
        <v>-451150</v>
      </c>
      <c r="AY166" s="229">
        <v>-0.25619999999999998</v>
      </c>
      <c r="AZ166" s="230">
        <v>30100</v>
      </c>
      <c r="BA166" s="230">
        <v>35350</v>
      </c>
      <c r="BB166" s="230">
        <v>-5250</v>
      </c>
      <c r="BC166" s="229">
        <v>-0.14849999999999999</v>
      </c>
      <c r="BD166" s="228">
        <v>700</v>
      </c>
      <c r="BE166" s="230">
        <v>1400</v>
      </c>
      <c r="BF166" s="228">
        <v>-700</v>
      </c>
      <c r="BG166" s="229">
        <v>-0.5</v>
      </c>
      <c r="BH166" s="230">
        <v>1184050</v>
      </c>
      <c r="BI166" s="230">
        <v>1745100</v>
      </c>
      <c r="BJ166" s="230">
        <v>-561050</v>
      </c>
      <c r="BK166" s="229">
        <v>-0.32150000000000001</v>
      </c>
      <c r="BL166" s="230">
        <v>840000</v>
      </c>
      <c r="BM166" s="230">
        <v>2500400</v>
      </c>
      <c r="BN166" s="230">
        <v>-1660400</v>
      </c>
      <c r="BO166" s="229">
        <v>-0.66410000000000002</v>
      </c>
      <c r="BP166" s="230">
        <v>3364900</v>
      </c>
      <c r="BQ166" s="230">
        <v>6043450</v>
      </c>
      <c r="BR166" s="230">
        <v>-2678550</v>
      </c>
      <c r="BS166" s="229">
        <v>-0.44319999999999998</v>
      </c>
      <c r="BT166" s="230">
        <v>1607045</v>
      </c>
      <c r="BU166" s="230">
        <v>1756646</v>
      </c>
      <c r="BV166" s="230">
        <v>-149601</v>
      </c>
      <c r="BW166" s="229">
        <v>-8.5199999999999998E-2</v>
      </c>
      <c r="BX166" s="230">
        <v>7584850</v>
      </c>
      <c r="BY166" s="230">
        <v>7572600</v>
      </c>
      <c r="BZ166" s="230">
        <v>12250</v>
      </c>
      <c r="CA166" s="229">
        <v>1.6000000000000001E-3</v>
      </c>
      <c r="CB166" s="230">
        <v>7540750</v>
      </c>
      <c r="CC166" s="230">
        <v>7531300</v>
      </c>
      <c r="CD166" s="230">
        <v>9450</v>
      </c>
      <c r="CE166" s="229">
        <v>1.2999999999999999E-3</v>
      </c>
      <c r="CF166" s="230">
        <v>42000</v>
      </c>
      <c r="CG166" s="230">
        <v>39900</v>
      </c>
      <c r="CH166" s="230">
        <v>2100</v>
      </c>
      <c r="CI166" s="229">
        <v>5.2600000000000001E-2</v>
      </c>
      <c r="CJ166" s="230">
        <v>2100</v>
      </c>
      <c r="CK166" s="230">
        <v>1400</v>
      </c>
      <c r="CL166" s="228">
        <v>700</v>
      </c>
      <c r="CM166" s="229">
        <v>0.5</v>
      </c>
      <c r="CN166" s="230">
        <v>864850</v>
      </c>
      <c r="CO166" s="230">
        <v>790650</v>
      </c>
      <c r="CP166" s="230">
        <v>74200</v>
      </c>
      <c r="CQ166" s="229">
        <v>9.3799999999999994E-2</v>
      </c>
      <c r="CR166" s="230">
        <v>800450</v>
      </c>
      <c r="CS166" s="230">
        <v>877800</v>
      </c>
      <c r="CT166" s="230">
        <v>-77350</v>
      </c>
      <c r="CU166" s="229">
        <v>-8.8099999999999998E-2</v>
      </c>
      <c r="CV166" s="230">
        <v>9250150</v>
      </c>
      <c r="CW166" s="230">
        <v>9241050</v>
      </c>
      <c r="CX166" s="230">
        <v>9100</v>
      </c>
      <c r="CY166" s="229">
        <v>1E-3</v>
      </c>
      <c r="CZ166" s="228">
        <v>32.68</v>
      </c>
      <c r="DA166" s="228">
        <v>34.03</v>
      </c>
      <c r="DB166" s="228">
        <v>-1.35</v>
      </c>
      <c r="DC166" s="228">
        <v>-1.35</v>
      </c>
      <c r="DD166" s="228">
        <v>48.18</v>
      </c>
      <c r="DE166" s="228">
        <v>48.26</v>
      </c>
      <c r="DF166" s="228">
        <v>-15.5</v>
      </c>
      <c r="DG166" s="228">
        <v>-0.08</v>
      </c>
      <c r="DH166" s="228">
        <v>31.31</v>
      </c>
      <c r="DI166" s="228">
        <v>31.81</v>
      </c>
      <c r="DJ166" s="228">
        <v>-0.5</v>
      </c>
      <c r="DK166" s="228">
        <v>-0.5</v>
      </c>
      <c r="DL166" s="228">
        <v>34.6</v>
      </c>
      <c r="DM166" s="228">
        <v>35.590000000000003</v>
      </c>
      <c r="DN166" s="228">
        <v>-0.99</v>
      </c>
      <c r="DO166" s="228">
        <v>-0.99</v>
      </c>
      <c r="DP166" s="228">
        <v>0.93</v>
      </c>
      <c r="DQ166" s="228">
        <v>1.1100000000000001</v>
      </c>
      <c r="DR166" s="228">
        <v>-0.18</v>
      </c>
      <c r="DS166" s="229">
        <v>-0.16220000000000001</v>
      </c>
      <c r="DT166" s="231">
        <v>1800</v>
      </c>
      <c r="DU166" s="231">
        <v>1450</v>
      </c>
      <c r="DV166" s="228">
        <v>0.71</v>
      </c>
      <c r="DW166" s="228">
        <v>1.43</v>
      </c>
      <c r="DX166" s="228">
        <v>-0.72</v>
      </c>
      <c r="DY166" s="229">
        <v>-0.50349999999999995</v>
      </c>
      <c r="DZ166" s="229">
        <v>5.7999999999999996E-3</v>
      </c>
      <c r="EA166" s="230">
        <v>41300</v>
      </c>
      <c r="EB166" s="229">
        <v>4.3E-3</v>
      </c>
      <c r="EC166" s="229">
        <v>5.7999999999999996E-3</v>
      </c>
      <c r="ED166" s="228">
        <v>10.8</v>
      </c>
      <c r="EE166" s="229">
        <v>6.3E-3</v>
      </c>
      <c r="EF166" s="230">
        <v>1019938</v>
      </c>
      <c r="EG166" s="230">
        <v>1035352</v>
      </c>
      <c r="EH166" s="229">
        <v>-1.49E-2</v>
      </c>
      <c r="EI166" s="229">
        <v>0.63470000000000004</v>
      </c>
      <c r="EJ166" s="231">
        <v>21511.43</v>
      </c>
      <c r="EK166" s="231">
        <v>13740.56</v>
      </c>
      <c r="EL166" s="231">
        <v>23020.18</v>
      </c>
      <c r="EM166" s="231">
        <v>9069</v>
      </c>
      <c r="EN166" s="231">
        <v>58272.17</v>
      </c>
      <c r="EO166" s="231">
        <v>102650.91</v>
      </c>
      <c r="EP166" s="231">
        <v>-44378.74</v>
      </c>
      <c r="EQ166" s="229">
        <v>-0.43230000000000002</v>
      </c>
      <c r="ER166" s="231">
        <v>15957</v>
      </c>
      <c r="ES166" s="231">
        <v>12964</v>
      </c>
      <c r="ET166" s="231">
        <v>131456</v>
      </c>
      <c r="EU166" s="231">
        <v>51720057</v>
      </c>
      <c r="EV166" s="231">
        <v>160377</v>
      </c>
      <c r="EW166" s="231">
        <v>158038</v>
      </c>
      <c r="EX166" s="231">
        <v>2339</v>
      </c>
      <c r="EY166" s="229">
        <v>1.4800000000000001E-2</v>
      </c>
      <c r="EZ166" s="229">
        <v>0.1789</v>
      </c>
      <c r="FA166" s="227" t="s">
        <v>555</v>
      </c>
      <c r="FB166" s="161">
        <f t="shared" si="4"/>
        <v>0</v>
      </c>
    </row>
    <row r="167" spans="1:158" ht="17.25" thickBot="1" x14ac:dyDescent="0.3">
      <c r="A167" s="226">
        <v>45936</v>
      </c>
      <c r="B167" s="227" t="s">
        <v>184</v>
      </c>
      <c r="C167" s="227" t="s">
        <v>519</v>
      </c>
      <c r="D167" s="228">
        <v>125</v>
      </c>
      <c r="E167" s="231">
        <v>7642</v>
      </c>
      <c r="F167" s="231">
        <v>7423.5</v>
      </c>
      <c r="G167" s="228">
        <v>218.5</v>
      </c>
      <c r="H167" s="229">
        <v>2.9399999999999999E-2</v>
      </c>
      <c r="I167" s="231">
        <v>7615.5</v>
      </c>
      <c r="J167" s="231">
        <v>7393</v>
      </c>
      <c r="K167" s="228">
        <v>222.5</v>
      </c>
      <c r="L167" s="229">
        <v>3.0099999999999998E-2</v>
      </c>
      <c r="M167" s="231">
        <v>7642</v>
      </c>
      <c r="N167" s="231">
        <v>7423.5</v>
      </c>
      <c r="O167" s="228">
        <v>218.5</v>
      </c>
      <c r="P167" s="229">
        <v>2.9399999999999999E-2</v>
      </c>
      <c r="Q167" s="231">
        <v>7684.5</v>
      </c>
      <c r="R167" s="231">
        <v>7462</v>
      </c>
      <c r="S167" s="228">
        <v>222.5</v>
      </c>
      <c r="T167" s="229">
        <v>2.98E-2</v>
      </c>
      <c r="U167" s="231">
        <v>7727</v>
      </c>
      <c r="V167" s="231">
        <v>7501</v>
      </c>
      <c r="W167" s="228">
        <v>226</v>
      </c>
      <c r="X167" s="229">
        <v>3.0099999999999998E-2</v>
      </c>
      <c r="Y167" s="228">
        <v>26.5</v>
      </c>
      <c r="Z167" s="228">
        <v>30.5</v>
      </c>
      <c r="AA167" s="228">
        <v>-4</v>
      </c>
      <c r="AB167" s="229">
        <v>3.5000000000000001E-3</v>
      </c>
      <c r="AC167" s="228">
        <v>26.5</v>
      </c>
      <c r="AD167" s="228">
        <v>30.5</v>
      </c>
      <c r="AE167" s="228">
        <v>-4</v>
      </c>
      <c r="AF167" s="229">
        <v>3.5000000000000001E-3</v>
      </c>
      <c r="AG167" s="228">
        <v>69</v>
      </c>
      <c r="AH167" s="228">
        <v>69</v>
      </c>
      <c r="AI167" s="228">
        <v>0</v>
      </c>
      <c r="AJ167" s="229">
        <v>9.1000000000000004E-3</v>
      </c>
      <c r="AK167" s="228">
        <v>111.5</v>
      </c>
      <c r="AL167" s="228">
        <v>108</v>
      </c>
      <c r="AM167" s="228">
        <v>3.5</v>
      </c>
      <c r="AN167" s="229">
        <v>1.46E-2</v>
      </c>
      <c r="AO167" s="231">
        <v>7576.46</v>
      </c>
      <c r="AP167" s="231">
        <v>7605.33</v>
      </c>
      <c r="AQ167" s="228">
        <v>0</v>
      </c>
      <c r="AR167" s="230">
        <v>505000</v>
      </c>
      <c r="AS167" s="230">
        <v>199500</v>
      </c>
      <c r="AT167" s="230">
        <v>305500</v>
      </c>
      <c r="AU167" s="229">
        <v>1.5313000000000001</v>
      </c>
      <c r="AV167" s="230">
        <v>488000</v>
      </c>
      <c r="AW167" s="230">
        <v>190000</v>
      </c>
      <c r="AX167" s="230">
        <v>298000</v>
      </c>
      <c r="AY167" s="229">
        <v>1.5684</v>
      </c>
      <c r="AZ167" s="230">
        <v>16500</v>
      </c>
      <c r="BA167" s="230">
        <v>6375</v>
      </c>
      <c r="BB167" s="230">
        <v>10125</v>
      </c>
      <c r="BC167" s="229">
        <v>1.5882000000000001</v>
      </c>
      <c r="BD167" s="228">
        <v>500</v>
      </c>
      <c r="BE167" s="230">
        <v>3125</v>
      </c>
      <c r="BF167" s="230">
        <v>-2625</v>
      </c>
      <c r="BG167" s="229">
        <v>-0.84</v>
      </c>
      <c r="BH167" s="230">
        <v>1613375</v>
      </c>
      <c r="BI167" s="230">
        <v>455250</v>
      </c>
      <c r="BJ167" s="230">
        <v>1158125</v>
      </c>
      <c r="BK167" s="229">
        <v>2.5438999999999998</v>
      </c>
      <c r="BL167" s="230">
        <v>604500</v>
      </c>
      <c r="BM167" s="230">
        <v>213750</v>
      </c>
      <c r="BN167" s="230">
        <v>390750</v>
      </c>
      <c r="BO167" s="229">
        <v>1.8281000000000001</v>
      </c>
      <c r="BP167" s="230">
        <v>2722875</v>
      </c>
      <c r="BQ167" s="230">
        <v>868500</v>
      </c>
      <c r="BR167" s="230">
        <v>1854375</v>
      </c>
      <c r="BS167" s="229">
        <v>2.1351</v>
      </c>
      <c r="BT167" s="230">
        <v>226926</v>
      </c>
      <c r="BU167" s="230">
        <v>145171</v>
      </c>
      <c r="BV167" s="230">
        <v>81755</v>
      </c>
      <c r="BW167" s="229">
        <v>0.56320000000000003</v>
      </c>
      <c r="BX167" s="230">
        <v>1768625</v>
      </c>
      <c r="BY167" s="230">
        <v>1806375</v>
      </c>
      <c r="BZ167" s="230">
        <v>-37750</v>
      </c>
      <c r="CA167" s="229">
        <v>-2.0899999999999998E-2</v>
      </c>
      <c r="CB167" s="230">
        <v>1738125</v>
      </c>
      <c r="CC167" s="230">
        <v>1779625</v>
      </c>
      <c r="CD167" s="230">
        <v>-41500</v>
      </c>
      <c r="CE167" s="229">
        <v>-2.3300000000000001E-2</v>
      </c>
      <c r="CF167" s="230">
        <v>27875</v>
      </c>
      <c r="CG167" s="230">
        <v>24625</v>
      </c>
      <c r="CH167" s="230">
        <v>3250</v>
      </c>
      <c r="CI167" s="229">
        <v>0.13200000000000001</v>
      </c>
      <c r="CJ167" s="230">
        <v>2625</v>
      </c>
      <c r="CK167" s="230">
        <v>2125</v>
      </c>
      <c r="CL167" s="228">
        <v>500</v>
      </c>
      <c r="CM167" s="229">
        <v>0.23530000000000001</v>
      </c>
      <c r="CN167" s="230">
        <v>530125</v>
      </c>
      <c r="CO167" s="230">
        <v>382625</v>
      </c>
      <c r="CP167" s="230">
        <v>147500</v>
      </c>
      <c r="CQ167" s="229">
        <v>0.38550000000000001</v>
      </c>
      <c r="CR167" s="230">
        <v>332125</v>
      </c>
      <c r="CS167" s="230">
        <v>229875</v>
      </c>
      <c r="CT167" s="230">
        <v>102250</v>
      </c>
      <c r="CU167" s="229">
        <v>0.44479999999999997</v>
      </c>
      <c r="CV167" s="230">
        <v>2630875</v>
      </c>
      <c r="CW167" s="230">
        <v>2418875</v>
      </c>
      <c r="CX167" s="230">
        <v>212000</v>
      </c>
      <c r="CY167" s="229">
        <v>8.7599999999999997E-2</v>
      </c>
      <c r="CZ167" s="228">
        <v>29.91</v>
      </c>
      <c r="DA167" s="228">
        <v>27.69</v>
      </c>
      <c r="DB167" s="228">
        <v>2.2200000000000002</v>
      </c>
      <c r="DC167" s="228">
        <v>2.2200000000000002</v>
      </c>
      <c r="DD167" s="228">
        <v>41.52</v>
      </c>
      <c r="DE167" s="228">
        <v>41.43</v>
      </c>
      <c r="DF167" s="228">
        <v>-11.61</v>
      </c>
      <c r="DG167" s="228">
        <v>0.09</v>
      </c>
      <c r="DH167" s="228">
        <v>29.5</v>
      </c>
      <c r="DI167" s="228">
        <v>27.3</v>
      </c>
      <c r="DJ167" s="228">
        <v>2.2000000000000002</v>
      </c>
      <c r="DK167" s="228">
        <v>2.2000000000000002</v>
      </c>
      <c r="DL167" s="228">
        <v>31.01</v>
      </c>
      <c r="DM167" s="228">
        <v>28.5</v>
      </c>
      <c r="DN167" s="228">
        <v>2.5099999999999998</v>
      </c>
      <c r="DO167" s="228">
        <v>2.5099999999999998</v>
      </c>
      <c r="DP167" s="228">
        <v>0.63</v>
      </c>
      <c r="DQ167" s="228">
        <v>0.6</v>
      </c>
      <c r="DR167" s="228">
        <v>0.03</v>
      </c>
      <c r="DS167" s="229">
        <v>0.05</v>
      </c>
      <c r="DT167" s="231">
        <v>7200</v>
      </c>
      <c r="DU167" s="231">
        <v>7000</v>
      </c>
      <c r="DV167" s="228">
        <v>0.37</v>
      </c>
      <c r="DW167" s="228">
        <v>0.47</v>
      </c>
      <c r="DX167" s="228">
        <v>-0.1</v>
      </c>
      <c r="DY167" s="229">
        <v>-0.21279999999999999</v>
      </c>
      <c r="DZ167" s="229">
        <v>1.72E-2</v>
      </c>
      <c r="EA167" s="230">
        <v>26750</v>
      </c>
      <c r="EB167" s="229">
        <v>5.5999999999999999E-3</v>
      </c>
      <c r="EC167" s="229">
        <v>1.72E-2</v>
      </c>
      <c r="ED167" s="228">
        <v>28.87</v>
      </c>
      <c r="EE167" s="229">
        <v>3.8E-3</v>
      </c>
      <c r="EF167" s="230">
        <v>110528</v>
      </c>
      <c r="EG167" s="230">
        <v>90817</v>
      </c>
      <c r="EH167" s="229">
        <v>0.217</v>
      </c>
      <c r="EI167" s="229">
        <v>0.48709999999999998</v>
      </c>
      <c r="EJ167" s="231">
        <v>127501.78</v>
      </c>
      <c r="EK167" s="231">
        <v>44482.51</v>
      </c>
      <c r="EL167" s="231">
        <v>38266.28</v>
      </c>
      <c r="EM167" s="231">
        <v>5485</v>
      </c>
      <c r="EN167" s="231">
        <v>210250.57</v>
      </c>
      <c r="EO167" s="231">
        <v>65721.03</v>
      </c>
      <c r="EP167" s="231">
        <v>144529.54</v>
      </c>
      <c r="EQ167" s="229">
        <v>2.1991000000000001</v>
      </c>
      <c r="ER167" s="231">
        <v>40728</v>
      </c>
      <c r="ES167" s="231">
        <v>23949</v>
      </c>
      <c r="ET167" s="231">
        <v>135172</v>
      </c>
      <c r="EU167" s="231">
        <v>8350688</v>
      </c>
      <c r="EV167" s="231">
        <v>199849</v>
      </c>
      <c r="EW167" s="231">
        <v>179763</v>
      </c>
      <c r="EX167" s="231">
        <v>20086</v>
      </c>
      <c r="EY167" s="229">
        <v>0.11169999999999999</v>
      </c>
      <c r="EZ167" s="229">
        <v>0.315</v>
      </c>
      <c r="FA167" s="227" t="s">
        <v>556</v>
      </c>
      <c r="FB167" s="161">
        <f t="shared" si="4"/>
        <v>0</v>
      </c>
    </row>
    <row r="168" spans="1:158" ht="17.25" thickBot="1" x14ac:dyDescent="0.3">
      <c r="A168" s="226">
        <v>45936</v>
      </c>
      <c r="B168" s="227" t="s">
        <v>161</v>
      </c>
      <c r="C168" s="227" t="s">
        <v>276</v>
      </c>
      <c r="D168" s="228">
        <v>1900</v>
      </c>
      <c r="E168" s="228">
        <v>287.85000000000002</v>
      </c>
      <c r="F168" s="228">
        <v>290.3</v>
      </c>
      <c r="G168" s="228">
        <v>-2.4500000000000002</v>
      </c>
      <c r="H168" s="229">
        <v>-8.3999999999999995E-3</v>
      </c>
      <c r="I168" s="228">
        <v>286.89999999999998</v>
      </c>
      <c r="J168" s="228">
        <v>289.7</v>
      </c>
      <c r="K168" s="228">
        <v>-2.8</v>
      </c>
      <c r="L168" s="229">
        <v>-9.7000000000000003E-3</v>
      </c>
      <c r="M168" s="228">
        <v>287.85000000000002</v>
      </c>
      <c r="N168" s="228">
        <v>290.3</v>
      </c>
      <c r="O168" s="228">
        <v>-2.4500000000000002</v>
      </c>
      <c r="P168" s="229">
        <v>-8.3999999999999995E-3</v>
      </c>
      <c r="Q168" s="228">
        <v>286</v>
      </c>
      <c r="R168" s="228">
        <v>288.14999999999998</v>
      </c>
      <c r="S168" s="228">
        <v>-2.15</v>
      </c>
      <c r="T168" s="229">
        <v>-7.4999999999999997E-3</v>
      </c>
      <c r="U168" s="228">
        <v>287.7</v>
      </c>
      <c r="V168" s="228">
        <v>289.89999999999998</v>
      </c>
      <c r="W168" s="228">
        <v>-2.2000000000000002</v>
      </c>
      <c r="X168" s="229">
        <v>-7.6E-3</v>
      </c>
      <c r="Y168" s="228">
        <v>0.95</v>
      </c>
      <c r="Z168" s="228">
        <v>0.6</v>
      </c>
      <c r="AA168" s="228">
        <v>0.35</v>
      </c>
      <c r="AB168" s="229">
        <v>3.3E-3</v>
      </c>
      <c r="AC168" s="228">
        <v>0.95</v>
      </c>
      <c r="AD168" s="228">
        <v>0.6</v>
      </c>
      <c r="AE168" s="228">
        <v>0.35</v>
      </c>
      <c r="AF168" s="229">
        <v>3.3E-3</v>
      </c>
      <c r="AG168" s="228">
        <v>-0.9</v>
      </c>
      <c r="AH168" s="228">
        <v>-1.55</v>
      </c>
      <c r="AI168" s="228">
        <v>0.65</v>
      </c>
      <c r="AJ168" s="229">
        <v>-3.0999999999999999E-3</v>
      </c>
      <c r="AK168" s="228">
        <v>0.8</v>
      </c>
      <c r="AL168" s="228">
        <v>0.2</v>
      </c>
      <c r="AM168" s="228">
        <v>0.6</v>
      </c>
      <c r="AN168" s="229">
        <v>2.8E-3</v>
      </c>
      <c r="AO168" s="228">
        <v>287.05</v>
      </c>
      <c r="AP168" s="228">
        <v>285.16000000000003</v>
      </c>
      <c r="AQ168" s="228">
        <v>0</v>
      </c>
      <c r="AR168" s="230">
        <v>8827400</v>
      </c>
      <c r="AS168" s="230">
        <v>14320300</v>
      </c>
      <c r="AT168" s="230">
        <v>-5492900</v>
      </c>
      <c r="AU168" s="229">
        <v>-0.3836</v>
      </c>
      <c r="AV168" s="230">
        <v>8164300</v>
      </c>
      <c r="AW168" s="230">
        <v>13567900</v>
      </c>
      <c r="AX168" s="230">
        <v>-5403600</v>
      </c>
      <c r="AY168" s="229">
        <v>-0.39829999999999999</v>
      </c>
      <c r="AZ168" s="230">
        <v>600400</v>
      </c>
      <c r="BA168" s="230">
        <v>703000</v>
      </c>
      <c r="BB168" s="230">
        <v>-102600</v>
      </c>
      <c r="BC168" s="229">
        <v>-0.1459</v>
      </c>
      <c r="BD168" s="230">
        <v>62700</v>
      </c>
      <c r="BE168" s="230">
        <v>49400</v>
      </c>
      <c r="BF168" s="230">
        <v>13300</v>
      </c>
      <c r="BG168" s="229">
        <v>0.26919999999999999</v>
      </c>
      <c r="BH168" s="230">
        <v>22104600</v>
      </c>
      <c r="BI168" s="230">
        <v>36329900</v>
      </c>
      <c r="BJ168" s="230">
        <v>-14225300</v>
      </c>
      <c r="BK168" s="229">
        <v>-0.3916</v>
      </c>
      <c r="BL168" s="230">
        <v>10480400</v>
      </c>
      <c r="BM168" s="230">
        <v>14039100</v>
      </c>
      <c r="BN168" s="230">
        <v>-3558700</v>
      </c>
      <c r="BO168" s="229">
        <v>-0.2535</v>
      </c>
      <c r="BP168" s="230">
        <v>41412400</v>
      </c>
      <c r="BQ168" s="230">
        <v>64689300</v>
      </c>
      <c r="BR168" s="230">
        <v>-23276900</v>
      </c>
      <c r="BS168" s="229">
        <v>-0.35980000000000001</v>
      </c>
      <c r="BT168" s="230">
        <v>11850645</v>
      </c>
      <c r="BU168" s="230">
        <v>21193357</v>
      </c>
      <c r="BV168" s="230">
        <v>-9342712</v>
      </c>
      <c r="BW168" s="229">
        <v>-0.44080000000000003</v>
      </c>
      <c r="BX168" s="230">
        <v>73237400</v>
      </c>
      <c r="BY168" s="230">
        <v>75114600</v>
      </c>
      <c r="BZ168" s="230">
        <v>-1877200</v>
      </c>
      <c r="CA168" s="229">
        <v>-2.5000000000000001E-2</v>
      </c>
      <c r="CB168" s="230">
        <v>70942200</v>
      </c>
      <c r="CC168" s="230">
        <v>73026500</v>
      </c>
      <c r="CD168" s="230">
        <v>-2084300</v>
      </c>
      <c r="CE168" s="229">
        <v>-2.8500000000000001E-2</v>
      </c>
      <c r="CF168" s="230">
        <v>2243900</v>
      </c>
      <c r="CG168" s="230">
        <v>2053900</v>
      </c>
      <c r="CH168" s="230">
        <v>190000</v>
      </c>
      <c r="CI168" s="229">
        <v>9.2499999999999999E-2</v>
      </c>
      <c r="CJ168" s="230">
        <v>51300</v>
      </c>
      <c r="CK168" s="230">
        <v>34200</v>
      </c>
      <c r="CL168" s="230">
        <v>17100</v>
      </c>
      <c r="CM168" s="229">
        <v>0.5</v>
      </c>
      <c r="CN168" s="230">
        <v>23322500</v>
      </c>
      <c r="CO168" s="230">
        <v>20824000</v>
      </c>
      <c r="CP168" s="230">
        <v>2498500</v>
      </c>
      <c r="CQ168" s="229">
        <v>0.12</v>
      </c>
      <c r="CR168" s="230">
        <v>15844100</v>
      </c>
      <c r="CS168" s="230">
        <v>14962500</v>
      </c>
      <c r="CT168" s="230">
        <v>881600</v>
      </c>
      <c r="CU168" s="229">
        <v>5.8900000000000001E-2</v>
      </c>
      <c r="CV168" s="230">
        <v>112404000</v>
      </c>
      <c r="CW168" s="230">
        <v>110901100</v>
      </c>
      <c r="CX168" s="230">
        <v>1502900</v>
      </c>
      <c r="CY168" s="229">
        <v>1.3599999999999999E-2</v>
      </c>
      <c r="CZ168" s="228">
        <v>19.25</v>
      </c>
      <c r="DA168" s="228">
        <v>19.420000000000002</v>
      </c>
      <c r="DB168" s="228">
        <v>-0.17</v>
      </c>
      <c r="DC168" s="228">
        <v>-0.17</v>
      </c>
      <c r="DD168" s="228">
        <v>29.79</v>
      </c>
      <c r="DE168" s="228">
        <v>29.84</v>
      </c>
      <c r="DF168" s="228">
        <v>-10.54</v>
      </c>
      <c r="DG168" s="228">
        <v>-0.05</v>
      </c>
      <c r="DH168" s="228">
        <v>19.43</v>
      </c>
      <c r="DI168" s="228">
        <v>19.399999999999999</v>
      </c>
      <c r="DJ168" s="228">
        <v>0.03</v>
      </c>
      <c r="DK168" s="228">
        <v>0.03</v>
      </c>
      <c r="DL168" s="228">
        <v>18.87</v>
      </c>
      <c r="DM168" s="228">
        <v>19.489999999999998</v>
      </c>
      <c r="DN168" s="228">
        <v>-0.62</v>
      </c>
      <c r="DO168" s="228">
        <v>-0.62</v>
      </c>
      <c r="DP168" s="228">
        <v>0.68</v>
      </c>
      <c r="DQ168" s="228">
        <v>0.72</v>
      </c>
      <c r="DR168" s="228">
        <v>-0.04</v>
      </c>
      <c r="DS168" s="229">
        <v>-5.5599999999999997E-2</v>
      </c>
      <c r="DT168" s="228">
        <v>300</v>
      </c>
      <c r="DU168" s="228">
        <v>285</v>
      </c>
      <c r="DV168" s="228">
        <v>0.47</v>
      </c>
      <c r="DW168" s="228">
        <v>0.39</v>
      </c>
      <c r="DX168" s="228">
        <v>0.08</v>
      </c>
      <c r="DY168" s="229">
        <v>0.2051</v>
      </c>
      <c r="DZ168" s="229">
        <v>3.1300000000000001E-2</v>
      </c>
      <c r="EA168" s="230">
        <v>2088100</v>
      </c>
      <c r="EB168" s="229">
        <v>-6.4000000000000003E-3</v>
      </c>
      <c r="EC168" s="229">
        <v>3.1300000000000001E-2</v>
      </c>
      <c r="ED168" s="228">
        <v>-1.89</v>
      </c>
      <c r="EE168" s="229">
        <v>-6.6E-3</v>
      </c>
      <c r="EF168" s="230">
        <v>7796679</v>
      </c>
      <c r="EG168" s="230">
        <v>16998951</v>
      </c>
      <c r="EH168" s="229">
        <v>-0.5413</v>
      </c>
      <c r="EI168" s="229">
        <v>0.65790000000000004</v>
      </c>
      <c r="EJ168" s="231">
        <v>65748.08</v>
      </c>
      <c r="EK168" s="231">
        <v>30145.73</v>
      </c>
      <c r="EL168" s="231">
        <v>25327.94</v>
      </c>
      <c r="EM168" s="231">
        <v>14024</v>
      </c>
      <c r="EN168" s="231">
        <v>121221.75</v>
      </c>
      <c r="EO168" s="231">
        <v>189360.47</v>
      </c>
      <c r="EP168" s="231">
        <v>-68138.720000000001</v>
      </c>
      <c r="EQ168" s="229">
        <v>-0.35980000000000001</v>
      </c>
      <c r="ER168" s="231">
        <v>69622</v>
      </c>
      <c r="ES168" s="231">
        <v>45108</v>
      </c>
      <c r="ET168" s="231">
        <v>210772</v>
      </c>
      <c r="EU168" s="231">
        <v>488832949</v>
      </c>
      <c r="EV168" s="231">
        <v>325502</v>
      </c>
      <c r="EW168" s="231">
        <v>322804</v>
      </c>
      <c r="EX168" s="231">
        <v>2698</v>
      </c>
      <c r="EY168" s="229">
        <v>8.3999999999999995E-3</v>
      </c>
      <c r="EZ168" s="229">
        <v>0.22989999999999999</v>
      </c>
      <c r="FA168" s="227" t="s">
        <v>568</v>
      </c>
      <c r="FB168" s="161">
        <f t="shared" si="4"/>
        <v>0</v>
      </c>
    </row>
    <row r="169" spans="1:158" ht="17.25" thickBot="1" x14ac:dyDescent="0.3">
      <c r="A169" s="226">
        <v>45936</v>
      </c>
      <c r="B169" s="227" t="s">
        <v>690</v>
      </c>
      <c r="C169" s="227" t="s">
        <v>689</v>
      </c>
      <c r="D169" s="228">
        <v>50</v>
      </c>
      <c r="E169" s="231">
        <v>18305</v>
      </c>
      <c r="F169" s="231">
        <v>18290</v>
      </c>
      <c r="G169" s="228">
        <v>15</v>
      </c>
      <c r="H169" s="229">
        <v>8.0000000000000004E-4</v>
      </c>
      <c r="I169" s="231">
        <v>18203</v>
      </c>
      <c r="J169" s="231">
        <v>18223</v>
      </c>
      <c r="K169" s="228">
        <v>-20</v>
      </c>
      <c r="L169" s="229">
        <v>-1.1000000000000001E-3</v>
      </c>
      <c r="M169" s="231">
        <v>18305</v>
      </c>
      <c r="N169" s="231">
        <v>18290</v>
      </c>
      <c r="O169" s="228">
        <v>15</v>
      </c>
      <c r="P169" s="229">
        <v>8.0000000000000004E-4</v>
      </c>
      <c r="Q169" s="231">
        <v>18338</v>
      </c>
      <c r="R169" s="231">
        <v>18403</v>
      </c>
      <c r="S169" s="228">
        <v>-65</v>
      </c>
      <c r="T169" s="229">
        <v>-3.5000000000000001E-3</v>
      </c>
      <c r="U169" s="228">
        <v>0</v>
      </c>
      <c r="V169" s="228">
        <v>0</v>
      </c>
      <c r="W169" s="228">
        <v>0</v>
      </c>
      <c r="X169" s="229">
        <v>0</v>
      </c>
      <c r="Y169" s="228">
        <v>102</v>
      </c>
      <c r="Z169" s="228">
        <v>67</v>
      </c>
      <c r="AA169" s="228">
        <v>35</v>
      </c>
      <c r="AB169" s="229">
        <v>5.5999999999999999E-3</v>
      </c>
      <c r="AC169" s="228">
        <v>102</v>
      </c>
      <c r="AD169" s="228">
        <v>67</v>
      </c>
      <c r="AE169" s="228">
        <v>35</v>
      </c>
      <c r="AF169" s="229">
        <v>5.5999999999999999E-3</v>
      </c>
      <c r="AG169" s="228">
        <v>135</v>
      </c>
      <c r="AH169" s="228">
        <v>180</v>
      </c>
      <c r="AI169" s="228">
        <v>-45</v>
      </c>
      <c r="AJ169" s="229">
        <v>7.4000000000000003E-3</v>
      </c>
      <c r="AK169" s="228">
        <v>0</v>
      </c>
      <c r="AL169" s="228">
        <v>0</v>
      </c>
      <c r="AM169" s="228">
        <v>0</v>
      </c>
      <c r="AN169" s="229">
        <v>0</v>
      </c>
      <c r="AO169" s="231">
        <v>18394.97</v>
      </c>
      <c r="AP169" s="231">
        <v>18412</v>
      </c>
      <c r="AQ169" s="228">
        <v>0</v>
      </c>
      <c r="AR169" s="230">
        <v>19000</v>
      </c>
      <c r="AS169" s="230">
        <v>19300</v>
      </c>
      <c r="AT169" s="228">
        <v>-300</v>
      </c>
      <c r="AU169" s="229">
        <v>-1.55E-2</v>
      </c>
      <c r="AV169" s="230">
        <v>18500</v>
      </c>
      <c r="AW169" s="230">
        <v>19000</v>
      </c>
      <c r="AX169" s="228">
        <v>-500</v>
      </c>
      <c r="AY169" s="229">
        <v>-2.63E-2</v>
      </c>
      <c r="AZ169" s="228">
        <v>500</v>
      </c>
      <c r="BA169" s="228">
        <v>300</v>
      </c>
      <c r="BB169" s="228">
        <v>200</v>
      </c>
      <c r="BC169" s="229">
        <v>0.66669999999999996</v>
      </c>
      <c r="BD169" s="228">
        <v>0</v>
      </c>
      <c r="BE169" s="228">
        <v>0</v>
      </c>
      <c r="BF169" s="228">
        <v>0</v>
      </c>
      <c r="BG169" s="229">
        <v>0</v>
      </c>
      <c r="BH169" s="230">
        <v>11950</v>
      </c>
      <c r="BI169" s="230">
        <v>30100</v>
      </c>
      <c r="BJ169" s="230">
        <v>-18150</v>
      </c>
      <c r="BK169" s="229">
        <v>-0.60299999999999998</v>
      </c>
      <c r="BL169" s="230">
        <v>3550</v>
      </c>
      <c r="BM169" s="230">
        <v>4400</v>
      </c>
      <c r="BN169" s="228">
        <v>-850</v>
      </c>
      <c r="BO169" s="229">
        <v>-0.19320000000000001</v>
      </c>
      <c r="BP169" s="230">
        <v>34500</v>
      </c>
      <c r="BQ169" s="230">
        <v>53800</v>
      </c>
      <c r="BR169" s="230">
        <v>-19300</v>
      </c>
      <c r="BS169" s="229">
        <v>-0.35870000000000002</v>
      </c>
      <c r="BT169" s="230">
        <v>46976</v>
      </c>
      <c r="BU169" s="230">
        <v>78931</v>
      </c>
      <c r="BV169" s="230">
        <v>-31955</v>
      </c>
      <c r="BW169" s="229">
        <v>-0.40479999999999999</v>
      </c>
      <c r="BX169" s="230">
        <v>19800</v>
      </c>
      <c r="BY169" s="230">
        <v>13700</v>
      </c>
      <c r="BZ169" s="230">
        <v>6100</v>
      </c>
      <c r="CA169" s="229">
        <v>0.44529999999999997</v>
      </c>
      <c r="CB169" s="230">
        <v>19550</v>
      </c>
      <c r="CC169" s="230">
        <v>13500</v>
      </c>
      <c r="CD169" s="230">
        <v>6050</v>
      </c>
      <c r="CE169" s="229">
        <v>0.4481</v>
      </c>
      <c r="CF169" s="228">
        <v>250</v>
      </c>
      <c r="CG169" s="228">
        <v>200</v>
      </c>
      <c r="CH169" s="228">
        <v>50</v>
      </c>
      <c r="CI169" s="229">
        <v>0.25</v>
      </c>
      <c r="CJ169" s="228">
        <v>0</v>
      </c>
      <c r="CK169" s="228">
        <v>0</v>
      </c>
      <c r="CL169" s="228">
        <v>0</v>
      </c>
      <c r="CM169" s="229">
        <v>0</v>
      </c>
      <c r="CN169" s="230">
        <v>17050</v>
      </c>
      <c r="CO169" s="230">
        <v>12900</v>
      </c>
      <c r="CP169" s="230">
        <v>4150</v>
      </c>
      <c r="CQ169" s="229">
        <v>0.32169999999999999</v>
      </c>
      <c r="CR169" s="230">
        <v>2900</v>
      </c>
      <c r="CS169" s="230">
        <v>1500</v>
      </c>
      <c r="CT169" s="230">
        <v>1400</v>
      </c>
      <c r="CU169" s="229">
        <v>0.93330000000000002</v>
      </c>
      <c r="CV169" s="230">
        <v>39750</v>
      </c>
      <c r="CW169" s="230">
        <v>28100</v>
      </c>
      <c r="CX169" s="230">
        <v>11650</v>
      </c>
      <c r="CY169" s="229">
        <v>0.41460000000000002</v>
      </c>
      <c r="CZ169" s="228">
        <v>36.130000000000003</v>
      </c>
      <c r="DA169" s="228">
        <v>36.229999999999997</v>
      </c>
      <c r="DB169" s="228">
        <v>-0.1</v>
      </c>
      <c r="DC169" s="228">
        <v>-0.1</v>
      </c>
      <c r="DD169" s="228">
        <v>58.81</v>
      </c>
      <c r="DE169" s="228">
        <v>58.96</v>
      </c>
      <c r="DF169" s="228">
        <v>-22.68</v>
      </c>
      <c r="DG169" s="228">
        <v>-0.15</v>
      </c>
      <c r="DH169" s="228">
        <v>36.340000000000003</v>
      </c>
      <c r="DI169" s="228">
        <v>36.46</v>
      </c>
      <c r="DJ169" s="228">
        <v>-0.12</v>
      </c>
      <c r="DK169" s="228">
        <v>-0.12</v>
      </c>
      <c r="DL169" s="228">
        <v>35.42</v>
      </c>
      <c r="DM169" s="228">
        <v>34.659999999999997</v>
      </c>
      <c r="DN169" s="228">
        <v>0.76</v>
      </c>
      <c r="DO169" s="228">
        <v>0.76</v>
      </c>
      <c r="DP169" s="228">
        <v>0.17</v>
      </c>
      <c r="DQ169" s="228">
        <v>0.12</v>
      </c>
      <c r="DR169" s="228">
        <v>0.05</v>
      </c>
      <c r="DS169" s="229">
        <v>0.41670000000000001</v>
      </c>
      <c r="DT169" s="231">
        <v>20000</v>
      </c>
      <c r="DU169" s="231">
        <v>18000</v>
      </c>
      <c r="DV169" s="228">
        <v>0.3</v>
      </c>
      <c r="DW169" s="228">
        <v>0.15</v>
      </c>
      <c r="DX169" s="228">
        <v>0.15</v>
      </c>
      <c r="DY169" s="229">
        <v>1</v>
      </c>
      <c r="DZ169" s="229">
        <v>1.26E-2</v>
      </c>
      <c r="EA169" s="228">
        <v>200</v>
      </c>
      <c r="EB169" s="229">
        <v>1.8E-3</v>
      </c>
      <c r="EC169" s="229">
        <v>1.26E-2</v>
      </c>
      <c r="ED169" s="228">
        <v>17.03</v>
      </c>
      <c r="EE169" s="229">
        <v>8.9999999999999998E-4</v>
      </c>
      <c r="EF169" s="230">
        <v>19259</v>
      </c>
      <c r="EG169" s="230">
        <v>27623</v>
      </c>
      <c r="EH169" s="229">
        <v>-0.30280000000000001</v>
      </c>
      <c r="EI169" s="229">
        <v>0.41</v>
      </c>
      <c r="EJ169" s="231">
        <v>2376.27</v>
      </c>
      <c r="EK169" s="228">
        <v>634.09</v>
      </c>
      <c r="EL169" s="231">
        <v>3495.13</v>
      </c>
      <c r="EM169" s="228">
        <v>293</v>
      </c>
      <c r="EN169" s="231">
        <v>6505.49</v>
      </c>
      <c r="EO169" s="231">
        <v>10264.52</v>
      </c>
      <c r="EP169" s="231">
        <v>-3759.03</v>
      </c>
      <c r="EQ169" s="229">
        <v>-0.36620000000000003</v>
      </c>
      <c r="ER169" s="231">
        <v>3298</v>
      </c>
      <c r="ES169" s="228">
        <v>512</v>
      </c>
      <c r="ET169" s="231">
        <v>3624</v>
      </c>
      <c r="EU169" s="231">
        <v>1917916</v>
      </c>
      <c r="EV169" s="231">
        <v>7434</v>
      </c>
      <c r="EW169" s="231">
        <v>5251</v>
      </c>
      <c r="EX169" s="231">
        <v>2183</v>
      </c>
      <c r="EY169" s="229">
        <v>0.41570000000000001</v>
      </c>
      <c r="EZ169" s="229">
        <v>2.07E-2</v>
      </c>
      <c r="FA169" s="227" t="s">
        <v>555</v>
      </c>
      <c r="FB169" s="161">
        <f t="shared" si="4"/>
        <v>0</v>
      </c>
    </row>
    <row r="170" spans="1:158" ht="17.25" thickBot="1" x14ac:dyDescent="0.3">
      <c r="A170" s="226">
        <v>45936</v>
      </c>
      <c r="B170" s="227" t="s">
        <v>170</v>
      </c>
      <c r="C170" s="227" t="s">
        <v>680</v>
      </c>
      <c r="D170" s="228">
        <v>2500</v>
      </c>
      <c r="E170" s="228">
        <v>196.6</v>
      </c>
      <c r="F170" s="228">
        <v>199.55</v>
      </c>
      <c r="G170" s="228">
        <v>-2.95</v>
      </c>
      <c r="H170" s="229">
        <v>-1.4800000000000001E-2</v>
      </c>
      <c r="I170" s="228">
        <v>195.61</v>
      </c>
      <c r="J170" s="228">
        <v>198.47</v>
      </c>
      <c r="K170" s="228">
        <v>-2.86</v>
      </c>
      <c r="L170" s="229">
        <v>-1.44E-2</v>
      </c>
      <c r="M170" s="228">
        <v>196.6</v>
      </c>
      <c r="N170" s="228">
        <v>199.55</v>
      </c>
      <c r="O170" s="228">
        <v>-2.95</v>
      </c>
      <c r="P170" s="229">
        <v>-1.4800000000000001E-2</v>
      </c>
      <c r="Q170" s="228">
        <v>197.5</v>
      </c>
      <c r="R170" s="228">
        <v>200.8</v>
      </c>
      <c r="S170" s="228">
        <v>-3.3</v>
      </c>
      <c r="T170" s="229">
        <v>-1.6400000000000001E-2</v>
      </c>
      <c r="U170" s="228">
        <v>198.3</v>
      </c>
      <c r="V170" s="228">
        <v>202.15</v>
      </c>
      <c r="W170" s="228">
        <v>-3.85</v>
      </c>
      <c r="X170" s="229">
        <v>-1.9E-2</v>
      </c>
      <c r="Y170" s="228">
        <v>0.99</v>
      </c>
      <c r="Z170" s="228">
        <v>1.08</v>
      </c>
      <c r="AA170" s="228">
        <v>-0.09</v>
      </c>
      <c r="AB170" s="229">
        <v>5.1000000000000004E-3</v>
      </c>
      <c r="AC170" s="228">
        <v>0.99</v>
      </c>
      <c r="AD170" s="228">
        <v>1.08</v>
      </c>
      <c r="AE170" s="228">
        <v>-0.09</v>
      </c>
      <c r="AF170" s="229">
        <v>5.1000000000000004E-3</v>
      </c>
      <c r="AG170" s="228">
        <v>1.89</v>
      </c>
      <c r="AH170" s="228">
        <v>2.33</v>
      </c>
      <c r="AI170" s="228">
        <v>-0.44</v>
      </c>
      <c r="AJ170" s="229">
        <v>9.7000000000000003E-3</v>
      </c>
      <c r="AK170" s="228">
        <v>2.69</v>
      </c>
      <c r="AL170" s="228">
        <v>3.68</v>
      </c>
      <c r="AM170" s="228">
        <v>-0.99</v>
      </c>
      <c r="AN170" s="229">
        <v>1.38E-2</v>
      </c>
      <c r="AO170" s="228">
        <v>196.7</v>
      </c>
      <c r="AP170" s="228">
        <v>197.58</v>
      </c>
      <c r="AQ170" s="228">
        <v>0</v>
      </c>
      <c r="AR170" s="230">
        <v>2725000</v>
      </c>
      <c r="AS170" s="230">
        <v>2630000</v>
      </c>
      <c r="AT170" s="230">
        <v>95000</v>
      </c>
      <c r="AU170" s="229">
        <v>3.61E-2</v>
      </c>
      <c r="AV170" s="230">
        <v>2552500</v>
      </c>
      <c r="AW170" s="230">
        <v>2487500</v>
      </c>
      <c r="AX170" s="230">
        <v>65000</v>
      </c>
      <c r="AY170" s="229">
        <v>2.6100000000000002E-2</v>
      </c>
      <c r="AZ170" s="230">
        <v>110000</v>
      </c>
      <c r="BA170" s="230">
        <v>140000</v>
      </c>
      <c r="BB170" s="230">
        <v>-30000</v>
      </c>
      <c r="BC170" s="229">
        <v>-0.21429999999999999</v>
      </c>
      <c r="BD170" s="230">
        <v>62500</v>
      </c>
      <c r="BE170" s="230">
        <v>2500</v>
      </c>
      <c r="BF170" s="230">
        <v>60000</v>
      </c>
      <c r="BG170" s="229">
        <v>24</v>
      </c>
      <c r="BH170" s="230">
        <v>5100000</v>
      </c>
      <c r="BI170" s="230">
        <v>4765000</v>
      </c>
      <c r="BJ170" s="230">
        <v>335000</v>
      </c>
      <c r="BK170" s="229">
        <v>7.0300000000000001E-2</v>
      </c>
      <c r="BL170" s="230">
        <v>3102500</v>
      </c>
      <c r="BM170" s="230">
        <v>2262500</v>
      </c>
      <c r="BN170" s="230">
        <v>840000</v>
      </c>
      <c r="BO170" s="229">
        <v>0.37130000000000002</v>
      </c>
      <c r="BP170" s="230">
        <v>10927500</v>
      </c>
      <c r="BQ170" s="230">
        <v>9657500</v>
      </c>
      <c r="BR170" s="230">
        <v>1270000</v>
      </c>
      <c r="BS170" s="229">
        <v>0.13150000000000001</v>
      </c>
      <c r="BT170" s="230">
        <v>1726378</v>
      </c>
      <c r="BU170" s="230">
        <v>2694939</v>
      </c>
      <c r="BV170" s="230">
        <v>-968561</v>
      </c>
      <c r="BW170" s="229">
        <v>-0.3594</v>
      </c>
      <c r="BX170" s="230">
        <v>17332500</v>
      </c>
      <c r="BY170" s="230">
        <v>17292500</v>
      </c>
      <c r="BZ170" s="230">
        <v>40000</v>
      </c>
      <c r="CA170" s="229">
        <v>2.3E-3</v>
      </c>
      <c r="CB170" s="230">
        <v>16452500</v>
      </c>
      <c r="CC170" s="230">
        <v>16470000</v>
      </c>
      <c r="CD170" s="230">
        <v>-17500</v>
      </c>
      <c r="CE170" s="229">
        <v>-1.1000000000000001E-3</v>
      </c>
      <c r="CF170" s="230">
        <v>840000</v>
      </c>
      <c r="CG170" s="230">
        <v>820000</v>
      </c>
      <c r="CH170" s="230">
        <v>20000</v>
      </c>
      <c r="CI170" s="229">
        <v>2.4400000000000002E-2</v>
      </c>
      <c r="CJ170" s="230">
        <v>40000</v>
      </c>
      <c r="CK170" s="230">
        <v>2500</v>
      </c>
      <c r="CL170" s="230">
        <v>37500</v>
      </c>
      <c r="CM170" s="229">
        <v>15</v>
      </c>
      <c r="CN170" s="230">
        <v>9497500</v>
      </c>
      <c r="CO170" s="230">
        <v>8440000</v>
      </c>
      <c r="CP170" s="230">
        <v>1057500</v>
      </c>
      <c r="CQ170" s="229">
        <v>0.12529999999999999</v>
      </c>
      <c r="CR170" s="230">
        <v>4012500</v>
      </c>
      <c r="CS170" s="230">
        <v>3570000</v>
      </c>
      <c r="CT170" s="230">
        <v>442500</v>
      </c>
      <c r="CU170" s="229">
        <v>0.1239</v>
      </c>
      <c r="CV170" s="230">
        <v>30842500</v>
      </c>
      <c r="CW170" s="230">
        <v>29302500</v>
      </c>
      <c r="CX170" s="230">
        <v>1540000</v>
      </c>
      <c r="CY170" s="229">
        <v>5.2600000000000001E-2</v>
      </c>
      <c r="CZ170" s="228">
        <v>34.11</v>
      </c>
      <c r="DA170" s="228">
        <v>33.24</v>
      </c>
      <c r="DB170" s="228">
        <v>0.87</v>
      </c>
      <c r="DC170" s="228">
        <v>0.87</v>
      </c>
      <c r="DD170" s="228">
        <v>47.56</v>
      </c>
      <c r="DE170" s="228">
        <v>47.63</v>
      </c>
      <c r="DF170" s="228">
        <v>-13.45</v>
      </c>
      <c r="DG170" s="228">
        <v>-7.0000000000000007E-2</v>
      </c>
      <c r="DH170" s="228">
        <v>33.86</v>
      </c>
      <c r="DI170" s="228">
        <v>33.08</v>
      </c>
      <c r="DJ170" s="228">
        <v>0.78</v>
      </c>
      <c r="DK170" s="228">
        <v>0.78</v>
      </c>
      <c r="DL170" s="228">
        <v>34.53</v>
      </c>
      <c r="DM170" s="228">
        <v>33.58</v>
      </c>
      <c r="DN170" s="228">
        <v>0.95</v>
      </c>
      <c r="DO170" s="228">
        <v>0.95</v>
      </c>
      <c r="DP170" s="228">
        <v>0.42</v>
      </c>
      <c r="DQ170" s="228">
        <v>0.42</v>
      </c>
      <c r="DR170" s="228">
        <v>0</v>
      </c>
      <c r="DS170" s="229">
        <v>0</v>
      </c>
      <c r="DT170" s="228">
        <v>215</v>
      </c>
      <c r="DU170" s="228">
        <v>180</v>
      </c>
      <c r="DV170" s="228">
        <v>0.61</v>
      </c>
      <c r="DW170" s="228">
        <v>0.47</v>
      </c>
      <c r="DX170" s="228">
        <v>0.14000000000000001</v>
      </c>
      <c r="DY170" s="229">
        <v>0.2979</v>
      </c>
      <c r="DZ170" s="229">
        <v>5.0799999999999998E-2</v>
      </c>
      <c r="EA170" s="230">
        <v>822500</v>
      </c>
      <c r="EB170" s="229">
        <v>4.5999999999999999E-3</v>
      </c>
      <c r="EC170" s="229">
        <v>5.0799999999999998E-2</v>
      </c>
      <c r="ED170" s="228">
        <v>0.88</v>
      </c>
      <c r="EE170" s="229">
        <v>4.4999999999999997E-3</v>
      </c>
      <c r="EF170" s="230">
        <v>651273</v>
      </c>
      <c r="EG170" s="230">
        <v>1276613</v>
      </c>
      <c r="EH170" s="229">
        <v>-0.48980000000000001</v>
      </c>
      <c r="EI170" s="229">
        <v>0.37719999999999998</v>
      </c>
      <c r="EJ170" s="231">
        <v>10647.29</v>
      </c>
      <c r="EK170" s="231">
        <v>6220.4</v>
      </c>
      <c r="EL170" s="231">
        <v>5362.22</v>
      </c>
      <c r="EM170" s="231">
        <v>3549</v>
      </c>
      <c r="EN170" s="231">
        <v>22229.91</v>
      </c>
      <c r="EO170" s="231">
        <v>19851.05</v>
      </c>
      <c r="EP170" s="231">
        <v>2378.86</v>
      </c>
      <c r="EQ170" s="229">
        <v>0.1198</v>
      </c>
      <c r="ER170" s="231">
        <v>20020</v>
      </c>
      <c r="ES170" s="231">
        <v>7664</v>
      </c>
      <c r="ET170" s="231">
        <v>34084</v>
      </c>
      <c r="EU170" s="231">
        <v>120138597</v>
      </c>
      <c r="EV170" s="231">
        <v>61769</v>
      </c>
      <c r="EW170" s="231">
        <v>59127</v>
      </c>
      <c r="EX170" s="231">
        <v>2642</v>
      </c>
      <c r="EY170" s="229">
        <v>4.4699999999999997E-2</v>
      </c>
      <c r="EZ170" s="229">
        <v>0.25669999999999998</v>
      </c>
      <c r="FA170" s="227" t="s">
        <v>567</v>
      </c>
      <c r="FB170" s="161">
        <f t="shared" si="4"/>
        <v>0</v>
      </c>
    </row>
    <row r="171" spans="1:158" ht="17.25" thickBot="1" x14ac:dyDescent="0.3">
      <c r="A171" s="226">
        <v>45936</v>
      </c>
      <c r="B171" s="227" t="s">
        <v>206</v>
      </c>
      <c r="C171" s="227" t="s">
        <v>606</v>
      </c>
      <c r="D171" s="228">
        <v>450</v>
      </c>
      <c r="E171" s="231">
        <v>1548.3</v>
      </c>
      <c r="F171" s="231">
        <v>1540.2</v>
      </c>
      <c r="G171" s="228">
        <v>8.1</v>
      </c>
      <c r="H171" s="229">
        <v>5.3E-3</v>
      </c>
      <c r="I171" s="231">
        <v>1541.3</v>
      </c>
      <c r="J171" s="231">
        <v>1530.1</v>
      </c>
      <c r="K171" s="228">
        <v>11.2</v>
      </c>
      <c r="L171" s="229">
        <v>7.3000000000000001E-3</v>
      </c>
      <c r="M171" s="231">
        <v>1548.3</v>
      </c>
      <c r="N171" s="231">
        <v>1540.2</v>
      </c>
      <c r="O171" s="228">
        <v>8.1</v>
      </c>
      <c r="P171" s="229">
        <v>5.3E-3</v>
      </c>
      <c r="Q171" s="231">
        <v>1556</v>
      </c>
      <c r="R171" s="231">
        <v>1547.5</v>
      </c>
      <c r="S171" s="228">
        <v>8.5</v>
      </c>
      <c r="T171" s="229">
        <v>5.4999999999999997E-3</v>
      </c>
      <c r="U171" s="231">
        <v>1550</v>
      </c>
      <c r="V171" s="231">
        <v>1556</v>
      </c>
      <c r="W171" s="228">
        <v>-6</v>
      </c>
      <c r="X171" s="229">
        <v>-3.8999999999999998E-3</v>
      </c>
      <c r="Y171" s="228">
        <v>7</v>
      </c>
      <c r="Z171" s="228">
        <v>10.1</v>
      </c>
      <c r="AA171" s="228">
        <v>-3.1</v>
      </c>
      <c r="AB171" s="229">
        <v>4.4999999999999997E-3</v>
      </c>
      <c r="AC171" s="228">
        <v>7</v>
      </c>
      <c r="AD171" s="228">
        <v>10.1</v>
      </c>
      <c r="AE171" s="228">
        <v>-3.1</v>
      </c>
      <c r="AF171" s="229">
        <v>4.4999999999999997E-3</v>
      </c>
      <c r="AG171" s="228">
        <v>14.7</v>
      </c>
      <c r="AH171" s="228">
        <v>17.399999999999999</v>
      </c>
      <c r="AI171" s="228">
        <v>-2.7</v>
      </c>
      <c r="AJ171" s="229">
        <v>9.4999999999999998E-3</v>
      </c>
      <c r="AK171" s="228">
        <v>8.6999999999999993</v>
      </c>
      <c r="AL171" s="228">
        <v>25.9</v>
      </c>
      <c r="AM171" s="228">
        <v>-17.2</v>
      </c>
      <c r="AN171" s="229">
        <v>5.5999999999999999E-3</v>
      </c>
      <c r="AO171" s="231">
        <v>1544.1</v>
      </c>
      <c r="AP171" s="231">
        <v>1553</v>
      </c>
      <c r="AQ171" s="228">
        <v>0</v>
      </c>
      <c r="AR171" s="230">
        <v>673650</v>
      </c>
      <c r="AS171" s="230">
        <v>899550</v>
      </c>
      <c r="AT171" s="230">
        <v>-225900</v>
      </c>
      <c r="AU171" s="229">
        <v>-0.25109999999999999</v>
      </c>
      <c r="AV171" s="230">
        <v>645750</v>
      </c>
      <c r="AW171" s="230">
        <v>870750</v>
      </c>
      <c r="AX171" s="230">
        <v>-225000</v>
      </c>
      <c r="AY171" s="229">
        <v>-0.25840000000000002</v>
      </c>
      <c r="AZ171" s="230">
        <v>27000</v>
      </c>
      <c r="BA171" s="230">
        <v>25200</v>
      </c>
      <c r="BB171" s="230">
        <v>1800</v>
      </c>
      <c r="BC171" s="229">
        <v>7.1400000000000005E-2</v>
      </c>
      <c r="BD171" s="228">
        <v>900</v>
      </c>
      <c r="BE171" s="230">
        <v>3600</v>
      </c>
      <c r="BF171" s="230">
        <v>-2700</v>
      </c>
      <c r="BG171" s="229">
        <v>-0.75</v>
      </c>
      <c r="BH171" s="230">
        <v>1015650</v>
      </c>
      <c r="BI171" s="230">
        <v>916200</v>
      </c>
      <c r="BJ171" s="230">
        <v>99450</v>
      </c>
      <c r="BK171" s="229">
        <v>0.1085</v>
      </c>
      <c r="BL171" s="230">
        <v>497250</v>
      </c>
      <c r="BM171" s="230">
        <v>565200</v>
      </c>
      <c r="BN171" s="230">
        <v>-67950</v>
      </c>
      <c r="BO171" s="229">
        <v>-0.1202</v>
      </c>
      <c r="BP171" s="230">
        <v>2186550</v>
      </c>
      <c r="BQ171" s="230">
        <v>2380950</v>
      </c>
      <c r="BR171" s="230">
        <v>-194400</v>
      </c>
      <c r="BS171" s="229">
        <v>-8.1600000000000006E-2</v>
      </c>
      <c r="BT171" s="230">
        <v>513667</v>
      </c>
      <c r="BU171" s="230">
        <v>620248</v>
      </c>
      <c r="BV171" s="230">
        <v>-106581</v>
      </c>
      <c r="BW171" s="229">
        <v>-0.17180000000000001</v>
      </c>
      <c r="BX171" s="230">
        <v>4632750</v>
      </c>
      <c r="BY171" s="230">
        <v>4511700</v>
      </c>
      <c r="BZ171" s="230">
        <v>121050</v>
      </c>
      <c r="CA171" s="229">
        <v>2.6800000000000001E-2</v>
      </c>
      <c r="CB171" s="230">
        <v>4579200</v>
      </c>
      <c r="CC171" s="230">
        <v>4469850</v>
      </c>
      <c r="CD171" s="230">
        <v>109350</v>
      </c>
      <c r="CE171" s="229">
        <v>2.4500000000000001E-2</v>
      </c>
      <c r="CF171" s="230">
        <v>49500</v>
      </c>
      <c r="CG171" s="230">
        <v>38250</v>
      </c>
      <c r="CH171" s="230">
        <v>11250</v>
      </c>
      <c r="CI171" s="229">
        <v>0.29409999999999997</v>
      </c>
      <c r="CJ171" s="230">
        <v>4050</v>
      </c>
      <c r="CK171" s="230">
        <v>3600</v>
      </c>
      <c r="CL171" s="228">
        <v>450</v>
      </c>
      <c r="CM171" s="229">
        <v>0.125</v>
      </c>
      <c r="CN171" s="230">
        <v>937800</v>
      </c>
      <c r="CO171" s="230">
        <v>808200</v>
      </c>
      <c r="CP171" s="230">
        <v>129600</v>
      </c>
      <c r="CQ171" s="229">
        <v>0.16039999999999999</v>
      </c>
      <c r="CR171" s="230">
        <v>810900</v>
      </c>
      <c r="CS171" s="230">
        <v>778950</v>
      </c>
      <c r="CT171" s="230">
        <v>31950</v>
      </c>
      <c r="CU171" s="229">
        <v>4.1000000000000002E-2</v>
      </c>
      <c r="CV171" s="230">
        <v>6381450</v>
      </c>
      <c r="CW171" s="230">
        <v>6098850</v>
      </c>
      <c r="CX171" s="230">
        <v>282600</v>
      </c>
      <c r="CY171" s="229">
        <v>4.6300000000000001E-2</v>
      </c>
      <c r="CZ171" s="228">
        <v>32.36</v>
      </c>
      <c r="DA171" s="228">
        <v>30.97</v>
      </c>
      <c r="DB171" s="228">
        <v>1.39</v>
      </c>
      <c r="DC171" s="228">
        <v>1.39</v>
      </c>
      <c r="DD171" s="228">
        <v>47.37</v>
      </c>
      <c r="DE171" s="228">
        <v>47.49</v>
      </c>
      <c r="DF171" s="228">
        <v>-15.01</v>
      </c>
      <c r="DG171" s="228">
        <v>-0.12</v>
      </c>
      <c r="DH171" s="228">
        <v>32.01</v>
      </c>
      <c r="DI171" s="228">
        <v>30.83</v>
      </c>
      <c r="DJ171" s="228">
        <v>1.18</v>
      </c>
      <c r="DK171" s="228">
        <v>1.18</v>
      </c>
      <c r="DL171" s="228">
        <v>33.090000000000003</v>
      </c>
      <c r="DM171" s="228">
        <v>31.21</v>
      </c>
      <c r="DN171" s="228">
        <v>1.88</v>
      </c>
      <c r="DO171" s="228">
        <v>1.88</v>
      </c>
      <c r="DP171" s="228">
        <v>0.86</v>
      </c>
      <c r="DQ171" s="228">
        <v>0.96</v>
      </c>
      <c r="DR171" s="228">
        <v>-0.1</v>
      </c>
      <c r="DS171" s="229">
        <v>-0.1042</v>
      </c>
      <c r="DT171" s="231">
        <v>1600</v>
      </c>
      <c r="DU171" s="231">
        <v>1600</v>
      </c>
      <c r="DV171" s="228">
        <v>0.49</v>
      </c>
      <c r="DW171" s="228">
        <v>0.62</v>
      </c>
      <c r="DX171" s="228">
        <v>-0.13</v>
      </c>
      <c r="DY171" s="229">
        <v>-0.2097</v>
      </c>
      <c r="DZ171" s="229">
        <v>1.1599999999999999E-2</v>
      </c>
      <c r="EA171" s="230">
        <v>41850</v>
      </c>
      <c r="EB171" s="229">
        <v>5.0000000000000001E-3</v>
      </c>
      <c r="EC171" s="229">
        <v>1.1599999999999999E-2</v>
      </c>
      <c r="ED171" s="228">
        <v>8.9</v>
      </c>
      <c r="EE171" s="229">
        <v>5.7999999999999996E-3</v>
      </c>
      <c r="EF171" s="230">
        <v>283563</v>
      </c>
      <c r="EG171" s="230">
        <v>326267</v>
      </c>
      <c r="EH171" s="229">
        <v>-0.13089999999999999</v>
      </c>
      <c r="EI171" s="229">
        <v>0.55200000000000005</v>
      </c>
      <c r="EJ171" s="231">
        <v>16500.240000000002</v>
      </c>
      <c r="EK171" s="231">
        <v>7569.5</v>
      </c>
      <c r="EL171" s="231">
        <v>10404.33</v>
      </c>
      <c r="EM171" s="231">
        <v>4662</v>
      </c>
      <c r="EN171" s="231">
        <v>34474.07</v>
      </c>
      <c r="EO171" s="231">
        <v>37436.050000000003</v>
      </c>
      <c r="EP171" s="231">
        <v>-2961.98</v>
      </c>
      <c r="EQ171" s="229">
        <v>-7.9100000000000004E-2</v>
      </c>
      <c r="ER171" s="231">
        <v>15146</v>
      </c>
      <c r="ES171" s="231">
        <v>12370</v>
      </c>
      <c r="ET171" s="231">
        <v>71733</v>
      </c>
      <c r="EU171" s="231">
        <v>25234534</v>
      </c>
      <c r="EV171" s="231">
        <v>99249</v>
      </c>
      <c r="EW171" s="231">
        <v>94425</v>
      </c>
      <c r="EX171" s="231">
        <v>4824</v>
      </c>
      <c r="EY171" s="229">
        <v>5.11E-2</v>
      </c>
      <c r="EZ171" s="229">
        <v>0.25290000000000001</v>
      </c>
      <c r="FA171" s="227" t="s">
        <v>555</v>
      </c>
      <c r="FB171" s="161">
        <f t="shared" si="4"/>
        <v>0</v>
      </c>
    </row>
    <row r="172" spans="1:158" ht="17.25" thickBot="1" x14ac:dyDescent="0.3">
      <c r="A172" s="226">
        <v>45936</v>
      </c>
      <c r="B172" s="227" t="s">
        <v>172</v>
      </c>
      <c r="C172" s="227" t="s">
        <v>279</v>
      </c>
      <c r="D172" s="228">
        <v>3175</v>
      </c>
      <c r="E172" s="228">
        <v>277.8</v>
      </c>
      <c r="F172" s="228">
        <v>277.25</v>
      </c>
      <c r="G172" s="228">
        <v>0.55000000000000004</v>
      </c>
      <c r="H172" s="229">
        <v>2E-3</v>
      </c>
      <c r="I172" s="228">
        <v>275.60000000000002</v>
      </c>
      <c r="J172" s="228">
        <v>275.89999999999998</v>
      </c>
      <c r="K172" s="228">
        <v>-0.3</v>
      </c>
      <c r="L172" s="229">
        <v>-1.1000000000000001E-3</v>
      </c>
      <c r="M172" s="228">
        <v>277.8</v>
      </c>
      <c r="N172" s="228">
        <v>277.25</v>
      </c>
      <c r="O172" s="228">
        <v>0.55000000000000004</v>
      </c>
      <c r="P172" s="229">
        <v>2E-3</v>
      </c>
      <c r="Q172" s="228">
        <v>278.55</v>
      </c>
      <c r="R172" s="228">
        <v>278.7</v>
      </c>
      <c r="S172" s="228">
        <v>-0.15</v>
      </c>
      <c r="T172" s="229">
        <v>-5.0000000000000001E-4</v>
      </c>
      <c r="U172" s="228">
        <v>280.10000000000002</v>
      </c>
      <c r="V172" s="228">
        <v>280.10000000000002</v>
      </c>
      <c r="W172" s="228">
        <v>0</v>
      </c>
      <c r="X172" s="229">
        <v>0</v>
      </c>
      <c r="Y172" s="228">
        <v>2.2000000000000002</v>
      </c>
      <c r="Z172" s="228">
        <v>1.35</v>
      </c>
      <c r="AA172" s="228">
        <v>0.85</v>
      </c>
      <c r="AB172" s="229">
        <v>8.0000000000000002E-3</v>
      </c>
      <c r="AC172" s="228">
        <v>2.2000000000000002</v>
      </c>
      <c r="AD172" s="228">
        <v>1.35</v>
      </c>
      <c r="AE172" s="228">
        <v>0.85</v>
      </c>
      <c r="AF172" s="229">
        <v>8.0000000000000002E-3</v>
      </c>
      <c r="AG172" s="228">
        <v>2.95</v>
      </c>
      <c r="AH172" s="228">
        <v>2.8</v>
      </c>
      <c r="AI172" s="228">
        <v>0.15</v>
      </c>
      <c r="AJ172" s="229">
        <v>1.0699999999999999E-2</v>
      </c>
      <c r="AK172" s="228">
        <v>4.5</v>
      </c>
      <c r="AL172" s="228">
        <v>4.2</v>
      </c>
      <c r="AM172" s="228">
        <v>0.3</v>
      </c>
      <c r="AN172" s="229">
        <v>1.6299999999999999E-2</v>
      </c>
      <c r="AO172" s="228">
        <v>276.52</v>
      </c>
      <c r="AP172" s="228">
        <v>278.01</v>
      </c>
      <c r="AQ172" s="228">
        <v>0</v>
      </c>
      <c r="AR172" s="230">
        <v>1282700</v>
      </c>
      <c r="AS172" s="230">
        <v>3746500</v>
      </c>
      <c r="AT172" s="230">
        <v>-2463800</v>
      </c>
      <c r="AU172" s="229">
        <v>-0.65759999999999996</v>
      </c>
      <c r="AV172" s="230">
        <v>1263650</v>
      </c>
      <c r="AW172" s="230">
        <v>3702050</v>
      </c>
      <c r="AX172" s="230">
        <v>-2438400</v>
      </c>
      <c r="AY172" s="229">
        <v>-0.65869999999999995</v>
      </c>
      <c r="AZ172" s="230">
        <v>19050</v>
      </c>
      <c r="BA172" s="230">
        <v>44450</v>
      </c>
      <c r="BB172" s="230">
        <v>-25400</v>
      </c>
      <c r="BC172" s="229">
        <v>-0.57140000000000002</v>
      </c>
      <c r="BD172" s="228">
        <v>0</v>
      </c>
      <c r="BE172" s="228">
        <v>0</v>
      </c>
      <c r="BF172" s="228">
        <v>0</v>
      </c>
      <c r="BG172" s="229">
        <v>0</v>
      </c>
      <c r="BH172" s="230">
        <v>730250</v>
      </c>
      <c r="BI172" s="230">
        <v>942975</v>
      </c>
      <c r="BJ172" s="230">
        <v>-212725</v>
      </c>
      <c r="BK172" s="229">
        <v>-0.22559999999999999</v>
      </c>
      <c r="BL172" s="230">
        <v>257175</v>
      </c>
      <c r="BM172" s="230">
        <v>225425</v>
      </c>
      <c r="BN172" s="230">
        <v>31750</v>
      </c>
      <c r="BO172" s="229">
        <v>0.14080000000000001</v>
      </c>
      <c r="BP172" s="230">
        <v>2270125</v>
      </c>
      <c r="BQ172" s="230">
        <v>4914900</v>
      </c>
      <c r="BR172" s="230">
        <v>-2644775</v>
      </c>
      <c r="BS172" s="229">
        <v>-0.53810000000000002</v>
      </c>
      <c r="BT172" s="230">
        <v>7224789</v>
      </c>
      <c r="BU172" s="230">
        <v>10598380</v>
      </c>
      <c r="BV172" s="230">
        <v>-3373591</v>
      </c>
      <c r="BW172" s="229">
        <v>-0.31830000000000003</v>
      </c>
      <c r="BX172" s="230">
        <v>90087450</v>
      </c>
      <c r="BY172" s="230">
        <v>91303475</v>
      </c>
      <c r="BZ172" s="230">
        <v>-1216025</v>
      </c>
      <c r="CA172" s="229">
        <v>-1.3299999999999999E-2</v>
      </c>
      <c r="CB172" s="230">
        <v>86258400</v>
      </c>
      <c r="CC172" s="230">
        <v>87455375</v>
      </c>
      <c r="CD172" s="230">
        <v>-1196975</v>
      </c>
      <c r="CE172" s="229">
        <v>-1.37E-2</v>
      </c>
      <c r="CF172" s="230">
        <v>3689350</v>
      </c>
      <c r="CG172" s="230">
        <v>3708400</v>
      </c>
      <c r="CH172" s="230">
        <v>-19050</v>
      </c>
      <c r="CI172" s="229">
        <v>-5.1000000000000004E-3</v>
      </c>
      <c r="CJ172" s="230">
        <v>139700</v>
      </c>
      <c r="CK172" s="230">
        <v>139700</v>
      </c>
      <c r="CL172" s="228">
        <v>0</v>
      </c>
      <c r="CM172" s="229">
        <v>0</v>
      </c>
      <c r="CN172" s="230">
        <v>25520650</v>
      </c>
      <c r="CO172" s="230">
        <v>26244550</v>
      </c>
      <c r="CP172" s="230">
        <v>-723900</v>
      </c>
      <c r="CQ172" s="229">
        <v>-2.76E-2</v>
      </c>
      <c r="CR172" s="230">
        <v>10782300</v>
      </c>
      <c r="CS172" s="230">
        <v>11033125</v>
      </c>
      <c r="CT172" s="230">
        <v>-250825</v>
      </c>
      <c r="CU172" s="229">
        <v>-2.2700000000000001E-2</v>
      </c>
      <c r="CV172" s="230">
        <v>126390400</v>
      </c>
      <c r="CW172" s="230">
        <v>128581150</v>
      </c>
      <c r="CX172" s="230">
        <v>-2190750</v>
      </c>
      <c r="CY172" s="229">
        <v>-1.7000000000000001E-2</v>
      </c>
      <c r="CZ172" s="228">
        <v>44.14</v>
      </c>
      <c r="DA172" s="228">
        <v>44.96</v>
      </c>
      <c r="DB172" s="228">
        <v>-0.82</v>
      </c>
      <c r="DC172" s="228">
        <v>-0.82</v>
      </c>
      <c r="DD172" s="228">
        <v>46.82</v>
      </c>
      <c r="DE172" s="228">
        <v>46.94</v>
      </c>
      <c r="DF172" s="228">
        <v>-2.68</v>
      </c>
      <c r="DG172" s="228">
        <v>-0.12</v>
      </c>
      <c r="DH172" s="228">
        <v>43.31</v>
      </c>
      <c r="DI172" s="228">
        <v>44.97</v>
      </c>
      <c r="DJ172" s="228">
        <v>-1.66</v>
      </c>
      <c r="DK172" s="228">
        <v>-1.66</v>
      </c>
      <c r="DL172" s="228">
        <v>46.52</v>
      </c>
      <c r="DM172" s="228">
        <v>44.93</v>
      </c>
      <c r="DN172" s="228">
        <v>1.59</v>
      </c>
      <c r="DO172" s="228">
        <v>1.59</v>
      </c>
      <c r="DP172" s="228">
        <v>0.42</v>
      </c>
      <c r="DQ172" s="228">
        <v>0.42</v>
      </c>
      <c r="DR172" s="228">
        <v>0</v>
      </c>
      <c r="DS172" s="229">
        <v>0</v>
      </c>
      <c r="DT172" s="228">
        <v>300</v>
      </c>
      <c r="DU172" s="228">
        <v>250</v>
      </c>
      <c r="DV172" s="228">
        <v>0.35</v>
      </c>
      <c r="DW172" s="228">
        <v>0.24</v>
      </c>
      <c r="DX172" s="228">
        <v>0.11</v>
      </c>
      <c r="DY172" s="229">
        <v>0.45829999999999999</v>
      </c>
      <c r="DZ172" s="229">
        <v>4.2500000000000003E-2</v>
      </c>
      <c r="EA172" s="230">
        <v>3848100</v>
      </c>
      <c r="EB172" s="229">
        <v>2.7000000000000001E-3</v>
      </c>
      <c r="EC172" s="229">
        <v>4.2500000000000003E-2</v>
      </c>
      <c r="ED172" s="228">
        <v>1.49</v>
      </c>
      <c r="EE172" s="229">
        <v>5.4000000000000003E-3</v>
      </c>
      <c r="EF172" s="230">
        <v>3162010</v>
      </c>
      <c r="EG172" s="230">
        <v>5339977</v>
      </c>
      <c r="EH172" s="229">
        <v>-0.40789999999999998</v>
      </c>
      <c r="EI172" s="229">
        <v>0.43769999999999998</v>
      </c>
      <c r="EJ172" s="231">
        <v>2195.65</v>
      </c>
      <c r="EK172" s="228">
        <v>689.16</v>
      </c>
      <c r="EL172" s="231">
        <v>3547.2</v>
      </c>
      <c r="EM172" s="231">
        <v>9808</v>
      </c>
      <c r="EN172" s="231">
        <v>6432.01</v>
      </c>
      <c r="EO172" s="231">
        <v>13820.32</v>
      </c>
      <c r="EP172" s="231">
        <v>-7388.31</v>
      </c>
      <c r="EQ172" s="229">
        <v>-0.53459999999999996</v>
      </c>
      <c r="ER172" s="231">
        <v>73436</v>
      </c>
      <c r="ES172" s="231">
        <v>27984</v>
      </c>
      <c r="ET172" s="231">
        <v>250294</v>
      </c>
      <c r="EU172" s="231">
        <v>91351468</v>
      </c>
      <c r="EV172" s="231">
        <v>351714</v>
      </c>
      <c r="EW172" s="231">
        <v>357405</v>
      </c>
      <c r="EX172" s="231">
        <v>-5691</v>
      </c>
      <c r="EY172" s="229">
        <v>-1.5900000000000001E-2</v>
      </c>
      <c r="EZ172" s="229">
        <v>1.3835999999999999</v>
      </c>
      <c r="FA172" s="227" t="s">
        <v>556</v>
      </c>
      <c r="FB172" s="161">
        <f t="shared" si="4"/>
        <v>0</v>
      </c>
    </row>
    <row r="173" spans="1:158" ht="17.25" thickBot="1" x14ac:dyDescent="0.3">
      <c r="A173" s="226">
        <v>45936</v>
      </c>
      <c r="B173" s="227" t="s">
        <v>175</v>
      </c>
      <c r="C173" s="227" t="s">
        <v>280</v>
      </c>
      <c r="D173" s="228">
        <v>1275</v>
      </c>
      <c r="E173" s="228">
        <v>379.6</v>
      </c>
      <c r="F173" s="228">
        <v>381.8</v>
      </c>
      <c r="G173" s="228">
        <v>-2.2000000000000002</v>
      </c>
      <c r="H173" s="229">
        <v>-5.7999999999999996E-3</v>
      </c>
      <c r="I173" s="228">
        <v>378.05</v>
      </c>
      <c r="J173" s="228">
        <v>380.35</v>
      </c>
      <c r="K173" s="228">
        <v>-2.2999999999999998</v>
      </c>
      <c r="L173" s="229">
        <v>-6.0000000000000001E-3</v>
      </c>
      <c r="M173" s="228">
        <v>379.6</v>
      </c>
      <c r="N173" s="228">
        <v>381.8</v>
      </c>
      <c r="O173" s="228">
        <v>-2.2000000000000002</v>
      </c>
      <c r="P173" s="229">
        <v>-5.7999999999999996E-3</v>
      </c>
      <c r="Q173" s="228">
        <v>378.6</v>
      </c>
      <c r="R173" s="228">
        <v>380.9</v>
      </c>
      <c r="S173" s="228">
        <v>-2.2999999999999998</v>
      </c>
      <c r="T173" s="229">
        <v>-6.0000000000000001E-3</v>
      </c>
      <c r="U173" s="228">
        <v>381.15</v>
      </c>
      <c r="V173" s="228">
        <v>382.8</v>
      </c>
      <c r="W173" s="228">
        <v>-1.65</v>
      </c>
      <c r="X173" s="229">
        <v>-4.3E-3</v>
      </c>
      <c r="Y173" s="228">
        <v>1.55</v>
      </c>
      <c r="Z173" s="228">
        <v>1.45</v>
      </c>
      <c r="AA173" s="228">
        <v>0.1</v>
      </c>
      <c r="AB173" s="229">
        <v>4.1000000000000003E-3</v>
      </c>
      <c r="AC173" s="228">
        <v>1.55</v>
      </c>
      <c r="AD173" s="228">
        <v>1.45</v>
      </c>
      <c r="AE173" s="228">
        <v>0.1</v>
      </c>
      <c r="AF173" s="229">
        <v>4.1000000000000003E-3</v>
      </c>
      <c r="AG173" s="228">
        <v>0.55000000000000004</v>
      </c>
      <c r="AH173" s="228">
        <v>0.55000000000000004</v>
      </c>
      <c r="AI173" s="228">
        <v>0</v>
      </c>
      <c r="AJ173" s="229">
        <v>1.5E-3</v>
      </c>
      <c r="AK173" s="228">
        <v>3.1</v>
      </c>
      <c r="AL173" s="228">
        <v>2.4500000000000002</v>
      </c>
      <c r="AM173" s="228">
        <v>0.65</v>
      </c>
      <c r="AN173" s="229">
        <v>8.2000000000000007E-3</v>
      </c>
      <c r="AO173" s="228">
        <v>379.4</v>
      </c>
      <c r="AP173" s="228">
        <v>378.64</v>
      </c>
      <c r="AQ173" s="228">
        <v>0</v>
      </c>
      <c r="AR173" s="230">
        <v>5105100</v>
      </c>
      <c r="AS173" s="230">
        <v>5894325</v>
      </c>
      <c r="AT173" s="230">
        <v>-789225</v>
      </c>
      <c r="AU173" s="229">
        <v>-0.13389999999999999</v>
      </c>
      <c r="AV173" s="230">
        <v>3942300</v>
      </c>
      <c r="AW173" s="230">
        <v>5200725</v>
      </c>
      <c r="AX173" s="230">
        <v>-1258425</v>
      </c>
      <c r="AY173" s="229">
        <v>-0.24199999999999999</v>
      </c>
      <c r="AZ173" s="230">
        <v>1021275</v>
      </c>
      <c r="BA173" s="230">
        <v>564825</v>
      </c>
      <c r="BB173" s="230">
        <v>456450</v>
      </c>
      <c r="BC173" s="229">
        <v>0.80810000000000004</v>
      </c>
      <c r="BD173" s="230">
        <v>141525</v>
      </c>
      <c r="BE173" s="230">
        <v>128775</v>
      </c>
      <c r="BF173" s="230">
        <v>12750</v>
      </c>
      <c r="BG173" s="229">
        <v>9.9000000000000005E-2</v>
      </c>
      <c r="BH173" s="230">
        <v>11930175</v>
      </c>
      <c r="BI173" s="230">
        <v>15116400</v>
      </c>
      <c r="BJ173" s="230">
        <v>-3186225</v>
      </c>
      <c r="BK173" s="229">
        <v>-0.21079999999999999</v>
      </c>
      <c r="BL173" s="230">
        <v>7433250</v>
      </c>
      <c r="BM173" s="230">
        <v>7986600</v>
      </c>
      <c r="BN173" s="230">
        <v>-553350</v>
      </c>
      <c r="BO173" s="229">
        <v>-6.93E-2</v>
      </c>
      <c r="BP173" s="230">
        <v>24468525</v>
      </c>
      <c r="BQ173" s="230">
        <v>28997325</v>
      </c>
      <c r="BR173" s="230">
        <v>-4528800</v>
      </c>
      <c r="BS173" s="229">
        <v>-0.15620000000000001</v>
      </c>
      <c r="BT173" s="230">
        <v>2942217</v>
      </c>
      <c r="BU173" s="230">
        <v>3553236</v>
      </c>
      <c r="BV173" s="230">
        <v>-611019</v>
      </c>
      <c r="BW173" s="229">
        <v>-0.17199999999999999</v>
      </c>
      <c r="BX173" s="230">
        <v>79396800</v>
      </c>
      <c r="BY173" s="230">
        <v>78726150</v>
      </c>
      <c r="BZ173" s="230">
        <v>670650</v>
      </c>
      <c r="CA173" s="229">
        <v>8.5000000000000006E-3</v>
      </c>
      <c r="CB173" s="230">
        <v>68782425</v>
      </c>
      <c r="CC173" s="230">
        <v>68726325</v>
      </c>
      <c r="CD173" s="230">
        <v>56100</v>
      </c>
      <c r="CE173" s="229">
        <v>8.0000000000000004E-4</v>
      </c>
      <c r="CF173" s="230">
        <v>10419300</v>
      </c>
      <c r="CG173" s="230">
        <v>9900375</v>
      </c>
      <c r="CH173" s="230">
        <v>518925</v>
      </c>
      <c r="CI173" s="229">
        <v>5.2400000000000002E-2</v>
      </c>
      <c r="CJ173" s="230">
        <v>195075</v>
      </c>
      <c r="CK173" s="230">
        <v>99450</v>
      </c>
      <c r="CL173" s="230">
        <v>95625</v>
      </c>
      <c r="CM173" s="229">
        <v>0.96150000000000002</v>
      </c>
      <c r="CN173" s="230">
        <v>21992475</v>
      </c>
      <c r="CO173" s="230">
        <v>20577225</v>
      </c>
      <c r="CP173" s="230">
        <v>1415250</v>
      </c>
      <c r="CQ173" s="229">
        <v>6.88E-2</v>
      </c>
      <c r="CR173" s="230">
        <v>21337125</v>
      </c>
      <c r="CS173" s="230">
        <v>20079975</v>
      </c>
      <c r="CT173" s="230">
        <v>1257150</v>
      </c>
      <c r="CU173" s="229">
        <v>6.2600000000000003E-2</v>
      </c>
      <c r="CV173" s="230">
        <v>122726400</v>
      </c>
      <c r="CW173" s="230">
        <v>119383350</v>
      </c>
      <c r="CX173" s="230">
        <v>3343050</v>
      </c>
      <c r="CY173" s="229">
        <v>2.8000000000000001E-2</v>
      </c>
      <c r="CZ173" s="228">
        <v>28.29</v>
      </c>
      <c r="DA173" s="228">
        <v>26.6</v>
      </c>
      <c r="DB173" s="228">
        <v>1.69</v>
      </c>
      <c r="DC173" s="228">
        <v>1.69</v>
      </c>
      <c r="DD173" s="228">
        <v>45.76</v>
      </c>
      <c r="DE173" s="228">
        <v>45.86</v>
      </c>
      <c r="DF173" s="228">
        <v>-17.47</v>
      </c>
      <c r="DG173" s="228">
        <v>-0.1</v>
      </c>
      <c r="DH173" s="228">
        <v>27.55</v>
      </c>
      <c r="DI173" s="228">
        <v>26.05</v>
      </c>
      <c r="DJ173" s="228">
        <v>1.5</v>
      </c>
      <c r="DK173" s="228">
        <v>1.5</v>
      </c>
      <c r="DL173" s="228">
        <v>29.47</v>
      </c>
      <c r="DM173" s="228">
        <v>27.65</v>
      </c>
      <c r="DN173" s="228">
        <v>1.82</v>
      </c>
      <c r="DO173" s="228">
        <v>1.82</v>
      </c>
      <c r="DP173" s="228">
        <v>0.97</v>
      </c>
      <c r="DQ173" s="228">
        <v>0.98</v>
      </c>
      <c r="DR173" s="228">
        <v>-0.01</v>
      </c>
      <c r="DS173" s="229">
        <v>-1.0200000000000001E-2</v>
      </c>
      <c r="DT173" s="228">
        <v>400</v>
      </c>
      <c r="DU173" s="228">
        <v>340</v>
      </c>
      <c r="DV173" s="228">
        <v>0.62</v>
      </c>
      <c r="DW173" s="228">
        <v>0.53</v>
      </c>
      <c r="DX173" s="228">
        <v>0.09</v>
      </c>
      <c r="DY173" s="229">
        <v>0.16980000000000001</v>
      </c>
      <c r="DZ173" s="229">
        <v>0.13370000000000001</v>
      </c>
      <c r="EA173" s="230">
        <v>9999825</v>
      </c>
      <c r="EB173" s="229">
        <v>-2.5999999999999999E-3</v>
      </c>
      <c r="EC173" s="229">
        <v>0.13370000000000001</v>
      </c>
      <c r="ED173" s="228">
        <v>-0.76</v>
      </c>
      <c r="EE173" s="229">
        <v>-2E-3</v>
      </c>
      <c r="EF173" s="230">
        <v>1570442</v>
      </c>
      <c r="EG173" s="230">
        <v>1835213</v>
      </c>
      <c r="EH173" s="229">
        <v>-0.14430000000000001</v>
      </c>
      <c r="EI173" s="229">
        <v>0.53380000000000005</v>
      </c>
      <c r="EJ173" s="231">
        <v>47448.97</v>
      </c>
      <c r="EK173" s="231">
        <v>27612.25</v>
      </c>
      <c r="EL173" s="231">
        <v>19362.810000000001</v>
      </c>
      <c r="EM173" s="231">
        <v>24220</v>
      </c>
      <c r="EN173" s="231">
        <v>94424.03</v>
      </c>
      <c r="EO173" s="231">
        <v>112510.01</v>
      </c>
      <c r="EP173" s="231">
        <v>-18085.98</v>
      </c>
      <c r="EQ173" s="229">
        <v>-0.16070000000000001</v>
      </c>
      <c r="ER173" s="231">
        <v>87065</v>
      </c>
      <c r="ES173" s="231">
        <v>77997</v>
      </c>
      <c r="ET173" s="231">
        <v>301289</v>
      </c>
      <c r="EU173" s="231">
        <v>187084550</v>
      </c>
      <c r="EV173" s="231">
        <v>466351</v>
      </c>
      <c r="EW173" s="231">
        <v>455289</v>
      </c>
      <c r="EX173" s="231">
        <v>11062</v>
      </c>
      <c r="EY173" s="229">
        <v>2.4299999999999999E-2</v>
      </c>
      <c r="EZ173" s="229">
        <v>0.65600000000000003</v>
      </c>
      <c r="FA173" s="227" t="s">
        <v>567</v>
      </c>
      <c r="FB173" s="161">
        <f t="shared" si="4"/>
        <v>0</v>
      </c>
    </row>
    <row r="174" spans="1:158" ht="17.25" thickBot="1" x14ac:dyDescent="0.3">
      <c r="A174" s="226">
        <v>45936</v>
      </c>
      <c r="B174" s="227" t="s">
        <v>193</v>
      </c>
      <c r="C174" s="227" t="s">
        <v>281</v>
      </c>
      <c r="D174" s="228">
        <v>500</v>
      </c>
      <c r="E174" s="231">
        <v>1383.2</v>
      </c>
      <c r="F174" s="231">
        <v>1371.3</v>
      </c>
      <c r="G174" s="228">
        <v>11.9</v>
      </c>
      <c r="H174" s="229">
        <v>8.6999999999999994E-3</v>
      </c>
      <c r="I174" s="231">
        <v>1375</v>
      </c>
      <c r="J174" s="231">
        <v>1363.4</v>
      </c>
      <c r="K174" s="228">
        <v>11.6</v>
      </c>
      <c r="L174" s="229">
        <v>8.5000000000000006E-3</v>
      </c>
      <c r="M174" s="231">
        <v>1383.2</v>
      </c>
      <c r="N174" s="231">
        <v>1371.3</v>
      </c>
      <c r="O174" s="228">
        <v>11.9</v>
      </c>
      <c r="P174" s="229">
        <v>8.6999999999999994E-3</v>
      </c>
      <c r="Q174" s="231">
        <v>1390.5</v>
      </c>
      <c r="R174" s="231">
        <v>1378.6</v>
      </c>
      <c r="S174" s="228">
        <v>11.9</v>
      </c>
      <c r="T174" s="229">
        <v>8.6E-3</v>
      </c>
      <c r="U174" s="231">
        <v>1399.2</v>
      </c>
      <c r="V174" s="231">
        <v>1387.7</v>
      </c>
      <c r="W174" s="228">
        <v>11.5</v>
      </c>
      <c r="X174" s="229">
        <v>8.3000000000000001E-3</v>
      </c>
      <c r="Y174" s="228">
        <v>8.1999999999999993</v>
      </c>
      <c r="Z174" s="228">
        <v>7.9</v>
      </c>
      <c r="AA174" s="228">
        <v>0.3</v>
      </c>
      <c r="AB174" s="229">
        <v>6.0000000000000001E-3</v>
      </c>
      <c r="AC174" s="228">
        <v>8.1999999999999993</v>
      </c>
      <c r="AD174" s="228">
        <v>7.9</v>
      </c>
      <c r="AE174" s="228">
        <v>0.3</v>
      </c>
      <c r="AF174" s="229">
        <v>6.0000000000000001E-3</v>
      </c>
      <c r="AG174" s="228">
        <v>15.5</v>
      </c>
      <c r="AH174" s="228">
        <v>15.2</v>
      </c>
      <c r="AI174" s="228">
        <v>0.3</v>
      </c>
      <c r="AJ174" s="229">
        <v>1.1299999999999999E-2</v>
      </c>
      <c r="AK174" s="228">
        <v>24.2</v>
      </c>
      <c r="AL174" s="228">
        <v>24.3</v>
      </c>
      <c r="AM174" s="228">
        <v>-0.1</v>
      </c>
      <c r="AN174" s="229">
        <v>1.7600000000000001E-2</v>
      </c>
      <c r="AO174" s="231">
        <v>1377.69</v>
      </c>
      <c r="AP174" s="231">
        <v>1384.64</v>
      </c>
      <c r="AQ174" s="228">
        <v>0</v>
      </c>
      <c r="AR174" s="230">
        <v>15742500</v>
      </c>
      <c r="AS174" s="230">
        <v>12098000</v>
      </c>
      <c r="AT174" s="230">
        <v>3644500</v>
      </c>
      <c r="AU174" s="229">
        <v>0.30120000000000002</v>
      </c>
      <c r="AV174" s="230">
        <v>13822500</v>
      </c>
      <c r="AW174" s="230">
        <v>11323000</v>
      </c>
      <c r="AX174" s="230">
        <v>2499500</v>
      </c>
      <c r="AY174" s="229">
        <v>0.22070000000000001</v>
      </c>
      <c r="AZ174" s="230">
        <v>684000</v>
      </c>
      <c r="BA174" s="230">
        <v>617500</v>
      </c>
      <c r="BB174" s="230">
        <v>66500</v>
      </c>
      <c r="BC174" s="229">
        <v>0.1077</v>
      </c>
      <c r="BD174" s="230">
        <v>1236000</v>
      </c>
      <c r="BE174" s="230">
        <v>157500</v>
      </c>
      <c r="BF174" s="230">
        <v>1078500</v>
      </c>
      <c r="BG174" s="229">
        <v>6.8475999999999999</v>
      </c>
      <c r="BH174" s="230">
        <v>52198500</v>
      </c>
      <c r="BI174" s="230">
        <v>40431500</v>
      </c>
      <c r="BJ174" s="230">
        <v>11767000</v>
      </c>
      <c r="BK174" s="229">
        <v>0.29099999999999998</v>
      </c>
      <c r="BL174" s="230">
        <v>26326000</v>
      </c>
      <c r="BM174" s="230">
        <v>23644500</v>
      </c>
      <c r="BN174" s="230">
        <v>2681500</v>
      </c>
      <c r="BO174" s="229">
        <v>0.1134</v>
      </c>
      <c r="BP174" s="230">
        <v>94267000</v>
      </c>
      <c r="BQ174" s="230">
        <v>76174000</v>
      </c>
      <c r="BR174" s="230">
        <v>18093000</v>
      </c>
      <c r="BS174" s="229">
        <v>0.23749999999999999</v>
      </c>
      <c r="BT174" s="230">
        <v>13071472</v>
      </c>
      <c r="BU174" s="230">
        <v>13711629</v>
      </c>
      <c r="BV174" s="230">
        <v>-640157</v>
      </c>
      <c r="BW174" s="229">
        <v>-4.6699999999999998E-2</v>
      </c>
      <c r="BX174" s="230">
        <v>136003500</v>
      </c>
      <c r="BY174" s="230">
        <v>134778000</v>
      </c>
      <c r="BZ174" s="230">
        <v>1225500</v>
      </c>
      <c r="CA174" s="229">
        <v>9.1000000000000004E-3</v>
      </c>
      <c r="CB174" s="230">
        <v>129506500</v>
      </c>
      <c r="CC174" s="230">
        <v>129551000</v>
      </c>
      <c r="CD174" s="230">
        <v>-44500</v>
      </c>
      <c r="CE174" s="229">
        <v>-2.9999999999999997E-4</v>
      </c>
      <c r="CF174" s="230">
        <v>5193500</v>
      </c>
      <c r="CG174" s="230">
        <v>5050000</v>
      </c>
      <c r="CH174" s="230">
        <v>143500</v>
      </c>
      <c r="CI174" s="229">
        <v>2.8400000000000002E-2</v>
      </c>
      <c r="CJ174" s="230">
        <v>1303500</v>
      </c>
      <c r="CK174" s="230">
        <v>177000</v>
      </c>
      <c r="CL174" s="230">
        <v>1126500</v>
      </c>
      <c r="CM174" s="229">
        <v>6.3643999999999998</v>
      </c>
      <c r="CN174" s="230">
        <v>42472500</v>
      </c>
      <c r="CO174" s="230">
        <v>41765000</v>
      </c>
      <c r="CP174" s="230">
        <v>707500</v>
      </c>
      <c r="CQ174" s="229">
        <v>1.6899999999999998E-2</v>
      </c>
      <c r="CR174" s="230">
        <v>33771500</v>
      </c>
      <c r="CS174" s="230">
        <v>32438500</v>
      </c>
      <c r="CT174" s="230">
        <v>1333000</v>
      </c>
      <c r="CU174" s="229">
        <v>4.1099999999999998E-2</v>
      </c>
      <c r="CV174" s="230">
        <v>212247500</v>
      </c>
      <c r="CW174" s="230">
        <v>208981500</v>
      </c>
      <c r="CX174" s="230">
        <v>3266000</v>
      </c>
      <c r="CY174" s="229">
        <v>1.5599999999999999E-2</v>
      </c>
      <c r="CZ174" s="228">
        <v>18.920000000000002</v>
      </c>
      <c r="DA174" s="228">
        <v>18.600000000000001</v>
      </c>
      <c r="DB174" s="228">
        <v>0.32</v>
      </c>
      <c r="DC174" s="228">
        <v>0.32</v>
      </c>
      <c r="DD174" s="228">
        <v>24.53</v>
      </c>
      <c r="DE174" s="228">
        <v>24.57</v>
      </c>
      <c r="DF174" s="228">
        <v>-5.61</v>
      </c>
      <c r="DG174" s="228">
        <v>-0.04</v>
      </c>
      <c r="DH174" s="228">
        <v>18.760000000000002</v>
      </c>
      <c r="DI174" s="228">
        <v>18.5</v>
      </c>
      <c r="DJ174" s="228">
        <v>0.26</v>
      </c>
      <c r="DK174" s="228">
        <v>0.26</v>
      </c>
      <c r="DL174" s="228">
        <v>19.239999999999998</v>
      </c>
      <c r="DM174" s="228">
        <v>18.760000000000002</v>
      </c>
      <c r="DN174" s="228">
        <v>0.48</v>
      </c>
      <c r="DO174" s="228">
        <v>0.48</v>
      </c>
      <c r="DP174" s="228">
        <v>0.8</v>
      </c>
      <c r="DQ174" s="228">
        <v>0.78</v>
      </c>
      <c r="DR174" s="228">
        <v>0.02</v>
      </c>
      <c r="DS174" s="229">
        <v>2.5600000000000001E-2</v>
      </c>
      <c r="DT174" s="231">
        <v>1400</v>
      </c>
      <c r="DU174" s="231">
        <v>1400</v>
      </c>
      <c r="DV174" s="228">
        <v>0.5</v>
      </c>
      <c r="DW174" s="228">
        <v>0.57999999999999996</v>
      </c>
      <c r="DX174" s="228">
        <v>-0.08</v>
      </c>
      <c r="DY174" s="229">
        <v>-0.13789999999999999</v>
      </c>
      <c r="DZ174" s="229">
        <v>4.7800000000000002E-2</v>
      </c>
      <c r="EA174" s="230">
        <v>5227000</v>
      </c>
      <c r="EB174" s="229">
        <v>5.3E-3</v>
      </c>
      <c r="EC174" s="229">
        <v>4.7800000000000002E-2</v>
      </c>
      <c r="ED174" s="228">
        <v>6.95</v>
      </c>
      <c r="EE174" s="229">
        <v>5.0000000000000001E-3</v>
      </c>
      <c r="EF174" s="230">
        <v>8946348</v>
      </c>
      <c r="EG174" s="230">
        <v>8792489</v>
      </c>
      <c r="EH174" s="229">
        <v>1.7500000000000002E-2</v>
      </c>
      <c r="EI174" s="229">
        <v>0.68440000000000001</v>
      </c>
      <c r="EJ174" s="231">
        <v>741835.72</v>
      </c>
      <c r="EK174" s="231">
        <v>358127.04</v>
      </c>
      <c r="EL174" s="231">
        <v>217094.84</v>
      </c>
      <c r="EM174" s="231">
        <v>63485</v>
      </c>
      <c r="EN174" s="231">
        <v>1317057.6000000001</v>
      </c>
      <c r="EO174" s="231">
        <v>1060930.47</v>
      </c>
      <c r="EP174" s="231">
        <v>256127.13</v>
      </c>
      <c r="EQ174" s="229">
        <v>0.2414</v>
      </c>
      <c r="ER174" s="231">
        <v>604670</v>
      </c>
      <c r="ES174" s="231">
        <v>463510</v>
      </c>
      <c r="ET174" s="231">
        <v>1881788</v>
      </c>
      <c r="EU174" s="231">
        <v>662701060</v>
      </c>
      <c r="EV174" s="231">
        <v>2949968</v>
      </c>
      <c r="EW174" s="231">
        <v>2888283</v>
      </c>
      <c r="EX174" s="231">
        <v>61685</v>
      </c>
      <c r="EY174" s="229">
        <v>2.1399999999999999E-2</v>
      </c>
      <c r="EZ174" s="229">
        <v>0.32029999999999997</v>
      </c>
      <c r="FA174" s="227" t="s">
        <v>555</v>
      </c>
      <c r="FB174" s="161">
        <f t="shared" si="4"/>
        <v>0</v>
      </c>
    </row>
    <row r="175" spans="1:158" ht="17.25" thickBot="1" x14ac:dyDescent="0.3">
      <c r="A175" s="226">
        <v>45936</v>
      </c>
      <c r="B175" s="227" t="s">
        <v>215</v>
      </c>
      <c r="C175" s="227" t="s">
        <v>677</v>
      </c>
      <c r="D175" s="228">
        <v>1375</v>
      </c>
      <c r="E175" s="228">
        <v>341.2</v>
      </c>
      <c r="F175" s="228">
        <v>341.45</v>
      </c>
      <c r="G175" s="228">
        <v>-0.25</v>
      </c>
      <c r="H175" s="229">
        <v>-6.9999999999999999E-4</v>
      </c>
      <c r="I175" s="228">
        <v>346.6</v>
      </c>
      <c r="J175" s="228">
        <v>347.05</v>
      </c>
      <c r="K175" s="228">
        <v>-0.45</v>
      </c>
      <c r="L175" s="229">
        <v>-1.2999999999999999E-3</v>
      </c>
      <c r="M175" s="228">
        <v>341.2</v>
      </c>
      <c r="N175" s="228">
        <v>341.45</v>
      </c>
      <c r="O175" s="228">
        <v>-0.25</v>
      </c>
      <c r="P175" s="229">
        <v>-6.9999999999999999E-4</v>
      </c>
      <c r="Q175" s="228">
        <v>334.15</v>
      </c>
      <c r="R175" s="228">
        <v>335.35</v>
      </c>
      <c r="S175" s="228">
        <v>-1.2</v>
      </c>
      <c r="T175" s="229">
        <v>-3.5999999999999999E-3</v>
      </c>
      <c r="U175" s="228">
        <v>329.35</v>
      </c>
      <c r="V175" s="228">
        <v>330.95</v>
      </c>
      <c r="W175" s="228">
        <v>-1.6</v>
      </c>
      <c r="X175" s="229">
        <v>-4.7999999999999996E-3</v>
      </c>
      <c r="Y175" s="228">
        <v>-5.4</v>
      </c>
      <c r="Z175" s="228">
        <v>-5.6</v>
      </c>
      <c r="AA175" s="228">
        <v>0.2</v>
      </c>
      <c r="AB175" s="229">
        <v>-1.5599999999999999E-2</v>
      </c>
      <c r="AC175" s="228">
        <v>-5.4</v>
      </c>
      <c r="AD175" s="228">
        <v>-5.6</v>
      </c>
      <c r="AE175" s="228">
        <v>0.2</v>
      </c>
      <c r="AF175" s="229">
        <v>-1.5599999999999999E-2</v>
      </c>
      <c r="AG175" s="228">
        <v>-12.45</v>
      </c>
      <c r="AH175" s="228">
        <v>-11.7</v>
      </c>
      <c r="AI175" s="228">
        <v>-0.75</v>
      </c>
      <c r="AJ175" s="229">
        <v>-3.5900000000000001E-2</v>
      </c>
      <c r="AK175" s="228">
        <v>-17.25</v>
      </c>
      <c r="AL175" s="228">
        <v>-16.100000000000001</v>
      </c>
      <c r="AM175" s="228">
        <v>-1.1499999999999999</v>
      </c>
      <c r="AN175" s="229">
        <v>-4.9799999999999997E-2</v>
      </c>
      <c r="AO175" s="228">
        <v>339.18</v>
      </c>
      <c r="AP175" s="228">
        <v>332.48</v>
      </c>
      <c r="AQ175" s="228">
        <v>0</v>
      </c>
      <c r="AR175" s="230">
        <v>3052500</v>
      </c>
      <c r="AS175" s="230">
        <v>4122250</v>
      </c>
      <c r="AT175" s="230">
        <v>-1069750</v>
      </c>
      <c r="AU175" s="229">
        <v>-0.25950000000000001</v>
      </c>
      <c r="AV175" s="230">
        <v>2299000</v>
      </c>
      <c r="AW175" s="230">
        <v>3356375</v>
      </c>
      <c r="AX175" s="230">
        <v>-1057375</v>
      </c>
      <c r="AY175" s="229">
        <v>-0.315</v>
      </c>
      <c r="AZ175" s="230">
        <v>621500</v>
      </c>
      <c r="BA175" s="230">
        <v>587125</v>
      </c>
      <c r="BB175" s="230">
        <v>34375</v>
      </c>
      <c r="BC175" s="229">
        <v>5.8500000000000003E-2</v>
      </c>
      <c r="BD175" s="230">
        <v>132000</v>
      </c>
      <c r="BE175" s="230">
        <v>178750</v>
      </c>
      <c r="BF175" s="230">
        <v>-46750</v>
      </c>
      <c r="BG175" s="229">
        <v>-0.26150000000000001</v>
      </c>
      <c r="BH175" s="230">
        <v>9355500</v>
      </c>
      <c r="BI175" s="230">
        <v>10960125</v>
      </c>
      <c r="BJ175" s="230">
        <v>-1604625</v>
      </c>
      <c r="BK175" s="229">
        <v>-0.1464</v>
      </c>
      <c r="BL175" s="230">
        <v>1887875</v>
      </c>
      <c r="BM175" s="230">
        <v>2629000</v>
      </c>
      <c r="BN175" s="230">
        <v>-741125</v>
      </c>
      <c r="BO175" s="229">
        <v>-0.28189999999999998</v>
      </c>
      <c r="BP175" s="230">
        <v>14295875</v>
      </c>
      <c r="BQ175" s="230">
        <v>17711375</v>
      </c>
      <c r="BR175" s="230">
        <v>-3415500</v>
      </c>
      <c r="BS175" s="229">
        <v>-0.1928</v>
      </c>
      <c r="BT175" s="230">
        <v>2962411</v>
      </c>
      <c r="BU175" s="230">
        <v>3543156</v>
      </c>
      <c r="BV175" s="230">
        <v>-580745</v>
      </c>
      <c r="BW175" s="229">
        <v>-0.16389999999999999</v>
      </c>
      <c r="BX175" s="230">
        <v>32341375</v>
      </c>
      <c r="BY175" s="230">
        <v>31757000</v>
      </c>
      <c r="BZ175" s="230">
        <v>584375</v>
      </c>
      <c r="CA175" s="229">
        <v>1.84E-2</v>
      </c>
      <c r="CB175" s="230">
        <v>29596875</v>
      </c>
      <c r="CC175" s="230">
        <v>29239375</v>
      </c>
      <c r="CD175" s="230">
        <v>357500</v>
      </c>
      <c r="CE175" s="229">
        <v>1.2200000000000001E-2</v>
      </c>
      <c r="CF175" s="230">
        <v>2459875</v>
      </c>
      <c r="CG175" s="230">
        <v>2303125</v>
      </c>
      <c r="CH175" s="230">
        <v>156750</v>
      </c>
      <c r="CI175" s="229">
        <v>6.8099999999999994E-2</v>
      </c>
      <c r="CJ175" s="230">
        <v>284625</v>
      </c>
      <c r="CK175" s="230">
        <v>214500</v>
      </c>
      <c r="CL175" s="230">
        <v>70125</v>
      </c>
      <c r="CM175" s="229">
        <v>0.32690000000000002</v>
      </c>
      <c r="CN175" s="230">
        <v>13216500</v>
      </c>
      <c r="CO175" s="230">
        <v>12358500</v>
      </c>
      <c r="CP175" s="230">
        <v>858000</v>
      </c>
      <c r="CQ175" s="229">
        <v>6.9400000000000003E-2</v>
      </c>
      <c r="CR175" s="230">
        <v>5693875</v>
      </c>
      <c r="CS175" s="230">
        <v>5538500</v>
      </c>
      <c r="CT175" s="230">
        <v>155375</v>
      </c>
      <c r="CU175" s="229">
        <v>2.81E-2</v>
      </c>
      <c r="CV175" s="230">
        <v>51251750</v>
      </c>
      <c r="CW175" s="230">
        <v>49654000</v>
      </c>
      <c r="CX175" s="230">
        <v>1597750</v>
      </c>
      <c r="CY175" s="229">
        <v>3.2199999999999999E-2</v>
      </c>
      <c r="CZ175" s="228">
        <v>37.24</v>
      </c>
      <c r="DA175" s="228">
        <v>35.89</v>
      </c>
      <c r="DB175" s="228">
        <v>1.35</v>
      </c>
      <c r="DC175" s="228">
        <v>1.35</v>
      </c>
      <c r="DD175" s="228">
        <v>58.3</v>
      </c>
      <c r="DE175" s="228">
        <v>58.45</v>
      </c>
      <c r="DF175" s="228">
        <v>-21.06</v>
      </c>
      <c r="DG175" s="228">
        <v>-0.15</v>
      </c>
      <c r="DH175" s="228">
        <v>37.659999999999997</v>
      </c>
      <c r="DI175" s="228">
        <v>36.369999999999997</v>
      </c>
      <c r="DJ175" s="228">
        <v>1.29</v>
      </c>
      <c r="DK175" s="228">
        <v>1.29</v>
      </c>
      <c r="DL175" s="228">
        <v>35.159999999999997</v>
      </c>
      <c r="DM175" s="228">
        <v>33.869999999999997</v>
      </c>
      <c r="DN175" s="228">
        <v>1.29</v>
      </c>
      <c r="DO175" s="228">
        <v>1.29</v>
      </c>
      <c r="DP175" s="228">
        <v>0.43</v>
      </c>
      <c r="DQ175" s="228">
        <v>0.45</v>
      </c>
      <c r="DR175" s="228">
        <v>-0.02</v>
      </c>
      <c r="DS175" s="229">
        <v>-4.4400000000000002E-2</v>
      </c>
      <c r="DT175" s="228">
        <v>400</v>
      </c>
      <c r="DU175" s="228">
        <v>310</v>
      </c>
      <c r="DV175" s="228">
        <v>0.2</v>
      </c>
      <c r="DW175" s="228">
        <v>0.24</v>
      </c>
      <c r="DX175" s="228">
        <v>-0.04</v>
      </c>
      <c r="DY175" s="229">
        <v>-0.16669999999999999</v>
      </c>
      <c r="DZ175" s="229">
        <v>8.4900000000000003E-2</v>
      </c>
      <c r="EA175" s="230">
        <v>2517625</v>
      </c>
      <c r="EB175" s="229">
        <v>-2.07E-2</v>
      </c>
      <c r="EC175" s="229">
        <v>8.4900000000000003E-2</v>
      </c>
      <c r="ED175" s="228">
        <v>-6.7</v>
      </c>
      <c r="EE175" s="229">
        <v>-1.9800000000000002E-2</v>
      </c>
      <c r="EF175" s="230">
        <v>879715</v>
      </c>
      <c r="EG175" s="230">
        <v>1015696</v>
      </c>
      <c r="EH175" s="229">
        <v>-0.13389999999999999</v>
      </c>
      <c r="EI175" s="229">
        <v>0.29699999999999999</v>
      </c>
      <c r="EJ175" s="231">
        <v>34616.42</v>
      </c>
      <c r="EK175" s="231">
        <v>6337.58</v>
      </c>
      <c r="EL175" s="231">
        <v>10296.68</v>
      </c>
      <c r="EM175" s="231">
        <v>10436</v>
      </c>
      <c r="EN175" s="231">
        <v>51250.68</v>
      </c>
      <c r="EO175" s="231">
        <v>62875.43</v>
      </c>
      <c r="EP175" s="231">
        <v>-11624.75</v>
      </c>
      <c r="EQ175" s="229">
        <v>-0.18490000000000001</v>
      </c>
      <c r="ER175" s="231">
        <v>49065</v>
      </c>
      <c r="ES175" s="231">
        <v>18479</v>
      </c>
      <c r="ET175" s="231">
        <v>110142</v>
      </c>
      <c r="EU175" s="231">
        <v>84941460</v>
      </c>
      <c r="EV175" s="231">
        <v>177685</v>
      </c>
      <c r="EW175" s="231">
        <v>172181</v>
      </c>
      <c r="EX175" s="231">
        <v>5504</v>
      </c>
      <c r="EY175" s="229">
        <v>3.2000000000000001E-2</v>
      </c>
      <c r="EZ175" s="229">
        <v>0.60340000000000005</v>
      </c>
      <c r="FA175" s="227" t="s">
        <v>567</v>
      </c>
      <c r="FB175" s="161">
        <f t="shared" si="4"/>
        <v>0</v>
      </c>
    </row>
    <row r="176" spans="1:158" ht="17.25" thickBot="1" x14ac:dyDescent="0.3">
      <c r="A176" s="226">
        <v>45936</v>
      </c>
      <c r="B176" s="227" t="s">
        <v>227</v>
      </c>
      <c r="C176" s="227" t="s">
        <v>282</v>
      </c>
      <c r="D176" s="228">
        <v>4700</v>
      </c>
      <c r="E176" s="228">
        <v>133.27000000000001</v>
      </c>
      <c r="F176" s="228">
        <v>135.86000000000001</v>
      </c>
      <c r="G176" s="228">
        <v>-2.59</v>
      </c>
      <c r="H176" s="229">
        <v>-1.9099999999999999E-2</v>
      </c>
      <c r="I176" s="228">
        <v>132.62</v>
      </c>
      <c r="J176" s="228">
        <v>134.96</v>
      </c>
      <c r="K176" s="228">
        <v>-2.34</v>
      </c>
      <c r="L176" s="229">
        <v>-1.7299999999999999E-2</v>
      </c>
      <c r="M176" s="228">
        <v>133.27000000000001</v>
      </c>
      <c r="N176" s="228">
        <v>135.86000000000001</v>
      </c>
      <c r="O176" s="228">
        <v>-2.59</v>
      </c>
      <c r="P176" s="229">
        <v>-1.9099999999999999E-2</v>
      </c>
      <c r="Q176" s="228">
        <v>133.69999999999999</v>
      </c>
      <c r="R176" s="228">
        <v>136.49</v>
      </c>
      <c r="S176" s="228">
        <v>-2.79</v>
      </c>
      <c r="T176" s="229">
        <v>-2.0400000000000001E-2</v>
      </c>
      <c r="U176" s="228">
        <v>134.44</v>
      </c>
      <c r="V176" s="228">
        <v>137.31</v>
      </c>
      <c r="W176" s="228">
        <v>-2.87</v>
      </c>
      <c r="X176" s="229">
        <v>-2.0899999999999998E-2</v>
      </c>
      <c r="Y176" s="228">
        <v>0.65</v>
      </c>
      <c r="Z176" s="228">
        <v>0.9</v>
      </c>
      <c r="AA176" s="228">
        <v>-0.25</v>
      </c>
      <c r="AB176" s="229">
        <v>4.8999999999999998E-3</v>
      </c>
      <c r="AC176" s="228">
        <v>0.65</v>
      </c>
      <c r="AD176" s="228">
        <v>0.9</v>
      </c>
      <c r="AE176" s="228">
        <v>-0.25</v>
      </c>
      <c r="AF176" s="229">
        <v>4.8999999999999998E-3</v>
      </c>
      <c r="AG176" s="228">
        <v>1.08</v>
      </c>
      <c r="AH176" s="228">
        <v>1.53</v>
      </c>
      <c r="AI176" s="228">
        <v>-0.45</v>
      </c>
      <c r="AJ176" s="229">
        <v>8.0999999999999996E-3</v>
      </c>
      <c r="AK176" s="228">
        <v>1.82</v>
      </c>
      <c r="AL176" s="228">
        <v>2.35</v>
      </c>
      <c r="AM176" s="228">
        <v>-0.53</v>
      </c>
      <c r="AN176" s="229">
        <v>1.37E-2</v>
      </c>
      <c r="AO176" s="228">
        <v>133.86000000000001</v>
      </c>
      <c r="AP176" s="228">
        <v>134.24</v>
      </c>
      <c r="AQ176" s="228">
        <v>0</v>
      </c>
      <c r="AR176" s="230">
        <v>46647500</v>
      </c>
      <c r="AS176" s="230">
        <v>34352300</v>
      </c>
      <c r="AT176" s="230">
        <v>12295200</v>
      </c>
      <c r="AU176" s="229">
        <v>0.3579</v>
      </c>
      <c r="AV176" s="230">
        <v>43818100</v>
      </c>
      <c r="AW176" s="230">
        <v>31081100</v>
      </c>
      <c r="AX176" s="230">
        <v>12737000</v>
      </c>
      <c r="AY176" s="229">
        <v>0.4098</v>
      </c>
      <c r="AZ176" s="230">
        <v>2594400</v>
      </c>
      <c r="BA176" s="230">
        <v>3106700</v>
      </c>
      <c r="BB176" s="230">
        <v>-512300</v>
      </c>
      <c r="BC176" s="229">
        <v>-0.16489999999999999</v>
      </c>
      <c r="BD176" s="230">
        <v>235000</v>
      </c>
      <c r="BE176" s="230">
        <v>164500</v>
      </c>
      <c r="BF176" s="230">
        <v>70500</v>
      </c>
      <c r="BG176" s="229">
        <v>0.42859999999999998</v>
      </c>
      <c r="BH176" s="230">
        <v>91584200</v>
      </c>
      <c r="BI176" s="230">
        <v>76196400</v>
      </c>
      <c r="BJ176" s="230">
        <v>15387800</v>
      </c>
      <c r="BK176" s="229">
        <v>0.2019</v>
      </c>
      <c r="BL176" s="230">
        <v>45486600</v>
      </c>
      <c r="BM176" s="230">
        <v>29154100</v>
      </c>
      <c r="BN176" s="230">
        <v>16332500</v>
      </c>
      <c r="BO176" s="229">
        <v>0.56020000000000003</v>
      </c>
      <c r="BP176" s="230">
        <v>183718300</v>
      </c>
      <c r="BQ176" s="230">
        <v>139702800</v>
      </c>
      <c r="BR176" s="230">
        <v>44015500</v>
      </c>
      <c r="BS176" s="229">
        <v>0.31509999999999999</v>
      </c>
      <c r="BT176" s="230">
        <v>36587929</v>
      </c>
      <c r="BU176" s="230">
        <v>17935758</v>
      </c>
      <c r="BV176" s="230">
        <v>18652171</v>
      </c>
      <c r="BW176" s="229">
        <v>1.0399</v>
      </c>
      <c r="BX176" s="230">
        <v>166342400</v>
      </c>
      <c r="BY176" s="230">
        <v>156716800</v>
      </c>
      <c r="BZ176" s="230">
        <v>9625600</v>
      </c>
      <c r="CA176" s="229">
        <v>6.1400000000000003E-2</v>
      </c>
      <c r="CB176" s="230">
        <v>161412100</v>
      </c>
      <c r="CC176" s="230">
        <v>152844000</v>
      </c>
      <c r="CD176" s="230">
        <v>8568100</v>
      </c>
      <c r="CE176" s="229">
        <v>5.6099999999999997E-2</v>
      </c>
      <c r="CF176" s="230">
        <v>4559000</v>
      </c>
      <c r="CG176" s="230">
        <v>3604900</v>
      </c>
      <c r="CH176" s="230">
        <v>954100</v>
      </c>
      <c r="CI176" s="229">
        <v>0.26469999999999999</v>
      </c>
      <c r="CJ176" s="230">
        <v>371300</v>
      </c>
      <c r="CK176" s="230">
        <v>267900</v>
      </c>
      <c r="CL176" s="230">
        <v>103400</v>
      </c>
      <c r="CM176" s="229">
        <v>0.38600000000000001</v>
      </c>
      <c r="CN176" s="230">
        <v>42821700</v>
      </c>
      <c r="CO176" s="230">
        <v>36683500</v>
      </c>
      <c r="CP176" s="230">
        <v>6138200</v>
      </c>
      <c r="CQ176" s="229">
        <v>0.1673</v>
      </c>
      <c r="CR176" s="230">
        <v>21206400</v>
      </c>
      <c r="CS176" s="230">
        <v>18334700</v>
      </c>
      <c r="CT176" s="230">
        <v>2871700</v>
      </c>
      <c r="CU176" s="229">
        <v>0.15659999999999999</v>
      </c>
      <c r="CV176" s="230">
        <v>230370500</v>
      </c>
      <c r="CW176" s="230">
        <v>211735000</v>
      </c>
      <c r="CX176" s="230">
        <v>18635500</v>
      </c>
      <c r="CY176" s="229">
        <v>8.7999999999999995E-2</v>
      </c>
      <c r="CZ176" s="228">
        <v>34.21</v>
      </c>
      <c r="DA176" s="228">
        <v>32.26</v>
      </c>
      <c r="DB176" s="228">
        <v>1.95</v>
      </c>
      <c r="DC176" s="228">
        <v>1.95</v>
      </c>
      <c r="DD176" s="228">
        <v>45.55</v>
      </c>
      <c r="DE176" s="228">
        <v>45.59</v>
      </c>
      <c r="DF176" s="228">
        <v>-11.34</v>
      </c>
      <c r="DG176" s="228">
        <v>-0.04</v>
      </c>
      <c r="DH176" s="228">
        <v>34.25</v>
      </c>
      <c r="DI176" s="228">
        <v>32.520000000000003</v>
      </c>
      <c r="DJ176" s="228">
        <v>1.73</v>
      </c>
      <c r="DK176" s="228">
        <v>1.73</v>
      </c>
      <c r="DL176" s="228">
        <v>34.130000000000003</v>
      </c>
      <c r="DM176" s="228">
        <v>31.58</v>
      </c>
      <c r="DN176" s="228">
        <v>2.5499999999999998</v>
      </c>
      <c r="DO176" s="228">
        <v>2.5499999999999998</v>
      </c>
      <c r="DP176" s="228">
        <v>0.5</v>
      </c>
      <c r="DQ176" s="228">
        <v>0.5</v>
      </c>
      <c r="DR176" s="228">
        <v>0</v>
      </c>
      <c r="DS176" s="229">
        <v>0</v>
      </c>
      <c r="DT176" s="228">
        <v>140</v>
      </c>
      <c r="DU176" s="228">
        <v>135</v>
      </c>
      <c r="DV176" s="228">
        <v>0.5</v>
      </c>
      <c r="DW176" s="228">
        <v>0.38</v>
      </c>
      <c r="DX176" s="228">
        <v>0.12</v>
      </c>
      <c r="DY176" s="229">
        <v>0.31580000000000003</v>
      </c>
      <c r="DZ176" s="229">
        <v>2.9600000000000001E-2</v>
      </c>
      <c r="EA176" s="230">
        <v>3872800</v>
      </c>
      <c r="EB176" s="229">
        <v>3.2000000000000002E-3</v>
      </c>
      <c r="EC176" s="229">
        <v>2.9600000000000001E-2</v>
      </c>
      <c r="ED176" s="228">
        <v>0.38</v>
      </c>
      <c r="EE176" s="229">
        <v>2.8E-3</v>
      </c>
      <c r="EF176" s="230">
        <v>15750968</v>
      </c>
      <c r="EG176" s="230">
        <v>6960840</v>
      </c>
      <c r="EH176" s="229">
        <v>1.2627999999999999</v>
      </c>
      <c r="EI176" s="229">
        <v>0.43049999999999999</v>
      </c>
      <c r="EJ176" s="231">
        <v>129551.6</v>
      </c>
      <c r="EK176" s="231">
        <v>62429.23</v>
      </c>
      <c r="EL176" s="231">
        <v>62456.52</v>
      </c>
      <c r="EM176" s="231">
        <v>11562</v>
      </c>
      <c r="EN176" s="231">
        <v>254437.35</v>
      </c>
      <c r="EO176" s="231">
        <v>196990.75</v>
      </c>
      <c r="EP176" s="231">
        <v>57446.6</v>
      </c>
      <c r="EQ176" s="229">
        <v>0.29160000000000003</v>
      </c>
      <c r="ER176" s="231">
        <v>59896</v>
      </c>
      <c r="ES176" s="231">
        <v>27879</v>
      </c>
      <c r="ET176" s="231">
        <v>221708</v>
      </c>
      <c r="EU176" s="231">
        <v>216861410</v>
      </c>
      <c r="EV176" s="231">
        <v>309483</v>
      </c>
      <c r="EW176" s="231">
        <v>288757</v>
      </c>
      <c r="EX176" s="231">
        <v>20726</v>
      </c>
      <c r="EY176" s="229">
        <v>7.1800000000000003E-2</v>
      </c>
      <c r="EZ176" s="229">
        <v>1.0623</v>
      </c>
      <c r="FA176" s="227" t="s">
        <v>567</v>
      </c>
      <c r="FB176" s="161">
        <f t="shared" si="4"/>
        <v>0</v>
      </c>
    </row>
    <row r="177" spans="1:158" ht="17.25" thickBot="1" x14ac:dyDescent="0.3">
      <c r="A177" s="226">
        <v>45936</v>
      </c>
      <c r="B177" s="227" t="s">
        <v>175</v>
      </c>
      <c r="C177" s="227" t="s">
        <v>688</v>
      </c>
      <c r="D177" s="228">
        <v>4300</v>
      </c>
      <c r="E177" s="228">
        <v>161.32</v>
      </c>
      <c r="F177" s="228">
        <v>166.04</v>
      </c>
      <c r="G177" s="228">
        <v>-4.72</v>
      </c>
      <c r="H177" s="229">
        <v>-2.8400000000000002E-2</v>
      </c>
      <c r="I177" s="228">
        <v>159.94</v>
      </c>
      <c r="J177" s="228">
        <v>165.03</v>
      </c>
      <c r="K177" s="228">
        <v>-5.09</v>
      </c>
      <c r="L177" s="229">
        <v>-3.0800000000000001E-2</v>
      </c>
      <c r="M177" s="228">
        <v>161.32</v>
      </c>
      <c r="N177" s="228">
        <v>166.04</v>
      </c>
      <c r="O177" s="228">
        <v>-4.72</v>
      </c>
      <c r="P177" s="229">
        <v>-2.8400000000000002E-2</v>
      </c>
      <c r="Q177" s="228">
        <v>161.97999999999999</v>
      </c>
      <c r="R177" s="228">
        <v>167</v>
      </c>
      <c r="S177" s="228">
        <v>-5.0199999999999996</v>
      </c>
      <c r="T177" s="229">
        <v>-3.0099999999999998E-2</v>
      </c>
      <c r="U177" s="228">
        <v>163.22999999999999</v>
      </c>
      <c r="V177" s="228">
        <v>0</v>
      </c>
      <c r="W177" s="228">
        <v>163.22999999999999</v>
      </c>
      <c r="X177" s="229">
        <v>0</v>
      </c>
      <c r="Y177" s="228">
        <v>1.38</v>
      </c>
      <c r="Z177" s="228">
        <v>1.01</v>
      </c>
      <c r="AA177" s="228">
        <v>0.37</v>
      </c>
      <c r="AB177" s="229">
        <v>8.6E-3</v>
      </c>
      <c r="AC177" s="228">
        <v>1.38</v>
      </c>
      <c r="AD177" s="228">
        <v>1.01</v>
      </c>
      <c r="AE177" s="228">
        <v>0.37</v>
      </c>
      <c r="AF177" s="229">
        <v>8.6E-3</v>
      </c>
      <c r="AG177" s="228">
        <v>2.04</v>
      </c>
      <c r="AH177" s="228">
        <v>1.97</v>
      </c>
      <c r="AI177" s="228">
        <v>7.0000000000000007E-2</v>
      </c>
      <c r="AJ177" s="229">
        <v>1.2800000000000001E-2</v>
      </c>
      <c r="AK177" s="228">
        <v>3.29</v>
      </c>
      <c r="AL177" s="228">
        <v>0</v>
      </c>
      <c r="AM177" s="228">
        <v>3.29</v>
      </c>
      <c r="AN177" s="229">
        <v>2.06E-2</v>
      </c>
      <c r="AO177" s="228">
        <v>159.26</v>
      </c>
      <c r="AP177" s="228">
        <v>159.77000000000001</v>
      </c>
      <c r="AQ177" s="228">
        <v>0</v>
      </c>
      <c r="AR177" s="230">
        <v>54455200</v>
      </c>
      <c r="AS177" s="230">
        <v>6110300</v>
      </c>
      <c r="AT177" s="230">
        <v>48344900</v>
      </c>
      <c r="AU177" s="229">
        <v>7.9119999999999999</v>
      </c>
      <c r="AV177" s="230">
        <v>49815500</v>
      </c>
      <c r="AW177" s="230">
        <v>6054400</v>
      </c>
      <c r="AX177" s="230">
        <v>43761100</v>
      </c>
      <c r="AY177" s="229">
        <v>7.2279999999999998</v>
      </c>
      <c r="AZ177" s="230">
        <v>4515000</v>
      </c>
      <c r="BA177" s="230">
        <v>55900</v>
      </c>
      <c r="BB177" s="230">
        <v>4459100</v>
      </c>
      <c r="BC177" s="229">
        <v>79.769199999999998</v>
      </c>
      <c r="BD177" s="230">
        <v>124700</v>
      </c>
      <c r="BE177" s="228">
        <v>0</v>
      </c>
      <c r="BF177" s="230">
        <v>124700</v>
      </c>
      <c r="BG177" s="229">
        <v>0</v>
      </c>
      <c r="BH177" s="230">
        <v>92450000</v>
      </c>
      <c r="BI177" s="230">
        <v>4106500</v>
      </c>
      <c r="BJ177" s="230">
        <v>88343500</v>
      </c>
      <c r="BK177" s="229">
        <v>21.513100000000001</v>
      </c>
      <c r="BL177" s="230">
        <v>65016000</v>
      </c>
      <c r="BM177" s="230">
        <v>1023400</v>
      </c>
      <c r="BN177" s="230">
        <v>63992600</v>
      </c>
      <c r="BO177" s="229">
        <v>62.529400000000003</v>
      </c>
      <c r="BP177" s="230">
        <v>211921200</v>
      </c>
      <c r="BQ177" s="230">
        <v>11240200</v>
      </c>
      <c r="BR177" s="230">
        <v>200681000</v>
      </c>
      <c r="BS177" s="229">
        <v>17.853899999999999</v>
      </c>
      <c r="BT177" s="230">
        <v>60585852</v>
      </c>
      <c r="BU177" s="230">
        <v>102796489</v>
      </c>
      <c r="BV177" s="230">
        <v>-42210637</v>
      </c>
      <c r="BW177" s="229">
        <v>-0.41060000000000002</v>
      </c>
      <c r="BX177" s="230">
        <v>102352900</v>
      </c>
      <c r="BY177" s="230">
        <v>88046800</v>
      </c>
      <c r="BZ177" s="230">
        <v>14306100</v>
      </c>
      <c r="CA177" s="229">
        <v>0.16250000000000001</v>
      </c>
      <c r="CB177" s="230">
        <v>99484800</v>
      </c>
      <c r="CC177" s="230">
        <v>86546100</v>
      </c>
      <c r="CD177" s="230">
        <v>12938700</v>
      </c>
      <c r="CE177" s="229">
        <v>0.14949999999999999</v>
      </c>
      <c r="CF177" s="230">
        <v>2790700</v>
      </c>
      <c r="CG177" s="230">
        <v>1500700</v>
      </c>
      <c r="CH177" s="230">
        <v>1290000</v>
      </c>
      <c r="CI177" s="229">
        <v>0.85960000000000003</v>
      </c>
      <c r="CJ177" s="230">
        <v>77400</v>
      </c>
      <c r="CK177" s="228">
        <v>0</v>
      </c>
      <c r="CL177" s="230">
        <v>77400</v>
      </c>
      <c r="CM177" s="229">
        <v>0</v>
      </c>
      <c r="CN177" s="230">
        <v>25460300</v>
      </c>
      <c r="CO177" s="230">
        <v>16585100</v>
      </c>
      <c r="CP177" s="230">
        <v>8875200</v>
      </c>
      <c r="CQ177" s="229">
        <v>0.53510000000000002</v>
      </c>
      <c r="CR177" s="230">
        <v>26354700</v>
      </c>
      <c r="CS177" s="230">
        <v>15535900</v>
      </c>
      <c r="CT177" s="230">
        <v>10818800</v>
      </c>
      <c r="CU177" s="229">
        <v>0.69640000000000002</v>
      </c>
      <c r="CV177" s="230">
        <v>154167900</v>
      </c>
      <c r="CW177" s="230">
        <v>120167800</v>
      </c>
      <c r="CX177" s="230">
        <v>34000100</v>
      </c>
      <c r="CY177" s="229">
        <v>0.28289999999999998</v>
      </c>
      <c r="CZ177" s="228">
        <v>41.33</v>
      </c>
      <c r="DA177" s="228">
        <v>47.6</v>
      </c>
      <c r="DB177" s="228">
        <v>-6.27</v>
      </c>
      <c r="DC177" s="228">
        <v>-6.27</v>
      </c>
      <c r="DD177" s="228">
        <v>58.24</v>
      </c>
      <c r="DE177" s="228">
        <v>58.23</v>
      </c>
      <c r="DF177" s="228">
        <v>-16.91</v>
      </c>
      <c r="DG177" s="228">
        <v>0.01</v>
      </c>
      <c r="DH177" s="228">
        <v>40.799999999999997</v>
      </c>
      <c r="DI177" s="228">
        <v>46.71</v>
      </c>
      <c r="DJ177" s="228">
        <v>-5.91</v>
      </c>
      <c r="DK177" s="228">
        <v>-5.91</v>
      </c>
      <c r="DL177" s="228">
        <v>42.08</v>
      </c>
      <c r="DM177" s="228">
        <v>51.21</v>
      </c>
      <c r="DN177" s="228">
        <v>-9.1300000000000008</v>
      </c>
      <c r="DO177" s="228">
        <v>-9.1300000000000008</v>
      </c>
      <c r="DP177" s="228">
        <v>1.04</v>
      </c>
      <c r="DQ177" s="228">
        <v>0.94</v>
      </c>
      <c r="DR177" s="228">
        <v>0.1</v>
      </c>
      <c r="DS177" s="229">
        <v>0.10639999999999999</v>
      </c>
      <c r="DT177" s="228">
        <v>160</v>
      </c>
      <c r="DU177" s="228">
        <v>140</v>
      </c>
      <c r="DV177" s="228">
        <v>0.7</v>
      </c>
      <c r="DW177" s="228">
        <v>0.25</v>
      </c>
      <c r="DX177" s="228">
        <v>0.45</v>
      </c>
      <c r="DY177" s="229">
        <v>1.8</v>
      </c>
      <c r="DZ177" s="229">
        <v>2.8000000000000001E-2</v>
      </c>
      <c r="EA177" s="230">
        <v>1500700</v>
      </c>
      <c r="EB177" s="229">
        <v>4.1000000000000003E-3</v>
      </c>
      <c r="EC177" s="229">
        <v>2.8000000000000001E-2</v>
      </c>
      <c r="ED177" s="228">
        <v>0.51</v>
      </c>
      <c r="EE177" s="229">
        <v>3.2000000000000002E-3</v>
      </c>
      <c r="EF177" s="230">
        <v>23152074</v>
      </c>
      <c r="EG177" s="230">
        <v>29132150</v>
      </c>
      <c r="EH177" s="229">
        <v>-0.20530000000000001</v>
      </c>
      <c r="EI177" s="229">
        <v>0.3821</v>
      </c>
      <c r="EJ177" s="231">
        <v>156552.01</v>
      </c>
      <c r="EK177" s="231">
        <v>99683.98</v>
      </c>
      <c r="EL177" s="231">
        <v>86750.09</v>
      </c>
      <c r="EM177" s="231">
        <v>16813</v>
      </c>
      <c r="EN177" s="231">
        <v>342986.08</v>
      </c>
      <c r="EO177" s="231">
        <v>18456.73</v>
      </c>
      <c r="EP177" s="231">
        <v>324529.34999999998</v>
      </c>
      <c r="EQ177" s="229">
        <v>17.583300000000001</v>
      </c>
      <c r="ER177" s="231">
        <v>41273</v>
      </c>
      <c r="ES177" s="231">
        <v>38311</v>
      </c>
      <c r="ET177" s="231">
        <v>165136</v>
      </c>
      <c r="EU177" s="231">
        <v>122326971</v>
      </c>
      <c r="EV177" s="231">
        <v>244720</v>
      </c>
      <c r="EW177" s="231">
        <v>193288</v>
      </c>
      <c r="EX177" s="231">
        <v>51432</v>
      </c>
      <c r="EY177" s="229">
        <v>0.2661</v>
      </c>
      <c r="EZ177" s="229">
        <v>1.2603</v>
      </c>
      <c r="FA177" s="227" t="s">
        <v>567</v>
      </c>
      <c r="FB177" s="161">
        <f t="shared" si="4"/>
        <v>0</v>
      </c>
    </row>
    <row r="178" spans="1:158" ht="17.25" thickBot="1" x14ac:dyDescent="0.3">
      <c r="A178" s="226">
        <v>45936</v>
      </c>
      <c r="B178" s="227" t="s">
        <v>175</v>
      </c>
      <c r="C178" s="227" t="s">
        <v>536</v>
      </c>
      <c r="D178" s="228">
        <v>800</v>
      </c>
      <c r="E178" s="228">
        <v>889.95</v>
      </c>
      <c r="F178" s="228">
        <v>866.3</v>
      </c>
      <c r="G178" s="228">
        <v>23.65</v>
      </c>
      <c r="H178" s="229">
        <v>2.7300000000000001E-2</v>
      </c>
      <c r="I178" s="228">
        <v>902.6</v>
      </c>
      <c r="J178" s="228">
        <v>892.05</v>
      </c>
      <c r="K178" s="228">
        <v>10.55</v>
      </c>
      <c r="L178" s="229">
        <v>1.18E-2</v>
      </c>
      <c r="M178" s="228">
        <v>889.95</v>
      </c>
      <c r="N178" s="228">
        <v>866.3</v>
      </c>
      <c r="O178" s="228">
        <v>23.65</v>
      </c>
      <c r="P178" s="229">
        <v>2.7300000000000001E-2</v>
      </c>
      <c r="Q178" s="228">
        <v>879.35</v>
      </c>
      <c r="R178" s="228">
        <v>855.3</v>
      </c>
      <c r="S178" s="228">
        <v>24.05</v>
      </c>
      <c r="T178" s="229">
        <v>2.81E-2</v>
      </c>
      <c r="U178" s="228">
        <v>872.65</v>
      </c>
      <c r="V178" s="228">
        <v>848.2</v>
      </c>
      <c r="W178" s="228">
        <v>24.45</v>
      </c>
      <c r="X178" s="229">
        <v>2.8799999999999999E-2</v>
      </c>
      <c r="Y178" s="228">
        <v>-12.65</v>
      </c>
      <c r="Z178" s="228">
        <v>-25.75</v>
      </c>
      <c r="AA178" s="228">
        <v>13.1</v>
      </c>
      <c r="AB178" s="229">
        <v>-1.4E-2</v>
      </c>
      <c r="AC178" s="228">
        <v>-12.65</v>
      </c>
      <c r="AD178" s="228">
        <v>-25.75</v>
      </c>
      <c r="AE178" s="228">
        <v>13.1</v>
      </c>
      <c r="AF178" s="229">
        <v>-1.4E-2</v>
      </c>
      <c r="AG178" s="228">
        <v>-23.25</v>
      </c>
      <c r="AH178" s="228">
        <v>-36.75</v>
      </c>
      <c r="AI178" s="228">
        <v>13.5</v>
      </c>
      <c r="AJ178" s="229">
        <v>-2.58E-2</v>
      </c>
      <c r="AK178" s="228">
        <v>-29.95</v>
      </c>
      <c r="AL178" s="228">
        <v>-43.85</v>
      </c>
      <c r="AM178" s="228">
        <v>13.9</v>
      </c>
      <c r="AN178" s="229">
        <v>-3.32E-2</v>
      </c>
      <c r="AO178" s="228">
        <v>887.61</v>
      </c>
      <c r="AP178" s="228">
        <v>876.96</v>
      </c>
      <c r="AQ178" s="228">
        <v>0</v>
      </c>
      <c r="AR178" s="230">
        <v>6009600</v>
      </c>
      <c r="AS178" s="230">
        <v>4308800</v>
      </c>
      <c r="AT178" s="230">
        <v>1700800</v>
      </c>
      <c r="AU178" s="229">
        <v>0.3947</v>
      </c>
      <c r="AV178" s="230">
        <v>4592000</v>
      </c>
      <c r="AW178" s="230">
        <v>3666400</v>
      </c>
      <c r="AX178" s="230">
        <v>925600</v>
      </c>
      <c r="AY178" s="229">
        <v>0.2525</v>
      </c>
      <c r="AZ178" s="230">
        <v>921600</v>
      </c>
      <c r="BA178" s="230">
        <v>520000</v>
      </c>
      <c r="BB178" s="230">
        <v>401600</v>
      </c>
      <c r="BC178" s="229">
        <v>0.77229999999999999</v>
      </c>
      <c r="BD178" s="230">
        <v>496000</v>
      </c>
      <c r="BE178" s="230">
        <v>122400</v>
      </c>
      <c r="BF178" s="230">
        <v>373600</v>
      </c>
      <c r="BG178" s="229">
        <v>3.0522999999999998</v>
      </c>
      <c r="BH178" s="230">
        <v>17039200</v>
      </c>
      <c r="BI178" s="230">
        <v>7051200</v>
      </c>
      <c r="BJ178" s="230">
        <v>9988000</v>
      </c>
      <c r="BK178" s="229">
        <v>1.4165000000000001</v>
      </c>
      <c r="BL178" s="230">
        <v>6286400</v>
      </c>
      <c r="BM178" s="230">
        <v>2085600</v>
      </c>
      <c r="BN178" s="230">
        <v>4200800</v>
      </c>
      <c r="BO178" s="229">
        <v>2.0142000000000002</v>
      </c>
      <c r="BP178" s="230">
        <v>29335200</v>
      </c>
      <c r="BQ178" s="230">
        <v>13445600</v>
      </c>
      <c r="BR178" s="230">
        <v>15889600</v>
      </c>
      <c r="BS178" s="229">
        <v>1.1818</v>
      </c>
      <c r="BT178" s="230">
        <v>1271415</v>
      </c>
      <c r="BU178" s="230">
        <v>1177422</v>
      </c>
      <c r="BV178" s="230">
        <v>93993</v>
      </c>
      <c r="BW178" s="229">
        <v>7.9799999999999996E-2</v>
      </c>
      <c r="BX178" s="230">
        <v>18636800</v>
      </c>
      <c r="BY178" s="230">
        <v>17544800</v>
      </c>
      <c r="BZ178" s="230">
        <v>1092000</v>
      </c>
      <c r="CA178" s="229">
        <v>6.2199999999999998E-2</v>
      </c>
      <c r="CB178" s="230">
        <v>17332000</v>
      </c>
      <c r="CC178" s="230">
        <v>16642400</v>
      </c>
      <c r="CD178" s="230">
        <v>689600</v>
      </c>
      <c r="CE178" s="229">
        <v>4.1399999999999999E-2</v>
      </c>
      <c r="CF178" s="230">
        <v>825600</v>
      </c>
      <c r="CG178" s="230">
        <v>800800</v>
      </c>
      <c r="CH178" s="230">
        <v>24800</v>
      </c>
      <c r="CI178" s="229">
        <v>3.1E-2</v>
      </c>
      <c r="CJ178" s="230">
        <v>479200</v>
      </c>
      <c r="CK178" s="230">
        <v>101600</v>
      </c>
      <c r="CL178" s="230">
        <v>377600</v>
      </c>
      <c r="CM178" s="229">
        <v>3.7164999999999999</v>
      </c>
      <c r="CN178" s="230">
        <v>5237600</v>
      </c>
      <c r="CO178" s="230">
        <v>5140800</v>
      </c>
      <c r="CP178" s="230">
        <v>96800</v>
      </c>
      <c r="CQ178" s="229">
        <v>1.8800000000000001E-2</v>
      </c>
      <c r="CR178" s="230">
        <v>3136800</v>
      </c>
      <c r="CS178" s="230">
        <v>2632000</v>
      </c>
      <c r="CT178" s="230">
        <v>504800</v>
      </c>
      <c r="CU178" s="229">
        <v>0.1918</v>
      </c>
      <c r="CV178" s="230">
        <v>27011200</v>
      </c>
      <c r="CW178" s="230">
        <v>25317600</v>
      </c>
      <c r="CX178" s="230">
        <v>1693600</v>
      </c>
      <c r="CY178" s="229">
        <v>6.6900000000000001E-2</v>
      </c>
      <c r="CZ178" s="228">
        <v>27.74</v>
      </c>
      <c r="DA178" s="228">
        <v>28</v>
      </c>
      <c r="DB178" s="228">
        <v>-0.26</v>
      </c>
      <c r="DC178" s="228">
        <v>-0.26</v>
      </c>
      <c r="DD178" s="228">
        <v>30.69</v>
      </c>
      <c r="DE178" s="228">
        <v>30.73</v>
      </c>
      <c r="DF178" s="228">
        <v>-2.95</v>
      </c>
      <c r="DG178" s="228">
        <v>-0.04</v>
      </c>
      <c r="DH178" s="228">
        <v>27.67</v>
      </c>
      <c r="DI178" s="228">
        <v>28.28</v>
      </c>
      <c r="DJ178" s="228">
        <v>-0.61</v>
      </c>
      <c r="DK178" s="228">
        <v>-0.61</v>
      </c>
      <c r="DL178" s="228">
        <v>27.92</v>
      </c>
      <c r="DM178" s="228">
        <v>27.07</v>
      </c>
      <c r="DN178" s="228">
        <v>0.85</v>
      </c>
      <c r="DO178" s="228">
        <v>0.85</v>
      </c>
      <c r="DP178" s="228">
        <v>0.6</v>
      </c>
      <c r="DQ178" s="228">
        <v>0.51</v>
      </c>
      <c r="DR178" s="228">
        <v>0.09</v>
      </c>
      <c r="DS178" s="229">
        <v>0.17649999999999999</v>
      </c>
      <c r="DT178" s="228">
        <v>900</v>
      </c>
      <c r="DU178" s="228">
        <v>800</v>
      </c>
      <c r="DV178" s="228">
        <v>0.37</v>
      </c>
      <c r="DW178" s="228">
        <v>0.3</v>
      </c>
      <c r="DX178" s="228">
        <v>7.0000000000000007E-2</v>
      </c>
      <c r="DY178" s="229">
        <v>0.23330000000000001</v>
      </c>
      <c r="DZ178" s="229">
        <v>7.0000000000000007E-2</v>
      </c>
      <c r="EA178" s="230">
        <v>902400</v>
      </c>
      <c r="EB178" s="229">
        <v>-1.1900000000000001E-2</v>
      </c>
      <c r="EC178" s="229">
        <v>7.0000000000000007E-2</v>
      </c>
      <c r="ED178" s="228">
        <v>-10.65</v>
      </c>
      <c r="EE178" s="229">
        <v>-1.2E-2</v>
      </c>
      <c r="EF178" s="230">
        <v>407477</v>
      </c>
      <c r="EG178" s="230">
        <v>592341</v>
      </c>
      <c r="EH178" s="229">
        <v>-0.31209999999999999</v>
      </c>
      <c r="EI178" s="229">
        <v>0.32050000000000001</v>
      </c>
      <c r="EJ178" s="231">
        <v>158690.26999999999</v>
      </c>
      <c r="EK178" s="231">
        <v>54842.32</v>
      </c>
      <c r="EL178" s="231">
        <v>53160.34</v>
      </c>
      <c r="EM178" s="231">
        <v>6923</v>
      </c>
      <c r="EN178" s="231">
        <v>266692.93</v>
      </c>
      <c r="EO178" s="231">
        <v>119826.52</v>
      </c>
      <c r="EP178" s="231">
        <v>146866.41</v>
      </c>
      <c r="EQ178" s="229">
        <v>1.2257</v>
      </c>
      <c r="ER178" s="231">
        <v>48357</v>
      </c>
      <c r="ES178" s="231">
        <v>26374</v>
      </c>
      <c r="ET178" s="231">
        <v>165688</v>
      </c>
      <c r="EU178" s="231">
        <v>39583537</v>
      </c>
      <c r="EV178" s="231">
        <v>240419</v>
      </c>
      <c r="EW178" s="231">
        <v>220988</v>
      </c>
      <c r="EX178" s="231">
        <v>19431</v>
      </c>
      <c r="EY178" s="229">
        <v>8.7900000000000006E-2</v>
      </c>
      <c r="EZ178" s="229">
        <v>0.68240000000000001</v>
      </c>
      <c r="FA178" s="227" t="s">
        <v>555</v>
      </c>
      <c r="FB178" s="161">
        <f t="shared" si="4"/>
        <v>0</v>
      </c>
    </row>
    <row r="179" spans="1:158" ht="17.25" thickBot="1" x14ac:dyDescent="0.3">
      <c r="A179" s="226">
        <v>45936</v>
      </c>
      <c r="B179" s="227" t="s">
        <v>175</v>
      </c>
      <c r="C179" s="227" t="s">
        <v>462</v>
      </c>
      <c r="D179" s="228">
        <v>375</v>
      </c>
      <c r="E179" s="231">
        <v>1774.3</v>
      </c>
      <c r="F179" s="231">
        <v>1791.3</v>
      </c>
      <c r="G179" s="228">
        <v>-17</v>
      </c>
      <c r="H179" s="229">
        <v>-9.4999999999999998E-3</v>
      </c>
      <c r="I179" s="231">
        <v>1770.9</v>
      </c>
      <c r="J179" s="231">
        <v>1785.1</v>
      </c>
      <c r="K179" s="228">
        <v>-14.2</v>
      </c>
      <c r="L179" s="229">
        <v>-8.0000000000000002E-3</v>
      </c>
      <c r="M179" s="231">
        <v>1774.3</v>
      </c>
      <c r="N179" s="231">
        <v>1791.3</v>
      </c>
      <c r="O179" s="228">
        <v>-17</v>
      </c>
      <c r="P179" s="229">
        <v>-9.4999999999999998E-3</v>
      </c>
      <c r="Q179" s="231">
        <v>1784.8</v>
      </c>
      <c r="R179" s="231">
        <v>1801</v>
      </c>
      <c r="S179" s="228">
        <v>-16.2</v>
      </c>
      <c r="T179" s="229">
        <v>-8.9999999999999993E-3</v>
      </c>
      <c r="U179" s="231">
        <v>1793.4</v>
      </c>
      <c r="V179" s="231">
        <v>1810.8</v>
      </c>
      <c r="W179" s="228">
        <v>-17.399999999999999</v>
      </c>
      <c r="X179" s="229">
        <v>-9.5999999999999992E-3</v>
      </c>
      <c r="Y179" s="228">
        <v>3.4</v>
      </c>
      <c r="Z179" s="228">
        <v>6.2</v>
      </c>
      <c r="AA179" s="228">
        <v>-2.8</v>
      </c>
      <c r="AB179" s="229">
        <v>1.9E-3</v>
      </c>
      <c r="AC179" s="228">
        <v>3.4</v>
      </c>
      <c r="AD179" s="228">
        <v>6.2</v>
      </c>
      <c r="AE179" s="228">
        <v>-2.8</v>
      </c>
      <c r="AF179" s="229">
        <v>1.9E-3</v>
      </c>
      <c r="AG179" s="228">
        <v>13.9</v>
      </c>
      <c r="AH179" s="228">
        <v>15.9</v>
      </c>
      <c r="AI179" s="228">
        <v>-2</v>
      </c>
      <c r="AJ179" s="229">
        <v>7.7999999999999996E-3</v>
      </c>
      <c r="AK179" s="228">
        <v>22.5</v>
      </c>
      <c r="AL179" s="228">
        <v>25.7</v>
      </c>
      <c r="AM179" s="228">
        <v>-3.2</v>
      </c>
      <c r="AN179" s="229">
        <v>1.2699999999999999E-2</v>
      </c>
      <c r="AO179" s="231">
        <v>1771.95</v>
      </c>
      <c r="AP179" s="231">
        <v>1782.51</v>
      </c>
      <c r="AQ179" s="228">
        <v>0</v>
      </c>
      <c r="AR179" s="230">
        <v>1841250</v>
      </c>
      <c r="AS179" s="230">
        <v>1099125</v>
      </c>
      <c r="AT179" s="230">
        <v>742125</v>
      </c>
      <c r="AU179" s="229">
        <v>0.67520000000000002</v>
      </c>
      <c r="AV179" s="230">
        <v>1771125</v>
      </c>
      <c r="AW179" s="230">
        <v>1047000</v>
      </c>
      <c r="AX179" s="230">
        <v>724125</v>
      </c>
      <c r="AY179" s="229">
        <v>0.69159999999999999</v>
      </c>
      <c r="AZ179" s="230">
        <v>54375</v>
      </c>
      <c r="BA179" s="230">
        <v>47625</v>
      </c>
      <c r="BB179" s="230">
        <v>6750</v>
      </c>
      <c r="BC179" s="229">
        <v>0.14169999999999999</v>
      </c>
      <c r="BD179" s="230">
        <v>15750</v>
      </c>
      <c r="BE179" s="230">
        <v>4500</v>
      </c>
      <c r="BF179" s="230">
        <v>11250</v>
      </c>
      <c r="BG179" s="229">
        <v>2.5</v>
      </c>
      <c r="BH179" s="230">
        <v>1764375</v>
      </c>
      <c r="BI179" s="230">
        <v>2936625</v>
      </c>
      <c r="BJ179" s="230">
        <v>-1172250</v>
      </c>
      <c r="BK179" s="229">
        <v>-0.3992</v>
      </c>
      <c r="BL179" s="230">
        <v>809625</v>
      </c>
      <c r="BM179" s="230">
        <v>876375</v>
      </c>
      <c r="BN179" s="230">
        <v>-66750</v>
      </c>
      <c r="BO179" s="229">
        <v>-7.6200000000000004E-2</v>
      </c>
      <c r="BP179" s="230">
        <v>4415250</v>
      </c>
      <c r="BQ179" s="230">
        <v>4912125</v>
      </c>
      <c r="BR179" s="230">
        <v>-496875</v>
      </c>
      <c r="BS179" s="229">
        <v>-0.1012</v>
      </c>
      <c r="BT179" s="230">
        <v>1577809</v>
      </c>
      <c r="BU179" s="230">
        <v>726947</v>
      </c>
      <c r="BV179" s="230">
        <v>850862</v>
      </c>
      <c r="BW179" s="229">
        <v>1.1705000000000001</v>
      </c>
      <c r="BX179" s="230">
        <v>6742500</v>
      </c>
      <c r="BY179" s="230">
        <v>6918750</v>
      </c>
      <c r="BZ179" s="230">
        <v>-176250</v>
      </c>
      <c r="CA179" s="229">
        <v>-2.5499999999999998E-2</v>
      </c>
      <c r="CB179" s="230">
        <v>6652125</v>
      </c>
      <c r="CC179" s="230">
        <v>6841500</v>
      </c>
      <c r="CD179" s="230">
        <v>-189375</v>
      </c>
      <c r="CE179" s="229">
        <v>-2.7699999999999999E-2</v>
      </c>
      <c r="CF179" s="230">
        <v>75000</v>
      </c>
      <c r="CG179" s="230">
        <v>59250</v>
      </c>
      <c r="CH179" s="230">
        <v>15750</v>
      </c>
      <c r="CI179" s="229">
        <v>0.26579999999999998</v>
      </c>
      <c r="CJ179" s="230">
        <v>15375</v>
      </c>
      <c r="CK179" s="230">
        <v>18000</v>
      </c>
      <c r="CL179" s="230">
        <v>-2625</v>
      </c>
      <c r="CM179" s="229">
        <v>-0.14580000000000001</v>
      </c>
      <c r="CN179" s="230">
        <v>1806375</v>
      </c>
      <c r="CO179" s="230">
        <v>1580625</v>
      </c>
      <c r="CP179" s="230">
        <v>225750</v>
      </c>
      <c r="CQ179" s="229">
        <v>0.14280000000000001</v>
      </c>
      <c r="CR179" s="230">
        <v>723000</v>
      </c>
      <c r="CS179" s="230">
        <v>651750</v>
      </c>
      <c r="CT179" s="230">
        <v>71250</v>
      </c>
      <c r="CU179" s="229">
        <v>0.10929999999999999</v>
      </c>
      <c r="CV179" s="230">
        <v>9271875</v>
      </c>
      <c r="CW179" s="230">
        <v>9151125</v>
      </c>
      <c r="CX179" s="230">
        <v>120750</v>
      </c>
      <c r="CY179" s="229">
        <v>1.32E-2</v>
      </c>
      <c r="CZ179" s="228">
        <v>21.4</v>
      </c>
      <c r="DA179" s="228">
        <v>20.59</v>
      </c>
      <c r="DB179" s="228">
        <v>0.81</v>
      </c>
      <c r="DC179" s="228">
        <v>0.81</v>
      </c>
      <c r="DD179" s="228">
        <v>25.92</v>
      </c>
      <c r="DE179" s="228">
        <v>25.97</v>
      </c>
      <c r="DF179" s="228">
        <v>-4.5199999999999996</v>
      </c>
      <c r="DG179" s="228">
        <v>-0.05</v>
      </c>
      <c r="DH179" s="228">
        <v>21.36</v>
      </c>
      <c r="DI179" s="228">
        <v>20.39</v>
      </c>
      <c r="DJ179" s="228">
        <v>0.97</v>
      </c>
      <c r="DK179" s="228">
        <v>0.97</v>
      </c>
      <c r="DL179" s="228">
        <v>21.49</v>
      </c>
      <c r="DM179" s="228">
        <v>21.28</v>
      </c>
      <c r="DN179" s="228">
        <v>0.21</v>
      </c>
      <c r="DO179" s="228">
        <v>0.21</v>
      </c>
      <c r="DP179" s="228">
        <v>0.4</v>
      </c>
      <c r="DQ179" s="228">
        <v>0.41</v>
      </c>
      <c r="DR179" s="228">
        <v>-0.01</v>
      </c>
      <c r="DS179" s="229">
        <v>-2.4400000000000002E-2</v>
      </c>
      <c r="DT179" s="231">
        <v>1800</v>
      </c>
      <c r="DU179" s="231">
        <v>1800</v>
      </c>
      <c r="DV179" s="228">
        <v>0.46</v>
      </c>
      <c r="DW179" s="228">
        <v>0.3</v>
      </c>
      <c r="DX179" s="228">
        <v>0.16</v>
      </c>
      <c r="DY179" s="229">
        <v>0.5333</v>
      </c>
      <c r="DZ179" s="229">
        <v>1.34E-2</v>
      </c>
      <c r="EA179" s="230">
        <v>77250</v>
      </c>
      <c r="EB179" s="229">
        <v>5.8999999999999999E-3</v>
      </c>
      <c r="EC179" s="229">
        <v>1.34E-2</v>
      </c>
      <c r="ED179" s="228">
        <v>10.56</v>
      </c>
      <c r="EE179" s="229">
        <v>6.0000000000000001E-3</v>
      </c>
      <c r="EF179" s="230">
        <v>1121994</v>
      </c>
      <c r="EG179" s="230">
        <v>435780</v>
      </c>
      <c r="EH179" s="229">
        <v>1.5747</v>
      </c>
      <c r="EI179" s="229">
        <v>0.71109999999999995</v>
      </c>
      <c r="EJ179" s="231">
        <v>32523.56</v>
      </c>
      <c r="EK179" s="231">
        <v>14353.79</v>
      </c>
      <c r="EL179" s="231">
        <v>32634.89</v>
      </c>
      <c r="EM179" s="231">
        <v>6574</v>
      </c>
      <c r="EN179" s="231">
        <v>79512.240000000005</v>
      </c>
      <c r="EO179" s="231">
        <v>89838.06</v>
      </c>
      <c r="EP179" s="231">
        <v>-10325.82</v>
      </c>
      <c r="EQ179" s="229">
        <v>-0.1149</v>
      </c>
      <c r="ER179" s="231">
        <v>33502</v>
      </c>
      <c r="ES179" s="231">
        <v>12586</v>
      </c>
      <c r="ET179" s="231">
        <v>119643</v>
      </c>
      <c r="EU179" s="231">
        <v>44735132</v>
      </c>
      <c r="EV179" s="231">
        <v>165731</v>
      </c>
      <c r="EW179" s="231">
        <v>164686</v>
      </c>
      <c r="EX179" s="231">
        <v>1045</v>
      </c>
      <c r="EY179" s="229">
        <v>6.3E-3</v>
      </c>
      <c r="EZ179" s="229">
        <v>0.20730000000000001</v>
      </c>
      <c r="FA179" s="227" t="s">
        <v>568</v>
      </c>
      <c r="FB179" s="161">
        <f t="shared" si="4"/>
        <v>0</v>
      </c>
    </row>
    <row r="180" spans="1:158" ht="17.25" thickBot="1" x14ac:dyDescent="0.3">
      <c r="A180" s="226">
        <v>45936</v>
      </c>
      <c r="B180" s="227" t="s">
        <v>172</v>
      </c>
      <c r="C180" s="227" t="s">
        <v>283</v>
      </c>
      <c r="D180" s="228">
        <v>750</v>
      </c>
      <c r="E180" s="228">
        <v>877.75</v>
      </c>
      <c r="F180" s="228">
        <v>872.85</v>
      </c>
      <c r="G180" s="228">
        <v>4.9000000000000004</v>
      </c>
      <c r="H180" s="229">
        <v>5.5999999999999999E-3</v>
      </c>
      <c r="I180" s="228">
        <v>874.05</v>
      </c>
      <c r="J180" s="228">
        <v>867.3</v>
      </c>
      <c r="K180" s="228">
        <v>6.75</v>
      </c>
      <c r="L180" s="229">
        <v>7.7999999999999996E-3</v>
      </c>
      <c r="M180" s="228">
        <v>877.75</v>
      </c>
      <c r="N180" s="228">
        <v>872.85</v>
      </c>
      <c r="O180" s="228">
        <v>4.9000000000000004</v>
      </c>
      <c r="P180" s="229">
        <v>5.5999999999999999E-3</v>
      </c>
      <c r="Q180" s="228">
        <v>882.3</v>
      </c>
      <c r="R180" s="228">
        <v>877.5</v>
      </c>
      <c r="S180" s="228">
        <v>4.8</v>
      </c>
      <c r="T180" s="229">
        <v>5.4999999999999997E-3</v>
      </c>
      <c r="U180" s="228">
        <v>887.55</v>
      </c>
      <c r="V180" s="228">
        <v>882.85</v>
      </c>
      <c r="W180" s="228">
        <v>4.7</v>
      </c>
      <c r="X180" s="229">
        <v>5.3E-3</v>
      </c>
      <c r="Y180" s="228">
        <v>3.7</v>
      </c>
      <c r="Z180" s="228">
        <v>5.55</v>
      </c>
      <c r="AA180" s="228">
        <v>-1.85</v>
      </c>
      <c r="AB180" s="229">
        <v>4.1999999999999997E-3</v>
      </c>
      <c r="AC180" s="228">
        <v>3.7</v>
      </c>
      <c r="AD180" s="228">
        <v>5.55</v>
      </c>
      <c r="AE180" s="228">
        <v>-1.85</v>
      </c>
      <c r="AF180" s="229">
        <v>4.1999999999999997E-3</v>
      </c>
      <c r="AG180" s="228">
        <v>8.25</v>
      </c>
      <c r="AH180" s="228">
        <v>10.199999999999999</v>
      </c>
      <c r="AI180" s="228">
        <v>-1.95</v>
      </c>
      <c r="AJ180" s="229">
        <v>9.4000000000000004E-3</v>
      </c>
      <c r="AK180" s="228">
        <v>13.5</v>
      </c>
      <c r="AL180" s="228">
        <v>15.55</v>
      </c>
      <c r="AM180" s="228">
        <v>-2.0499999999999998</v>
      </c>
      <c r="AN180" s="229">
        <v>1.54E-2</v>
      </c>
      <c r="AO180" s="228">
        <v>872.59</v>
      </c>
      <c r="AP180" s="228">
        <v>877.25</v>
      </c>
      <c r="AQ180" s="228">
        <v>0</v>
      </c>
      <c r="AR180" s="230">
        <v>13131000</v>
      </c>
      <c r="AS180" s="230">
        <v>12274500</v>
      </c>
      <c r="AT180" s="230">
        <v>856500</v>
      </c>
      <c r="AU180" s="229">
        <v>6.9800000000000001E-2</v>
      </c>
      <c r="AV180" s="230">
        <v>12474000</v>
      </c>
      <c r="AW180" s="230">
        <v>11645250</v>
      </c>
      <c r="AX180" s="230">
        <v>828750</v>
      </c>
      <c r="AY180" s="229">
        <v>7.1199999999999999E-2</v>
      </c>
      <c r="AZ180" s="230">
        <v>577500</v>
      </c>
      <c r="BA180" s="230">
        <v>537000</v>
      </c>
      <c r="BB180" s="230">
        <v>40500</v>
      </c>
      <c r="BC180" s="229">
        <v>7.5399999999999995E-2</v>
      </c>
      <c r="BD180" s="230">
        <v>79500</v>
      </c>
      <c r="BE180" s="230">
        <v>92250</v>
      </c>
      <c r="BF180" s="230">
        <v>-12750</v>
      </c>
      <c r="BG180" s="229">
        <v>-0.13819999999999999</v>
      </c>
      <c r="BH180" s="230">
        <v>64977000</v>
      </c>
      <c r="BI180" s="230">
        <v>63338250</v>
      </c>
      <c r="BJ180" s="230">
        <v>1638750</v>
      </c>
      <c r="BK180" s="229">
        <v>2.5899999999999999E-2</v>
      </c>
      <c r="BL180" s="230">
        <v>37060500</v>
      </c>
      <c r="BM180" s="230">
        <v>39843000</v>
      </c>
      <c r="BN180" s="230">
        <v>-2782500</v>
      </c>
      <c r="BO180" s="229">
        <v>-6.9800000000000001E-2</v>
      </c>
      <c r="BP180" s="230">
        <v>115168500</v>
      </c>
      <c r="BQ180" s="230">
        <v>115455750</v>
      </c>
      <c r="BR180" s="230">
        <v>-287250</v>
      </c>
      <c r="BS180" s="229">
        <v>-2.5000000000000001E-3</v>
      </c>
      <c r="BT180" s="230">
        <v>8473035</v>
      </c>
      <c r="BU180" s="230">
        <v>8802782</v>
      </c>
      <c r="BV180" s="230">
        <v>-329747</v>
      </c>
      <c r="BW180" s="229">
        <v>-3.7499999999999999E-2</v>
      </c>
      <c r="BX180" s="230">
        <v>95175750</v>
      </c>
      <c r="BY180" s="230">
        <v>95634000</v>
      </c>
      <c r="BZ180" s="230">
        <v>-458250</v>
      </c>
      <c r="CA180" s="229">
        <v>-4.7999999999999996E-3</v>
      </c>
      <c r="CB180" s="230">
        <v>93378750</v>
      </c>
      <c r="CC180" s="230">
        <v>93897750</v>
      </c>
      <c r="CD180" s="230">
        <v>-519000</v>
      </c>
      <c r="CE180" s="229">
        <v>-5.4999999999999997E-3</v>
      </c>
      <c r="CF180" s="230">
        <v>1668000</v>
      </c>
      <c r="CG180" s="230">
        <v>1629750</v>
      </c>
      <c r="CH180" s="230">
        <v>38250</v>
      </c>
      <c r="CI180" s="229">
        <v>2.35E-2</v>
      </c>
      <c r="CJ180" s="230">
        <v>129000</v>
      </c>
      <c r="CK180" s="230">
        <v>106500</v>
      </c>
      <c r="CL180" s="230">
        <v>22500</v>
      </c>
      <c r="CM180" s="229">
        <v>0.21129999999999999</v>
      </c>
      <c r="CN180" s="230">
        <v>39601500</v>
      </c>
      <c r="CO180" s="230">
        <v>37749000</v>
      </c>
      <c r="CP180" s="230">
        <v>1852500</v>
      </c>
      <c r="CQ180" s="229">
        <v>4.9099999999999998E-2</v>
      </c>
      <c r="CR180" s="230">
        <v>24998250</v>
      </c>
      <c r="CS180" s="230">
        <v>23056500</v>
      </c>
      <c r="CT180" s="230">
        <v>1941750</v>
      </c>
      <c r="CU180" s="229">
        <v>8.4199999999999997E-2</v>
      </c>
      <c r="CV180" s="230">
        <v>159775500</v>
      </c>
      <c r="CW180" s="230">
        <v>156439500</v>
      </c>
      <c r="CX180" s="230">
        <v>3336000</v>
      </c>
      <c r="CY180" s="229">
        <v>2.1299999999999999E-2</v>
      </c>
      <c r="CZ180" s="228">
        <v>18.559999999999999</v>
      </c>
      <c r="DA180" s="228">
        <v>17.71</v>
      </c>
      <c r="DB180" s="228">
        <v>0.85</v>
      </c>
      <c r="DC180" s="228">
        <v>0.85</v>
      </c>
      <c r="DD180" s="228">
        <v>26.53</v>
      </c>
      <c r="DE180" s="228">
        <v>26.59</v>
      </c>
      <c r="DF180" s="228">
        <v>-7.97</v>
      </c>
      <c r="DG180" s="228">
        <v>-0.06</v>
      </c>
      <c r="DH180" s="228">
        <v>18.489999999999998</v>
      </c>
      <c r="DI180" s="228">
        <v>17.7</v>
      </c>
      <c r="DJ180" s="228">
        <v>0.79</v>
      </c>
      <c r="DK180" s="228">
        <v>0.79</v>
      </c>
      <c r="DL180" s="228">
        <v>18.670000000000002</v>
      </c>
      <c r="DM180" s="228">
        <v>17.71</v>
      </c>
      <c r="DN180" s="228">
        <v>0.96</v>
      </c>
      <c r="DO180" s="228">
        <v>0.96</v>
      </c>
      <c r="DP180" s="228">
        <v>0.63</v>
      </c>
      <c r="DQ180" s="228">
        <v>0.61</v>
      </c>
      <c r="DR180" s="228">
        <v>0.02</v>
      </c>
      <c r="DS180" s="229">
        <v>3.2800000000000003E-2</v>
      </c>
      <c r="DT180" s="228">
        <v>880</v>
      </c>
      <c r="DU180" s="228">
        <v>870</v>
      </c>
      <c r="DV180" s="228">
        <v>0.56999999999999995</v>
      </c>
      <c r="DW180" s="228">
        <v>0.63</v>
      </c>
      <c r="DX180" s="228">
        <v>-0.06</v>
      </c>
      <c r="DY180" s="229">
        <v>-9.5200000000000007E-2</v>
      </c>
      <c r="DZ180" s="229">
        <v>1.89E-2</v>
      </c>
      <c r="EA180" s="230">
        <v>1736250</v>
      </c>
      <c r="EB180" s="229">
        <v>5.1999999999999998E-3</v>
      </c>
      <c r="EC180" s="229">
        <v>1.89E-2</v>
      </c>
      <c r="ED180" s="228">
        <v>4.66</v>
      </c>
      <c r="EE180" s="229">
        <v>5.3E-3</v>
      </c>
      <c r="EF180" s="230">
        <v>3582005</v>
      </c>
      <c r="EG180" s="230">
        <v>3907051</v>
      </c>
      <c r="EH180" s="229">
        <v>-8.3199999999999996E-2</v>
      </c>
      <c r="EI180" s="229">
        <v>0.42280000000000001</v>
      </c>
      <c r="EJ180" s="231">
        <v>584964.73</v>
      </c>
      <c r="EK180" s="231">
        <v>320337.53000000003</v>
      </c>
      <c r="EL180" s="231">
        <v>114615.51</v>
      </c>
      <c r="EM180" s="231">
        <v>42717</v>
      </c>
      <c r="EN180" s="231">
        <v>1019917.77</v>
      </c>
      <c r="EO180" s="231">
        <v>1022576.64</v>
      </c>
      <c r="EP180" s="231">
        <v>-2658.87</v>
      </c>
      <c r="EQ180" s="229">
        <v>-2.5999999999999999E-3</v>
      </c>
      <c r="ER180" s="231">
        <v>354748</v>
      </c>
      <c r="ES180" s="231">
        <v>210504</v>
      </c>
      <c r="ET180" s="231">
        <v>835494</v>
      </c>
      <c r="EU180" s="231">
        <v>407307212</v>
      </c>
      <c r="EV180" s="231">
        <v>1400745</v>
      </c>
      <c r="EW180" s="231">
        <v>1366789</v>
      </c>
      <c r="EX180" s="231">
        <v>33956</v>
      </c>
      <c r="EY180" s="229">
        <v>2.4799999999999999E-2</v>
      </c>
      <c r="EZ180" s="229">
        <v>0.39229999999999998</v>
      </c>
      <c r="FA180" s="227" t="s">
        <v>556</v>
      </c>
      <c r="FB180" s="161">
        <f t="shared" si="4"/>
        <v>0</v>
      </c>
    </row>
    <row r="181" spans="1:158" ht="17.25" thickBot="1" x14ac:dyDescent="0.3">
      <c r="A181" s="226">
        <v>45936</v>
      </c>
      <c r="B181" s="227" t="s">
        <v>157</v>
      </c>
      <c r="C181" s="227" t="s">
        <v>284</v>
      </c>
      <c r="D181" s="228">
        <v>25</v>
      </c>
      <c r="E181" s="231">
        <v>29460</v>
      </c>
      <c r="F181" s="231">
        <v>29270</v>
      </c>
      <c r="G181" s="228">
        <v>190</v>
      </c>
      <c r="H181" s="229">
        <v>6.4999999999999997E-3</v>
      </c>
      <c r="I181" s="231">
        <v>29295</v>
      </c>
      <c r="J181" s="231">
        <v>29180</v>
      </c>
      <c r="K181" s="228">
        <v>115</v>
      </c>
      <c r="L181" s="229">
        <v>3.8999999999999998E-3</v>
      </c>
      <c r="M181" s="231">
        <v>29460</v>
      </c>
      <c r="N181" s="231">
        <v>29270</v>
      </c>
      <c r="O181" s="228">
        <v>190</v>
      </c>
      <c r="P181" s="229">
        <v>6.4999999999999997E-3</v>
      </c>
      <c r="Q181" s="231">
        <v>29490</v>
      </c>
      <c r="R181" s="231">
        <v>29335</v>
      </c>
      <c r="S181" s="228">
        <v>155</v>
      </c>
      <c r="T181" s="229">
        <v>5.3E-3</v>
      </c>
      <c r="U181" s="228">
        <v>0</v>
      </c>
      <c r="V181" s="228">
        <v>0</v>
      </c>
      <c r="W181" s="228">
        <v>0</v>
      </c>
      <c r="X181" s="229">
        <v>0</v>
      </c>
      <c r="Y181" s="228">
        <v>165</v>
      </c>
      <c r="Z181" s="228">
        <v>90</v>
      </c>
      <c r="AA181" s="228">
        <v>75</v>
      </c>
      <c r="AB181" s="229">
        <v>5.5999999999999999E-3</v>
      </c>
      <c r="AC181" s="228">
        <v>165</v>
      </c>
      <c r="AD181" s="228">
        <v>90</v>
      </c>
      <c r="AE181" s="228">
        <v>75</v>
      </c>
      <c r="AF181" s="229">
        <v>5.5999999999999999E-3</v>
      </c>
      <c r="AG181" s="228">
        <v>195</v>
      </c>
      <c r="AH181" s="228">
        <v>155</v>
      </c>
      <c r="AI181" s="228">
        <v>40</v>
      </c>
      <c r="AJ181" s="229">
        <v>6.7000000000000002E-3</v>
      </c>
      <c r="AK181" s="228">
        <v>0</v>
      </c>
      <c r="AL181" s="228">
        <v>0</v>
      </c>
      <c r="AM181" s="228">
        <v>0</v>
      </c>
      <c r="AN181" s="229">
        <v>0</v>
      </c>
      <c r="AO181" s="231">
        <v>29331.919999999998</v>
      </c>
      <c r="AP181" s="231">
        <v>29302.86</v>
      </c>
      <c r="AQ181" s="228">
        <v>0</v>
      </c>
      <c r="AR181" s="230">
        <v>33500</v>
      </c>
      <c r="AS181" s="230">
        <v>18275</v>
      </c>
      <c r="AT181" s="230">
        <v>15225</v>
      </c>
      <c r="AU181" s="229">
        <v>0.83309999999999995</v>
      </c>
      <c r="AV181" s="230">
        <v>32800</v>
      </c>
      <c r="AW181" s="230">
        <v>17800</v>
      </c>
      <c r="AX181" s="230">
        <v>15000</v>
      </c>
      <c r="AY181" s="229">
        <v>0.8427</v>
      </c>
      <c r="AZ181" s="228">
        <v>700</v>
      </c>
      <c r="BA181" s="228">
        <v>475</v>
      </c>
      <c r="BB181" s="228">
        <v>225</v>
      </c>
      <c r="BC181" s="229">
        <v>0.47370000000000001</v>
      </c>
      <c r="BD181" s="228">
        <v>0</v>
      </c>
      <c r="BE181" s="228">
        <v>0</v>
      </c>
      <c r="BF181" s="228">
        <v>0</v>
      </c>
      <c r="BG181" s="229">
        <v>0</v>
      </c>
      <c r="BH181" s="230">
        <v>42950</v>
      </c>
      <c r="BI181" s="230">
        <v>15550</v>
      </c>
      <c r="BJ181" s="230">
        <v>27400</v>
      </c>
      <c r="BK181" s="229">
        <v>1.7621</v>
      </c>
      <c r="BL181" s="230">
        <v>12975</v>
      </c>
      <c r="BM181" s="230">
        <v>5725</v>
      </c>
      <c r="BN181" s="230">
        <v>7250</v>
      </c>
      <c r="BO181" s="229">
        <v>1.2664</v>
      </c>
      <c r="BP181" s="230">
        <v>89425</v>
      </c>
      <c r="BQ181" s="230">
        <v>39550</v>
      </c>
      <c r="BR181" s="230">
        <v>49875</v>
      </c>
      <c r="BS181" s="229">
        <v>1.2611000000000001</v>
      </c>
      <c r="BT181" s="230">
        <v>12344</v>
      </c>
      <c r="BU181" s="230">
        <v>13934</v>
      </c>
      <c r="BV181" s="230">
        <v>-1590</v>
      </c>
      <c r="BW181" s="229">
        <v>-0.11409999999999999</v>
      </c>
      <c r="BX181" s="230">
        <v>228100</v>
      </c>
      <c r="BY181" s="230">
        <v>228625</v>
      </c>
      <c r="BZ181" s="228">
        <v>-525</v>
      </c>
      <c r="CA181" s="229">
        <v>-2.3E-3</v>
      </c>
      <c r="CB181" s="230">
        <v>226550</v>
      </c>
      <c r="CC181" s="230">
        <v>227200</v>
      </c>
      <c r="CD181" s="228">
        <v>-650</v>
      </c>
      <c r="CE181" s="229">
        <v>-2.8999999999999998E-3</v>
      </c>
      <c r="CF181" s="230">
        <v>1550</v>
      </c>
      <c r="CG181" s="230">
        <v>1425</v>
      </c>
      <c r="CH181" s="228">
        <v>125</v>
      </c>
      <c r="CI181" s="229">
        <v>8.77E-2</v>
      </c>
      <c r="CJ181" s="228">
        <v>0</v>
      </c>
      <c r="CK181" s="228">
        <v>0</v>
      </c>
      <c r="CL181" s="228">
        <v>0</v>
      </c>
      <c r="CM181" s="229">
        <v>0</v>
      </c>
      <c r="CN181" s="230">
        <v>25425</v>
      </c>
      <c r="CO181" s="230">
        <v>21275</v>
      </c>
      <c r="CP181" s="230">
        <v>4150</v>
      </c>
      <c r="CQ181" s="229">
        <v>0.1951</v>
      </c>
      <c r="CR181" s="230">
        <v>18025</v>
      </c>
      <c r="CS181" s="230">
        <v>15750</v>
      </c>
      <c r="CT181" s="230">
        <v>2275</v>
      </c>
      <c r="CU181" s="229">
        <v>0.1444</v>
      </c>
      <c r="CV181" s="230">
        <v>271550</v>
      </c>
      <c r="CW181" s="230">
        <v>265650</v>
      </c>
      <c r="CX181" s="230">
        <v>5900</v>
      </c>
      <c r="CY181" s="229">
        <v>2.2200000000000001E-2</v>
      </c>
      <c r="CZ181" s="228">
        <v>20.93</v>
      </c>
      <c r="DA181" s="228">
        <v>20.2</v>
      </c>
      <c r="DB181" s="228">
        <v>0.73</v>
      </c>
      <c r="DC181" s="228">
        <v>0.73</v>
      </c>
      <c r="DD181" s="228">
        <v>26.1</v>
      </c>
      <c r="DE181" s="228">
        <v>26.15</v>
      </c>
      <c r="DF181" s="228">
        <v>-5.17</v>
      </c>
      <c r="DG181" s="228">
        <v>-0.05</v>
      </c>
      <c r="DH181" s="228">
        <v>21.03</v>
      </c>
      <c r="DI181" s="228">
        <v>20.47</v>
      </c>
      <c r="DJ181" s="228">
        <v>0.56000000000000005</v>
      </c>
      <c r="DK181" s="228">
        <v>0.56000000000000005</v>
      </c>
      <c r="DL181" s="228">
        <v>20.59</v>
      </c>
      <c r="DM181" s="228">
        <v>19.45</v>
      </c>
      <c r="DN181" s="228">
        <v>1.1399999999999999</v>
      </c>
      <c r="DO181" s="228">
        <v>1.1399999999999999</v>
      </c>
      <c r="DP181" s="228">
        <v>0.71</v>
      </c>
      <c r="DQ181" s="228">
        <v>0.74</v>
      </c>
      <c r="DR181" s="228">
        <v>-0.03</v>
      </c>
      <c r="DS181" s="229">
        <v>-4.0500000000000001E-2</v>
      </c>
      <c r="DT181" s="231">
        <v>30000</v>
      </c>
      <c r="DU181" s="231">
        <v>29000</v>
      </c>
      <c r="DV181" s="228">
        <v>0.3</v>
      </c>
      <c r="DW181" s="228">
        <v>0.37</v>
      </c>
      <c r="DX181" s="228">
        <v>-7.0000000000000007E-2</v>
      </c>
      <c r="DY181" s="229">
        <v>-0.18920000000000001</v>
      </c>
      <c r="DZ181" s="229">
        <v>6.7999999999999996E-3</v>
      </c>
      <c r="EA181" s="230">
        <v>1425</v>
      </c>
      <c r="EB181" s="229">
        <v>1E-3</v>
      </c>
      <c r="EC181" s="229">
        <v>6.7999999999999996E-3</v>
      </c>
      <c r="ED181" s="228">
        <v>-29.06</v>
      </c>
      <c r="EE181" s="229">
        <v>-1E-3</v>
      </c>
      <c r="EF181" s="230">
        <v>6703</v>
      </c>
      <c r="EG181" s="230">
        <v>8320</v>
      </c>
      <c r="EH181" s="229">
        <v>-0.19439999999999999</v>
      </c>
      <c r="EI181" s="229">
        <v>0.54300000000000004</v>
      </c>
      <c r="EJ181" s="231">
        <v>13069.5</v>
      </c>
      <c r="EK181" s="231">
        <v>3742.67</v>
      </c>
      <c r="EL181" s="231">
        <v>9825.99</v>
      </c>
      <c r="EM181" s="231">
        <v>4798</v>
      </c>
      <c r="EN181" s="231">
        <v>26638.16</v>
      </c>
      <c r="EO181" s="231">
        <v>11741.5</v>
      </c>
      <c r="EP181" s="231">
        <v>14896.66</v>
      </c>
      <c r="EQ181" s="229">
        <v>1.2686999999999999</v>
      </c>
      <c r="ER181" s="231">
        <v>7737</v>
      </c>
      <c r="ES181" s="231">
        <v>5164</v>
      </c>
      <c r="ET181" s="231">
        <v>67199</v>
      </c>
      <c r="EU181" s="231">
        <v>1548028</v>
      </c>
      <c r="EV181" s="231">
        <v>80100</v>
      </c>
      <c r="EW181" s="231">
        <v>77911</v>
      </c>
      <c r="EX181" s="231">
        <v>2189</v>
      </c>
      <c r="EY181" s="229">
        <v>2.81E-2</v>
      </c>
      <c r="EZ181" s="229">
        <v>0.1754</v>
      </c>
      <c r="FA181" s="227" t="s">
        <v>556</v>
      </c>
      <c r="FB181" s="161">
        <f t="shared" si="4"/>
        <v>0</v>
      </c>
    </row>
    <row r="182" spans="1:158" ht="17.25" thickBot="1" x14ac:dyDescent="0.3">
      <c r="A182" s="226">
        <v>45936</v>
      </c>
      <c r="B182" s="227" t="s">
        <v>175</v>
      </c>
      <c r="C182" s="227" t="s">
        <v>562</v>
      </c>
      <c r="D182" s="228">
        <v>825</v>
      </c>
      <c r="E182" s="228">
        <v>674.7</v>
      </c>
      <c r="F182" s="228">
        <v>650.4</v>
      </c>
      <c r="G182" s="228">
        <v>24.3</v>
      </c>
      <c r="H182" s="229">
        <v>3.7400000000000003E-2</v>
      </c>
      <c r="I182" s="228">
        <v>671.45</v>
      </c>
      <c r="J182" s="228">
        <v>645.79999999999995</v>
      </c>
      <c r="K182" s="228">
        <v>25.65</v>
      </c>
      <c r="L182" s="229">
        <v>3.9699999999999999E-2</v>
      </c>
      <c r="M182" s="228">
        <v>674.7</v>
      </c>
      <c r="N182" s="228">
        <v>650.4</v>
      </c>
      <c r="O182" s="228">
        <v>24.3</v>
      </c>
      <c r="P182" s="229">
        <v>3.7400000000000003E-2</v>
      </c>
      <c r="Q182" s="228">
        <v>673.35</v>
      </c>
      <c r="R182" s="228">
        <v>649.54999999999995</v>
      </c>
      <c r="S182" s="228">
        <v>23.8</v>
      </c>
      <c r="T182" s="229">
        <v>3.6600000000000001E-2</v>
      </c>
      <c r="U182" s="228">
        <v>677.1</v>
      </c>
      <c r="V182" s="228">
        <v>653.4</v>
      </c>
      <c r="W182" s="228">
        <v>23.7</v>
      </c>
      <c r="X182" s="229">
        <v>3.6299999999999999E-2</v>
      </c>
      <c r="Y182" s="228">
        <v>3.25</v>
      </c>
      <c r="Z182" s="228">
        <v>4.5999999999999996</v>
      </c>
      <c r="AA182" s="228">
        <v>-1.35</v>
      </c>
      <c r="AB182" s="229">
        <v>4.7999999999999996E-3</v>
      </c>
      <c r="AC182" s="228">
        <v>3.25</v>
      </c>
      <c r="AD182" s="228">
        <v>4.5999999999999996</v>
      </c>
      <c r="AE182" s="228">
        <v>-1.35</v>
      </c>
      <c r="AF182" s="229">
        <v>4.7999999999999996E-3</v>
      </c>
      <c r="AG182" s="228">
        <v>1.9</v>
      </c>
      <c r="AH182" s="228">
        <v>3.75</v>
      </c>
      <c r="AI182" s="228">
        <v>-1.85</v>
      </c>
      <c r="AJ182" s="229">
        <v>2.8E-3</v>
      </c>
      <c r="AK182" s="228">
        <v>5.65</v>
      </c>
      <c r="AL182" s="228">
        <v>7.6</v>
      </c>
      <c r="AM182" s="228">
        <v>-1.95</v>
      </c>
      <c r="AN182" s="229">
        <v>8.3999999999999995E-3</v>
      </c>
      <c r="AO182" s="228">
        <v>669.71</v>
      </c>
      <c r="AP182" s="228">
        <v>667.57</v>
      </c>
      <c r="AQ182" s="228">
        <v>0</v>
      </c>
      <c r="AR182" s="230">
        <v>11843700</v>
      </c>
      <c r="AS182" s="230">
        <v>8490900</v>
      </c>
      <c r="AT182" s="230">
        <v>3352800</v>
      </c>
      <c r="AU182" s="229">
        <v>0.39489999999999997</v>
      </c>
      <c r="AV182" s="230">
        <v>11271975</v>
      </c>
      <c r="AW182" s="230">
        <v>8168325</v>
      </c>
      <c r="AX182" s="230">
        <v>3103650</v>
      </c>
      <c r="AY182" s="229">
        <v>0.38</v>
      </c>
      <c r="AZ182" s="230">
        <v>490875</v>
      </c>
      <c r="BA182" s="230">
        <v>285450</v>
      </c>
      <c r="BB182" s="230">
        <v>205425</v>
      </c>
      <c r="BC182" s="229">
        <v>0.71970000000000001</v>
      </c>
      <c r="BD182" s="230">
        <v>80850</v>
      </c>
      <c r="BE182" s="230">
        <v>37125</v>
      </c>
      <c r="BF182" s="230">
        <v>43725</v>
      </c>
      <c r="BG182" s="229">
        <v>1.1778</v>
      </c>
      <c r="BH182" s="230">
        <v>39010125</v>
      </c>
      <c r="BI182" s="230">
        <v>11372625</v>
      </c>
      <c r="BJ182" s="230">
        <v>27637500</v>
      </c>
      <c r="BK182" s="229">
        <v>2.4302000000000001</v>
      </c>
      <c r="BL182" s="230">
        <v>17139375</v>
      </c>
      <c r="BM182" s="230">
        <v>6528225</v>
      </c>
      <c r="BN182" s="230">
        <v>10611150</v>
      </c>
      <c r="BO182" s="229">
        <v>1.6254</v>
      </c>
      <c r="BP182" s="230">
        <v>67993200</v>
      </c>
      <c r="BQ182" s="230">
        <v>26391750</v>
      </c>
      <c r="BR182" s="230">
        <v>41601450</v>
      </c>
      <c r="BS182" s="229">
        <v>1.5763</v>
      </c>
      <c r="BT182" s="230">
        <v>11116297</v>
      </c>
      <c r="BU182" s="230">
        <v>7377053</v>
      </c>
      <c r="BV182" s="230">
        <v>3739244</v>
      </c>
      <c r="BW182" s="229">
        <v>0.50690000000000002</v>
      </c>
      <c r="BX182" s="230">
        <v>49565175</v>
      </c>
      <c r="BY182" s="230">
        <v>48979425</v>
      </c>
      <c r="BZ182" s="230">
        <v>585750</v>
      </c>
      <c r="CA182" s="229">
        <v>1.2E-2</v>
      </c>
      <c r="CB182" s="230">
        <v>48409350</v>
      </c>
      <c r="CC182" s="230">
        <v>47878875</v>
      </c>
      <c r="CD182" s="230">
        <v>530475</v>
      </c>
      <c r="CE182" s="229">
        <v>1.11E-2</v>
      </c>
      <c r="CF182" s="230">
        <v>1093125</v>
      </c>
      <c r="CG182" s="230">
        <v>1043625</v>
      </c>
      <c r="CH182" s="230">
        <v>49500</v>
      </c>
      <c r="CI182" s="229">
        <v>4.7399999999999998E-2</v>
      </c>
      <c r="CJ182" s="230">
        <v>62700</v>
      </c>
      <c r="CK182" s="230">
        <v>56925</v>
      </c>
      <c r="CL182" s="230">
        <v>5775</v>
      </c>
      <c r="CM182" s="229">
        <v>0.1014</v>
      </c>
      <c r="CN182" s="230">
        <v>7751700</v>
      </c>
      <c r="CO182" s="230">
        <v>6227925</v>
      </c>
      <c r="CP182" s="230">
        <v>1523775</v>
      </c>
      <c r="CQ182" s="229">
        <v>0.2447</v>
      </c>
      <c r="CR182" s="230">
        <v>6820275</v>
      </c>
      <c r="CS182" s="230">
        <v>5030850</v>
      </c>
      <c r="CT182" s="230">
        <v>1789425</v>
      </c>
      <c r="CU182" s="229">
        <v>0.35570000000000002</v>
      </c>
      <c r="CV182" s="230">
        <v>64137150</v>
      </c>
      <c r="CW182" s="230">
        <v>60238200</v>
      </c>
      <c r="CX182" s="230">
        <v>3898950</v>
      </c>
      <c r="CY182" s="229">
        <v>6.4699999999999994E-2</v>
      </c>
      <c r="CZ182" s="228">
        <v>31.79</v>
      </c>
      <c r="DA182" s="228">
        <v>30.26</v>
      </c>
      <c r="DB182" s="228">
        <v>1.53</v>
      </c>
      <c r="DC182" s="228">
        <v>1.53</v>
      </c>
      <c r="DD182" s="228">
        <v>41.39</v>
      </c>
      <c r="DE182" s="228">
        <v>41.15</v>
      </c>
      <c r="DF182" s="228">
        <v>-9.6</v>
      </c>
      <c r="DG182" s="228">
        <v>0.24</v>
      </c>
      <c r="DH182" s="228">
        <v>31.42</v>
      </c>
      <c r="DI182" s="228">
        <v>30.17</v>
      </c>
      <c r="DJ182" s="228">
        <v>1.25</v>
      </c>
      <c r="DK182" s="228">
        <v>1.25</v>
      </c>
      <c r="DL182" s="228">
        <v>32.630000000000003</v>
      </c>
      <c r="DM182" s="228">
        <v>30.42</v>
      </c>
      <c r="DN182" s="228">
        <v>2.21</v>
      </c>
      <c r="DO182" s="228">
        <v>2.21</v>
      </c>
      <c r="DP182" s="228">
        <v>0.88</v>
      </c>
      <c r="DQ182" s="228">
        <v>0.81</v>
      </c>
      <c r="DR182" s="228">
        <v>7.0000000000000007E-2</v>
      </c>
      <c r="DS182" s="229">
        <v>8.6400000000000005E-2</v>
      </c>
      <c r="DT182" s="228">
        <v>700</v>
      </c>
      <c r="DU182" s="228">
        <v>660</v>
      </c>
      <c r="DV182" s="228">
        <v>0.44</v>
      </c>
      <c r="DW182" s="228">
        <v>0.56999999999999995</v>
      </c>
      <c r="DX182" s="228">
        <v>-0.13</v>
      </c>
      <c r="DY182" s="229">
        <v>-0.2281</v>
      </c>
      <c r="DZ182" s="229">
        <v>2.3300000000000001E-2</v>
      </c>
      <c r="EA182" s="230">
        <v>1100550</v>
      </c>
      <c r="EB182" s="229">
        <v>-2E-3</v>
      </c>
      <c r="EC182" s="229">
        <v>2.3300000000000001E-2</v>
      </c>
      <c r="ED182" s="228">
        <v>-2.14</v>
      </c>
      <c r="EE182" s="229">
        <v>-3.2000000000000002E-3</v>
      </c>
      <c r="EF182" s="230">
        <v>4571574</v>
      </c>
      <c r="EG182" s="230">
        <v>4367305</v>
      </c>
      <c r="EH182" s="229">
        <v>4.6800000000000001E-2</v>
      </c>
      <c r="EI182" s="229">
        <v>0.41120000000000001</v>
      </c>
      <c r="EJ182" s="231">
        <v>272226.8</v>
      </c>
      <c r="EK182" s="231">
        <v>112280.7</v>
      </c>
      <c r="EL182" s="231">
        <v>79309.539999999994</v>
      </c>
      <c r="EM182" s="231">
        <v>20184</v>
      </c>
      <c r="EN182" s="231">
        <v>463817.04</v>
      </c>
      <c r="EO182" s="231">
        <v>174253.38</v>
      </c>
      <c r="EP182" s="231">
        <v>289563.65999999997</v>
      </c>
      <c r="EQ182" s="229">
        <v>1.6617</v>
      </c>
      <c r="ER182" s="231">
        <v>52695</v>
      </c>
      <c r="ES182" s="231">
        <v>42992</v>
      </c>
      <c r="ET182" s="231">
        <v>334403</v>
      </c>
      <c r="EU182" s="231">
        <v>210459276</v>
      </c>
      <c r="EV182" s="231">
        <v>430090</v>
      </c>
      <c r="EW182" s="231">
        <v>390846</v>
      </c>
      <c r="EX182" s="231">
        <v>39244</v>
      </c>
      <c r="EY182" s="229">
        <v>0.1004</v>
      </c>
      <c r="EZ182" s="229">
        <v>0.30470000000000003</v>
      </c>
      <c r="FA182" s="227" t="s">
        <v>555</v>
      </c>
      <c r="FB182" s="161">
        <f t="shared" si="4"/>
        <v>0</v>
      </c>
    </row>
    <row r="183" spans="1:158" ht="17.25" thickBot="1" x14ac:dyDescent="0.3">
      <c r="A183" s="226">
        <v>45936</v>
      </c>
      <c r="B183" s="227" t="s">
        <v>184</v>
      </c>
      <c r="C183" s="227" t="s">
        <v>285</v>
      </c>
      <c r="D183" s="228">
        <v>125</v>
      </c>
      <c r="E183" s="231">
        <v>3269</v>
      </c>
      <c r="F183" s="231">
        <v>3183.6</v>
      </c>
      <c r="G183" s="228">
        <v>85.4</v>
      </c>
      <c r="H183" s="229">
        <v>2.6800000000000001E-2</v>
      </c>
      <c r="I183" s="231">
        <v>3251.7</v>
      </c>
      <c r="J183" s="231">
        <v>3164.1</v>
      </c>
      <c r="K183" s="228">
        <v>87.6</v>
      </c>
      <c r="L183" s="229">
        <v>2.7699999999999999E-2</v>
      </c>
      <c r="M183" s="231">
        <v>3269</v>
      </c>
      <c r="N183" s="231">
        <v>3183.6</v>
      </c>
      <c r="O183" s="228">
        <v>85.4</v>
      </c>
      <c r="P183" s="229">
        <v>2.6800000000000001E-2</v>
      </c>
      <c r="Q183" s="231">
        <v>3287.2</v>
      </c>
      <c r="R183" s="231">
        <v>3200.7</v>
      </c>
      <c r="S183" s="228">
        <v>86.5</v>
      </c>
      <c r="T183" s="229">
        <v>2.7E-2</v>
      </c>
      <c r="U183" s="231">
        <v>3300</v>
      </c>
      <c r="V183" s="231">
        <v>3221</v>
      </c>
      <c r="W183" s="228">
        <v>79</v>
      </c>
      <c r="X183" s="229">
        <v>2.4500000000000001E-2</v>
      </c>
      <c r="Y183" s="228">
        <v>17.3</v>
      </c>
      <c r="Z183" s="228">
        <v>19.5</v>
      </c>
      <c r="AA183" s="228">
        <v>-2.2000000000000002</v>
      </c>
      <c r="AB183" s="229">
        <v>5.3E-3</v>
      </c>
      <c r="AC183" s="228">
        <v>17.3</v>
      </c>
      <c r="AD183" s="228">
        <v>19.5</v>
      </c>
      <c r="AE183" s="228">
        <v>-2.2000000000000002</v>
      </c>
      <c r="AF183" s="229">
        <v>5.3E-3</v>
      </c>
      <c r="AG183" s="228">
        <v>35.5</v>
      </c>
      <c r="AH183" s="228">
        <v>36.6</v>
      </c>
      <c r="AI183" s="228">
        <v>-1.1000000000000001</v>
      </c>
      <c r="AJ183" s="229">
        <v>1.09E-2</v>
      </c>
      <c r="AK183" s="228">
        <v>48.3</v>
      </c>
      <c r="AL183" s="228">
        <v>56.9</v>
      </c>
      <c r="AM183" s="228">
        <v>-8.6</v>
      </c>
      <c r="AN183" s="229">
        <v>1.49E-2</v>
      </c>
      <c r="AO183" s="231">
        <v>3244.72</v>
      </c>
      <c r="AP183" s="231">
        <v>3252.56</v>
      </c>
      <c r="AQ183" s="228">
        <v>0</v>
      </c>
      <c r="AR183" s="230">
        <v>609625</v>
      </c>
      <c r="AS183" s="230">
        <v>283000</v>
      </c>
      <c r="AT183" s="230">
        <v>326625</v>
      </c>
      <c r="AU183" s="229">
        <v>1.1541999999999999</v>
      </c>
      <c r="AV183" s="230">
        <v>576000</v>
      </c>
      <c r="AW183" s="230">
        <v>264875</v>
      </c>
      <c r="AX183" s="230">
        <v>311125</v>
      </c>
      <c r="AY183" s="229">
        <v>1.1746000000000001</v>
      </c>
      <c r="AZ183" s="230">
        <v>29375</v>
      </c>
      <c r="BA183" s="230">
        <v>16250</v>
      </c>
      <c r="BB183" s="230">
        <v>13125</v>
      </c>
      <c r="BC183" s="229">
        <v>0.80769999999999997</v>
      </c>
      <c r="BD183" s="230">
        <v>4250</v>
      </c>
      <c r="BE183" s="230">
        <v>1875</v>
      </c>
      <c r="BF183" s="230">
        <v>2375</v>
      </c>
      <c r="BG183" s="229">
        <v>1.2666999999999999</v>
      </c>
      <c r="BH183" s="230">
        <v>2476000</v>
      </c>
      <c r="BI183" s="230">
        <v>730375</v>
      </c>
      <c r="BJ183" s="230">
        <v>1745625</v>
      </c>
      <c r="BK183" s="229">
        <v>2.39</v>
      </c>
      <c r="BL183" s="230">
        <v>777125</v>
      </c>
      <c r="BM183" s="230">
        <v>290625</v>
      </c>
      <c r="BN183" s="230">
        <v>486500</v>
      </c>
      <c r="BO183" s="229">
        <v>1.6739999999999999</v>
      </c>
      <c r="BP183" s="230">
        <v>3862750</v>
      </c>
      <c r="BQ183" s="230">
        <v>1304000</v>
      </c>
      <c r="BR183" s="230">
        <v>2558750</v>
      </c>
      <c r="BS183" s="229">
        <v>1.9621999999999999</v>
      </c>
      <c r="BT183" s="230">
        <v>620382</v>
      </c>
      <c r="BU183" s="230">
        <v>233319</v>
      </c>
      <c r="BV183" s="230">
        <v>387063</v>
      </c>
      <c r="BW183" s="229">
        <v>1.6589</v>
      </c>
      <c r="BX183" s="230">
        <v>2270875</v>
      </c>
      <c r="BY183" s="230">
        <v>2323125</v>
      </c>
      <c r="BZ183" s="230">
        <v>-52250</v>
      </c>
      <c r="CA183" s="229">
        <v>-2.2499999999999999E-2</v>
      </c>
      <c r="CB183" s="230">
        <v>2235625</v>
      </c>
      <c r="CC183" s="230">
        <v>2286750</v>
      </c>
      <c r="CD183" s="230">
        <v>-51125</v>
      </c>
      <c r="CE183" s="229">
        <v>-2.24E-2</v>
      </c>
      <c r="CF183" s="230">
        <v>33000</v>
      </c>
      <c r="CG183" s="230">
        <v>34875</v>
      </c>
      <c r="CH183" s="230">
        <v>-1875</v>
      </c>
      <c r="CI183" s="229">
        <v>-5.3800000000000001E-2</v>
      </c>
      <c r="CJ183" s="230">
        <v>2250</v>
      </c>
      <c r="CK183" s="230">
        <v>1500</v>
      </c>
      <c r="CL183" s="228">
        <v>750</v>
      </c>
      <c r="CM183" s="229">
        <v>0.5</v>
      </c>
      <c r="CN183" s="230">
        <v>703625</v>
      </c>
      <c r="CO183" s="230">
        <v>619875</v>
      </c>
      <c r="CP183" s="230">
        <v>83750</v>
      </c>
      <c r="CQ183" s="229">
        <v>0.1351</v>
      </c>
      <c r="CR183" s="230">
        <v>385500</v>
      </c>
      <c r="CS183" s="230">
        <v>278125</v>
      </c>
      <c r="CT183" s="230">
        <v>107375</v>
      </c>
      <c r="CU183" s="229">
        <v>0.3861</v>
      </c>
      <c r="CV183" s="230">
        <v>3360000</v>
      </c>
      <c r="CW183" s="230">
        <v>3221125</v>
      </c>
      <c r="CX183" s="230">
        <v>138875</v>
      </c>
      <c r="CY183" s="229">
        <v>4.3099999999999999E-2</v>
      </c>
      <c r="CZ183" s="228">
        <v>26.51</v>
      </c>
      <c r="DA183" s="228">
        <v>25.53</v>
      </c>
      <c r="DB183" s="228">
        <v>0.98</v>
      </c>
      <c r="DC183" s="228">
        <v>0.98</v>
      </c>
      <c r="DD183" s="228">
        <v>40.32</v>
      </c>
      <c r="DE183" s="228">
        <v>40.25</v>
      </c>
      <c r="DF183" s="228">
        <v>-13.81</v>
      </c>
      <c r="DG183" s="228">
        <v>7.0000000000000007E-2</v>
      </c>
      <c r="DH183" s="228">
        <v>26.46</v>
      </c>
      <c r="DI183" s="228">
        <v>25.48</v>
      </c>
      <c r="DJ183" s="228">
        <v>0.98</v>
      </c>
      <c r="DK183" s="228">
        <v>0.98</v>
      </c>
      <c r="DL183" s="228">
        <v>26.68</v>
      </c>
      <c r="DM183" s="228">
        <v>25.65</v>
      </c>
      <c r="DN183" s="228">
        <v>1.03</v>
      </c>
      <c r="DO183" s="228">
        <v>1.03</v>
      </c>
      <c r="DP183" s="228">
        <v>0.55000000000000004</v>
      </c>
      <c r="DQ183" s="228">
        <v>0.45</v>
      </c>
      <c r="DR183" s="228">
        <v>0.1</v>
      </c>
      <c r="DS183" s="229">
        <v>0.22220000000000001</v>
      </c>
      <c r="DT183" s="231">
        <v>3300</v>
      </c>
      <c r="DU183" s="231">
        <v>3100</v>
      </c>
      <c r="DV183" s="228">
        <v>0.31</v>
      </c>
      <c r="DW183" s="228">
        <v>0.4</v>
      </c>
      <c r="DX183" s="228">
        <v>-0.09</v>
      </c>
      <c r="DY183" s="229">
        <v>-0.22500000000000001</v>
      </c>
      <c r="DZ183" s="229">
        <v>1.55E-2</v>
      </c>
      <c r="EA183" s="230">
        <v>36375</v>
      </c>
      <c r="EB183" s="229">
        <v>5.5999999999999999E-3</v>
      </c>
      <c r="EC183" s="229">
        <v>1.55E-2</v>
      </c>
      <c r="ED183" s="228">
        <v>7.84</v>
      </c>
      <c r="EE183" s="229">
        <v>2.3999999999999998E-3</v>
      </c>
      <c r="EF183" s="230">
        <v>269624</v>
      </c>
      <c r="EG183" s="230">
        <v>143553</v>
      </c>
      <c r="EH183" s="229">
        <v>0.87819999999999998</v>
      </c>
      <c r="EI183" s="229">
        <v>0.43459999999999999</v>
      </c>
      <c r="EJ183" s="231">
        <v>83656.33</v>
      </c>
      <c r="EK183" s="231">
        <v>24703.52</v>
      </c>
      <c r="EL183" s="231">
        <v>19783.400000000001</v>
      </c>
      <c r="EM183" s="231">
        <v>5785</v>
      </c>
      <c r="EN183" s="231">
        <v>128143.25</v>
      </c>
      <c r="EO183" s="231">
        <v>42252.09</v>
      </c>
      <c r="EP183" s="231">
        <v>85891.16</v>
      </c>
      <c r="EQ183" s="229">
        <v>2.0327999999999999</v>
      </c>
      <c r="ER183" s="231">
        <v>23599</v>
      </c>
      <c r="ES183" s="231">
        <v>11914</v>
      </c>
      <c r="ET183" s="231">
        <v>74242</v>
      </c>
      <c r="EU183" s="231">
        <v>13354588</v>
      </c>
      <c r="EV183" s="231">
        <v>109754</v>
      </c>
      <c r="EW183" s="231">
        <v>103087</v>
      </c>
      <c r="EX183" s="231">
        <v>6667</v>
      </c>
      <c r="EY183" s="229">
        <v>6.4699999999999994E-2</v>
      </c>
      <c r="EZ183" s="229">
        <v>0.25159999999999999</v>
      </c>
      <c r="FA183" s="227" t="s">
        <v>556</v>
      </c>
      <c r="FB183" s="161">
        <f t="shared" si="4"/>
        <v>0</v>
      </c>
    </row>
    <row r="184" spans="1:158" ht="17.25" thickBot="1" x14ac:dyDescent="0.3">
      <c r="A184" s="226">
        <v>45936</v>
      </c>
      <c r="B184" s="227" t="s">
        <v>498</v>
      </c>
      <c r="C184" s="227" t="s">
        <v>647</v>
      </c>
      <c r="D184" s="228">
        <v>75</v>
      </c>
      <c r="E184" s="231">
        <v>14196</v>
      </c>
      <c r="F184" s="231">
        <v>13916</v>
      </c>
      <c r="G184" s="228">
        <v>280</v>
      </c>
      <c r="H184" s="229">
        <v>2.01E-2</v>
      </c>
      <c r="I184" s="231">
        <v>14140</v>
      </c>
      <c r="J184" s="231">
        <v>13853</v>
      </c>
      <c r="K184" s="228">
        <v>287</v>
      </c>
      <c r="L184" s="229">
        <v>2.07E-2</v>
      </c>
      <c r="M184" s="231">
        <v>14196</v>
      </c>
      <c r="N184" s="231">
        <v>13916</v>
      </c>
      <c r="O184" s="228">
        <v>280</v>
      </c>
      <c r="P184" s="229">
        <v>2.01E-2</v>
      </c>
      <c r="Q184" s="231">
        <v>14272</v>
      </c>
      <c r="R184" s="231">
        <v>14004</v>
      </c>
      <c r="S184" s="228">
        <v>268</v>
      </c>
      <c r="T184" s="229">
        <v>1.9099999999999999E-2</v>
      </c>
      <c r="U184" s="231">
        <v>14362</v>
      </c>
      <c r="V184" s="231">
        <v>13962</v>
      </c>
      <c r="W184" s="228">
        <v>400</v>
      </c>
      <c r="X184" s="229">
        <v>2.86E-2</v>
      </c>
      <c r="Y184" s="228">
        <v>56</v>
      </c>
      <c r="Z184" s="228">
        <v>63</v>
      </c>
      <c r="AA184" s="228">
        <v>-7</v>
      </c>
      <c r="AB184" s="229">
        <v>4.0000000000000001E-3</v>
      </c>
      <c r="AC184" s="228">
        <v>56</v>
      </c>
      <c r="AD184" s="228">
        <v>63</v>
      </c>
      <c r="AE184" s="228">
        <v>-7</v>
      </c>
      <c r="AF184" s="229">
        <v>4.0000000000000001E-3</v>
      </c>
      <c r="AG184" s="228">
        <v>132</v>
      </c>
      <c r="AH184" s="228">
        <v>151</v>
      </c>
      <c r="AI184" s="228">
        <v>-19</v>
      </c>
      <c r="AJ184" s="229">
        <v>9.2999999999999992E-3</v>
      </c>
      <c r="AK184" s="228">
        <v>222</v>
      </c>
      <c r="AL184" s="228">
        <v>109</v>
      </c>
      <c r="AM184" s="228">
        <v>113</v>
      </c>
      <c r="AN184" s="229">
        <v>1.5699999999999999E-2</v>
      </c>
      <c r="AO184" s="231">
        <v>14116.04</v>
      </c>
      <c r="AP184" s="231">
        <v>14203.46</v>
      </c>
      <c r="AQ184" s="228">
        <v>0</v>
      </c>
      <c r="AR184" s="230">
        <v>195000</v>
      </c>
      <c r="AS184" s="230">
        <v>286575</v>
      </c>
      <c r="AT184" s="230">
        <v>-91575</v>
      </c>
      <c r="AU184" s="229">
        <v>-0.31950000000000001</v>
      </c>
      <c r="AV184" s="230">
        <v>184200</v>
      </c>
      <c r="AW184" s="230">
        <v>276300</v>
      </c>
      <c r="AX184" s="230">
        <v>-92100</v>
      </c>
      <c r="AY184" s="229">
        <v>-0.33329999999999999</v>
      </c>
      <c r="AZ184" s="230">
        <v>9825</v>
      </c>
      <c r="BA184" s="230">
        <v>10050</v>
      </c>
      <c r="BB184" s="228">
        <v>-225</v>
      </c>
      <c r="BC184" s="229">
        <v>-2.24E-2</v>
      </c>
      <c r="BD184" s="228">
        <v>975</v>
      </c>
      <c r="BE184" s="228">
        <v>225</v>
      </c>
      <c r="BF184" s="228">
        <v>750</v>
      </c>
      <c r="BG184" s="229">
        <v>3.3332999999999999</v>
      </c>
      <c r="BH184" s="230">
        <v>934950</v>
      </c>
      <c r="BI184" s="230">
        <v>1878450</v>
      </c>
      <c r="BJ184" s="230">
        <v>-943500</v>
      </c>
      <c r="BK184" s="229">
        <v>-0.50229999999999997</v>
      </c>
      <c r="BL184" s="230">
        <v>350925</v>
      </c>
      <c r="BM184" s="230">
        <v>470325</v>
      </c>
      <c r="BN184" s="230">
        <v>-119400</v>
      </c>
      <c r="BO184" s="229">
        <v>-0.25390000000000001</v>
      </c>
      <c r="BP184" s="230">
        <v>1480875</v>
      </c>
      <c r="BQ184" s="230">
        <v>2635350</v>
      </c>
      <c r="BR184" s="230">
        <v>-1154475</v>
      </c>
      <c r="BS184" s="229">
        <v>-0.43809999999999999</v>
      </c>
      <c r="BT184" s="230">
        <v>153278</v>
      </c>
      <c r="BU184" s="230">
        <v>259126</v>
      </c>
      <c r="BV184" s="230">
        <v>-105848</v>
      </c>
      <c r="BW184" s="229">
        <v>-0.40849999999999997</v>
      </c>
      <c r="BX184" s="230">
        <v>865800</v>
      </c>
      <c r="BY184" s="230">
        <v>851025</v>
      </c>
      <c r="BZ184" s="230">
        <v>14775</v>
      </c>
      <c r="CA184" s="229">
        <v>1.7399999999999999E-2</v>
      </c>
      <c r="CB184" s="230">
        <v>821400</v>
      </c>
      <c r="CC184" s="230">
        <v>808575</v>
      </c>
      <c r="CD184" s="230">
        <v>12825</v>
      </c>
      <c r="CE184" s="229">
        <v>1.5900000000000001E-2</v>
      </c>
      <c r="CF184" s="230">
        <v>43200</v>
      </c>
      <c r="CG184" s="230">
        <v>42225</v>
      </c>
      <c r="CH184" s="228">
        <v>975</v>
      </c>
      <c r="CI184" s="229">
        <v>2.3099999999999999E-2</v>
      </c>
      <c r="CJ184" s="230">
        <v>1200</v>
      </c>
      <c r="CK184" s="228">
        <v>225</v>
      </c>
      <c r="CL184" s="228">
        <v>975</v>
      </c>
      <c r="CM184" s="229">
        <v>4.3333000000000004</v>
      </c>
      <c r="CN184" s="230">
        <v>307125</v>
      </c>
      <c r="CO184" s="230">
        <v>325875</v>
      </c>
      <c r="CP184" s="230">
        <v>-18750</v>
      </c>
      <c r="CQ184" s="229">
        <v>-5.7500000000000002E-2</v>
      </c>
      <c r="CR184" s="230">
        <v>210750</v>
      </c>
      <c r="CS184" s="230">
        <v>195975</v>
      </c>
      <c r="CT184" s="230">
        <v>14775</v>
      </c>
      <c r="CU184" s="229">
        <v>7.5399999999999995E-2</v>
      </c>
      <c r="CV184" s="230">
        <v>1383675</v>
      </c>
      <c r="CW184" s="230">
        <v>1372875</v>
      </c>
      <c r="CX184" s="230">
        <v>10800</v>
      </c>
      <c r="CY184" s="229">
        <v>7.9000000000000008E-3</v>
      </c>
      <c r="CZ184" s="228">
        <v>32.08</v>
      </c>
      <c r="DA184" s="228">
        <v>31.86</v>
      </c>
      <c r="DB184" s="228">
        <v>0.22</v>
      </c>
      <c r="DC184" s="228">
        <v>0.22</v>
      </c>
      <c r="DD184" s="228">
        <v>41.68</v>
      </c>
      <c r="DE184" s="228">
        <v>41.7</v>
      </c>
      <c r="DF184" s="228">
        <v>-9.6</v>
      </c>
      <c r="DG184" s="228">
        <v>-0.02</v>
      </c>
      <c r="DH184" s="228">
        <v>31.47</v>
      </c>
      <c r="DI184" s="228">
        <v>31.88</v>
      </c>
      <c r="DJ184" s="228">
        <v>-0.41</v>
      </c>
      <c r="DK184" s="228">
        <v>-0.41</v>
      </c>
      <c r="DL184" s="228">
        <v>33.700000000000003</v>
      </c>
      <c r="DM184" s="228">
        <v>31.77</v>
      </c>
      <c r="DN184" s="228">
        <v>1.93</v>
      </c>
      <c r="DO184" s="228">
        <v>1.93</v>
      </c>
      <c r="DP184" s="228">
        <v>0.69</v>
      </c>
      <c r="DQ184" s="228">
        <v>0.6</v>
      </c>
      <c r="DR184" s="228">
        <v>0.09</v>
      </c>
      <c r="DS184" s="229">
        <v>0.15</v>
      </c>
      <c r="DT184" s="231">
        <v>15000</v>
      </c>
      <c r="DU184" s="231">
        <v>13500</v>
      </c>
      <c r="DV184" s="228">
        <v>0.38</v>
      </c>
      <c r="DW184" s="228">
        <v>0.25</v>
      </c>
      <c r="DX184" s="228">
        <v>0.13</v>
      </c>
      <c r="DY184" s="229">
        <v>0.52</v>
      </c>
      <c r="DZ184" s="229">
        <v>5.1299999999999998E-2</v>
      </c>
      <c r="EA184" s="230">
        <v>42450</v>
      </c>
      <c r="EB184" s="229">
        <v>5.4000000000000003E-3</v>
      </c>
      <c r="EC184" s="229">
        <v>5.1299999999999998E-2</v>
      </c>
      <c r="ED184" s="228">
        <v>87.42</v>
      </c>
      <c r="EE184" s="229">
        <v>6.1999999999999998E-3</v>
      </c>
      <c r="EF184" s="230">
        <v>56212</v>
      </c>
      <c r="EG184" s="230">
        <v>92672</v>
      </c>
      <c r="EH184" s="229">
        <v>-0.39340000000000003</v>
      </c>
      <c r="EI184" s="229">
        <v>0.36670000000000003</v>
      </c>
      <c r="EJ184" s="231">
        <v>140902.37</v>
      </c>
      <c r="EK184" s="231">
        <v>46388.88</v>
      </c>
      <c r="EL184" s="231">
        <v>27536.2</v>
      </c>
      <c r="EM184" s="231">
        <v>6012</v>
      </c>
      <c r="EN184" s="231">
        <v>214827.45</v>
      </c>
      <c r="EO184" s="231">
        <v>383792.86</v>
      </c>
      <c r="EP184" s="231">
        <v>-168965.41</v>
      </c>
      <c r="EQ184" s="229">
        <v>-0.44030000000000002</v>
      </c>
      <c r="ER184" s="231">
        <v>45606</v>
      </c>
      <c r="ES184" s="231">
        <v>28203</v>
      </c>
      <c r="ET184" s="231">
        <v>122944</v>
      </c>
      <c r="EU184" s="231">
        <v>3644817</v>
      </c>
      <c r="EV184" s="231">
        <v>196753</v>
      </c>
      <c r="EW184" s="231">
        <v>192645</v>
      </c>
      <c r="EX184" s="231">
        <v>4108</v>
      </c>
      <c r="EY184" s="229">
        <v>2.1299999999999999E-2</v>
      </c>
      <c r="EZ184" s="229">
        <v>0.37959999999999999</v>
      </c>
      <c r="FA184" s="227" t="s">
        <v>555</v>
      </c>
      <c r="FB184" s="161">
        <f t="shared" si="4"/>
        <v>0</v>
      </c>
    </row>
    <row r="185" spans="1:158" ht="17.25" thickBot="1" x14ac:dyDescent="0.3">
      <c r="A185" s="226">
        <v>45936</v>
      </c>
      <c r="B185" s="227" t="s">
        <v>162</v>
      </c>
      <c r="C185" s="227" t="s">
        <v>615</v>
      </c>
      <c r="D185" s="228">
        <v>1050</v>
      </c>
      <c r="E185" s="228">
        <v>417</v>
      </c>
      <c r="F185" s="228">
        <v>421.25</v>
      </c>
      <c r="G185" s="228">
        <v>-4.25</v>
      </c>
      <c r="H185" s="229">
        <v>-1.01E-2</v>
      </c>
      <c r="I185" s="228">
        <v>414.25</v>
      </c>
      <c r="J185" s="228">
        <v>419.7</v>
      </c>
      <c r="K185" s="228">
        <v>-5.45</v>
      </c>
      <c r="L185" s="229">
        <v>-1.2999999999999999E-2</v>
      </c>
      <c r="M185" s="228">
        <v>417</v>
      </c>
      <c r="N185" s="228">
        <v>421.25</v>
      </c>
      <c r="O185" s="228">
        <v>-4.25</v>
      </c>
      <c r="P185" s="229">
        <v>-1.01E-2</v>
      </c>
      <c r="Q185" s="228">
        <v>419.05</v>
      </c>
      <c r="R185" s="228">
        <v>423.35</v>
      </c>
      <c r="S185" s="228">
        <v>-4.3</v>
      </c>
      <c r="T185" s="229">
        <v>-1.0200000000000001E-2</v>
      </c>
      <c r="U185" s="228">
        <v>420.95</v>
      </c>
      <c r="V185" s="228">
        <v>426.2</v>
      </c>
      <c r="W185" s="228">
        <v>-5.25</v>
      </c>
      <c r="X185" s="229">
        <v>-1.23E-2</v>
      </c>
      <c r="Y185" s="228">
        <v>2.75</v>
      </c>
      <c r="Z185" s="228">
        <v>1.55</v>
      </c>
      <c r="AA185" s="228">
        <v>1.2</v>
      </c>
      <c r="AB185" s="229">
        <v>6.6E-3</v>
      </c>
      <c r="AC185" s="228">
        <v>2.75</v>
      </c>
      <c r="AD185" s="228">
        <v>1.55</v>
      </c>
      <c r="AE185" s="228">
        <v>1.2</v>
      </c>
      <c r="AF185" s="229">
        <v>6.6E-3</v>
      </c>
      <c r="AG185" s="228">
        <v>4.8</v>
      </c>
      <c r="AH185" s="228">
        <v>3.65</v>
      </c>
      <c r="AI185" s="228">
        <v>1.1499999999999999</v>
      </c>
      <c r="AJ185" s="229">
        <v>1.1599999999999999E-2</v>
      </c>
      <c r="AK185" s="228">
        <v>6.7</v>
      </c>
      <c r="AL185" s="228">
        <v>6.5</v>
      </c>
      <c r="AM185" s="228">
        <v>0.2</v>
      </c>
      <c r="AN185" s="229">
        <v>1.6199999999999999E-2</v>
      </c>
      <c r="AO185" s="228">
        <v>418.11</v>
      </c>
      <c r="AP185" s="228">
        <v>420.9</v>
      </c>
      <c r="AQ185" s="228">
        <v>0</v>
      </c>
      <c r="AR185" s="230">
        <v>1283100</v>
      </c>
      <c r="AS185" s="230">
        <v>1493100</v>
      </c>
      <c r="AT185" s="230">
        <v>-210000</v>
      </c>
      <c r="AU185" s="229">
        <v>-0.1406</v>
      </c>
      <c r="AV185" s="230">
        <v>1179150</v>
      </c>
      <c r="AW185" s="230">
        <v>1363950</v>
      </c>
      <c r="AX185" s="230">
        <v>-184800</v>
      </c>
      <c r="AY185" s="229">
        <v>-0.13550000000000001</v>
      </c>
      <c r="AZ185" s="230">
        <v>89250</v>
      </c>
      <c r="BA185" s="230">
        <v>116550</v>
      </c>
      <c r="BB185" s="230">
        <v>-27300</v>
      </c>
      <c r="BC185" s="229">
        <v>-0.23419999999999999</v>
      </c>
      <c r="BD185" s="230">
        <v>14700</v>
      </c>
      <c r="BE185" s="230">
        <v>12600</v>
      </c>
      <c r="BF185" s="230">
        <v>2100</v>
      </c>
      <c r="BG185" s="229">
        <v>0.16669999999999999</v>
      </c>
      <c r="BH185" s="230">
        <v>1893150</v>
      </c>
      <c r="BI185" s="230">
        <v>2891700</v>
      </c>
      <c r="BJ185" s="230">
        <v>-998550</v>
      </c>
      <c r="BK185" s="229">
        <v>-0.3453</v>
      </c>
      <c r="BL185" s="230">
        <v>710850</v>
      </c>
      <c r="BM185" s="230">
        <v>849450</v>
      </c>
      <c r="BN185" s="230">
        <v>-138600</v>
      </c>
      <c r="BO185" s="229">
        <v>-0.16320000000000001</v>
      </c>
      <c r="BP185" s="230">
        <v>3887100</v>
      </c>
      <c r="BQ185" s="230">
        <v>5234250</v>
      </c>
      <c r="BR185" s="230">
        <v>-1347150</v>
      </c>
      <c r="BS185" s="229">
        <v>-0.25740000000000002</v>
      </c>
      <c r="BT185" s="230">
        <v>2381398</v>
      </c>
      <c r="BU185" s="230">
        <v>1949763</v>
      </c>
      <c r="BV185" s="230">
        <v>431635</v>
      </c>
      <c r="BW185" s="229">
        <v>0.22140000000000001</v>
      </c>
      <c r="BX185" s="230">
        <v>23427600</v>
      </c>
      <c r="BY185" s="230">
        <v>23441250</v>
      </c>
      <c r="BZ185" s="230">
        <v>-13650</v>
      </c>
      <c r="CA185" s="229">
        <v>-5.9999999999999995E-4</v>
      </c>
      <c r="CB185" s="230">
        <v>22773450</v>
      </c>
      <c r="CC185" s="230">
        <v>22819650</v>
      </c>
      <c r="CD185" s="230">
        <v>-46200</v>
      </c>
      <c r="CE185" s="229">
        <v>-2E-3</v>
      </c>
      <c r="CF185" s="230">
        <v>623700</v>
      </c>
      <c r="CG185" s="230">
        <v>602700</v>
      </c>
      <c r="CH185" s="230">
        <v>21000</v>
      </c>
      <c r="CI185" s="229">
        <v>3.4799999999999998E-2</v>
      </c>
      <c r="CJ185" s="230">
        <v>30450</v>
      </c>
      <c r="CK185" s="230">
        <v>18900</v>
      </c>
      <c r="CL185" s="230">
        <v>11550</v>
      </c>
      <c r="CM185" s="229">
        <v>0.61109999999999998</v>
      </c>
      <c r="CN185" s="230">
        <v>3567900</v>
      </c>
      <c r="CO185" s="230">
        <v>3151050</v>
      </c>
      <c r="CP185" s="230">
        <v>416850</v>
      </c>
      <c r="CQ185" s="229">
        <v>0.1323</v>
      </c>
      <c r="CR185" s="230">
        <v>2428650</v>
      </c>
      <c r="CS185" s="230">
        <v>2364600</v>
      </c>
      <c r="CT185" s="230">
        <v>64050</v>
      </c>
      <c r="CU185" s="229">
        <v>2.7099999999999999E-2</v>
      </c>
      <c r="CV185" s="230">
        <v>29424150</v>
      </c>
      <c r="CW185" s="230">
        <v>28956900</v>
      </c>
      <c r="CX185" s="230">
        <v>467250</v>
      </c>
      <c r="CY185" s="229">
        <v>1.61E-2</v>
      </c>
      <c r="CZ185" s="228">
        <v>33.49</v>
      </c>
      <c r="DA185" s="228">
        <v>32.33</v>
      </c>
      <c r="DB185" s="228">
        <v>1.1599999999999999</v>
      </c>
      <c r="DC185" s="228">
        <v>1.1599999999999999</v>
      </c>
      <c r="DD185" s="228">
        <v>40.659999999999997</v>
      </c>
      <c r="DE185" s="228">
        <v>40.72</v>
      </c>
      <c r="DF185" s="228">
        <v>-7.17</v>
      </c>
      <c r="DG185" s="228">
        <v>-0.06</v>
      </c>
      <c r="DH185" s="228">
        <v>33.69</v>
      </c>
      <c r="DI185" s="228">
        <v>32.340000000000003</v>
      </c>
      <c r="DJ185" s="228">
        <v>1.35</v>
      </c>
      <c r="DK185" s="228">
        <v>1.35</v>
      </c>
      <c r="DL185" s="228">
        <v>32.96</v>
      </c>
      <c r="DM185" s="228">
        <v>32.31</v>
      </c>
      <c r="DN185" s="228">
        <v>0.65</v>
      </c>
      <c r="DO185" s="228">
        <v>0.65</v>
      </c>
      <c r="DP185" s="228">
        <v>0.68</v>
      </c>
      <c r="DQ185" s="228">
        <v>0.75</v>
      </c>
      <c r="DR185" s="228">
        <v>-7.0000000000000007E-2</v>
      </c>
      <c r="DS185" s="229">
        <v>-9.3299999999999994E-2</v>
      </c>
      <c r="DT185" s="228">
        <v>420</v>
      </c>
      <c r="DU185" s="228">
        <v>400</v>
      </c>
      <c r="DV185" s="228">
        <v>0.38</v>
      </c>
      <c r="DW185" s="228">
        <v>0.28999999999999998</v>
      </c>
      <c r="DX185" s="228">
        <v>0.09</v>
      </c>
      <c r="DY185" s="229">
        <v>0.31030000000000002</v>
      </c>
      <c r="DZ185" s="229">
        <v>2.7900000000000001E-2</v>
      </c>
      <c r="EA185" s="230">
        <v>621600</v>
      </c>
      <c r="EB185" s="229">
        <v>4.8999999999999998E-3</v>
      </c>
      <c r="EC185" s="229">
        <v>2.7900000000000001E-2</v>
      </c>
      <c r="ED185" s="228">
        <v>2.79</v>
      </c>
      <c r="EE185" s="229">
        <v>6.7000000000000002E-3</v>
      </c>
      <c r="EF185" s="230">
        <v>1536631</v>
      </c>
      <c r="EG185" s="230">
        <v>1121865</v>
      </c>
      <c r="EH185" s="229">
        <v>0.36969999999999997</v>
      </c>
      <c r="EI185" s="229">
        <v>0.64529999999999998</v>
      </c>
      <c r="EJ185" s="231">
        <v>8464.31</v>
      </c>
      <c r="EK185" s="231">
        <v>2927.82</v>
      </c>
      <c r="EL185" s="231">
        <v>5367.73</v>
      </c>
      <c r="EM185" s="231">
        <v>6820</v>
      </c>
      <c r="EN185" s="231">
        <v>16759.86</v>
      </c>
      <c r="EO185" s="231">
        <v>22665.26</v>
      </c>
      <c r="EP185" s="231">
        <v>-5905.4</v>
      </c>
      <c r="EQ185" s="229">
        <v>-0.26050000000000001</v>
      </c>
      <c r="ER185" s="231">
        <v>15978</v>
      </c>
      <c r="ES185" s="231">
        <v>9909</v>
      </c>
      <c r="ET185" s="231">
        <v>97707</v>
      </c>
      <c r="EU185" s="231">
        <v>67126548</v>
      </c>
      <c r="EV185" s="231">
        <v>123594</v>
      </c>
      <c r="EW185" s="231">
        <v>122536</v>
      </c>
      <c r="EX185" s="231">
        <v>1058</v>
      </c>
      <c r="EY185" s="229">
        <v>8.6E-3</v>
      </c>
      <c r="EZ185" s="229">
        <v>0.43830000000000002</v>
      </c>
      <c r="FA185" s="227" t="s">
        <v>568</v>
      </c>
      <c r="FB185" s="161">
        <f t="shared" si="4"/>
        <v>0</v>
      </c>
    </row>
    <row r="186" spans="1:158" ht="17.25" thickBot="1" x14ac:dyDescent="0.3">
      <c r="A186" s="226">
        <v>45936</v>
      </c>
      <c r="B186" s="227" t="s">
        <v>197</v>
      </c>
      <c r="C186" s="227" t="s">
        <v>286</v>
      </c>
      <c r="D186" s="228">
        <v>200</v>
      </c>
      <c r="E186" s="231">
        <v>2957.9</v>
      </c>
      <c r="F186" s="231">
        <v>2932.6</v>
      </c>
      <c r="G186" s="228">
        <v>25.3</v>
      </c>
      <c r="H186" s="229">
        <v>8.6E-3</v>
      </c>
      <c r="I186" s="231">
        <v>2940.2</v>
      </c>
      <c r="J186" s="231">
        <v>2919.4</v>
      </c>
      <c r="K186" s="228">
        <v>20.8</v>
      </c>
      <c r="L186" s="229">
        <v>7.1000000000000004E-3</v>
      </c>
      <c r="M186" s="231">
        <v>2957.9</v>
      </c>
      <c r="N186" s="231">
        <v>2932.6</v>
      </c>
      <c r="O186" s="228">
        <v>25.3</v>
      </c>
      <c r="P186" s="229">
        <v>8.6E-3</v>
      </c>
      <c r="Q186" s="231">
        <v>2973.6</v>
      </c>
      <c r="R186" s="231">
        <v>2948.4</v>
      </c>
      <c r="S186" s="228">
        <v>25.2</v>
      </c>
      <c r="T186" s="229">
        <v>8.5000000000000006E-3</v>
      </c>
      <c r="U186" s="231">
        <v>2991.8</v>
      </c>
      <c r="V186" s="231">
        <v>2959.4</v>
      </c>
      <c r="W186" s="228">
        <v>32.4</v>
      </c>
      <c r="X186" s="229">
        <v>1.09E-2</v>
      </c>
      <c r="Y186" s="228">
        <v>17.7</v>
      </c>
      <c r="Z186" s="228">
        <v>13.2</v>
      </c>
      <c r="AA186" s="228">
        <v>4.5</v>
      </c>
      <c r="AB186" s="229">
        <v>6.0000000000000001E-3</v>
      </c>
      <c r="AC186" s="228">
        <v>17.7</v>
      </c>
      <c r="AD186" s="228">
        <v>13.2</v>
      </c>
      <c r="AE186" s="228">
        <v>4.5</v>
      </c>
      <c r="AF186" s="229">
        <v>6.0000000000000001E-3</v>
      </c>
      <c r="AG186" s="228">
        <v>33.4</v>
      </c>
      <c r="AH186" s="228">
        <v>29</v>
      </c>
      <c r="AI186" s="228">
        <v>4.4000000000000004</v>
      </c>
      <c r="AJ186" s="229">
        <v>1.14E-2</v>
      </c>
      <c r="AK186" s="228">
        <v>51.6</v>
      </c>
      <c r="AL186" s="228">
        <v>40</v>
      </c>
      <c r="AM186" s="228">
        <v>11.6</v>
      </c>
      <c r="AN186" s="229">
        <v>1.7500000000000002E-2</v>
      </c>
      <c r="AO186" s="231">
        <v>2955.88</v>
      </c>
      <c r="AP186" s="231">
        <v>2973.72</v>
      </c>
      <c r="AQ186" s="228">
        <v>0</v>
      </c>
      <c r="AR186" s="230">
        <v>503400</v>
      </c>
      <c r="AS186" s="230">
        <v>425600</v>
      </c>
      <c r="AT186" s="230">
        <v>77800</v>
      </c>
      <c r="AU186" s="229">
        <v>0.18279999999999999</v>
      </c>
      <c r="AV186" s="230">
        <v>477200</v>
      </c>
      <c r="AW186" s="230">
        <v>417600</v>
      </c>
      <c r="AX186" s="230">
        <v>59600</v>
      </c>
      <c r="AY186" s="229">
        <v>0.14269999999999999</v>
      </c>
      <c r="AZ186" s="230">
        <v>25800</v>
      </c>
      <c r="BA186" s="230">
        <v>7400</v>
      </c>
      <c r="BB186" s="230">
        <v>18400</v>
      </c>
      <c r="BC186" s="229">
        <v>2.4864999999999999</v>
      </c>
      <c r="BD186" s="228">
        <v>400</v>
      </c>
      <c r="BE186" s="228">
        <v>600</v>
      </c>
      <c r="BF186" s="228">
        <v>-200</v>
      </c>
      <c r="BG186" s="229">
        <v>-0.33329999999999999</v>
      </c>
      <c r="BH186" s="230">
        <v>1348200</v>
      </c>
      <c r="BI186" s="230">
        <v>679000</v>
      </c>
      <c r="BJ186" s="230">
        <v>669200</v>
      </c>
      <c r="BK186" s="229">
        <v>0.98560000000000003</v>
      </c>
      <c r="BL186" s="230">
        <v>570200</v>
      </c>
      <c r="BM186" s="230">
        <v>352800</v>
      </c>
      <c r="BN186" s="230">
        <v>217400</v>
      </c>
      <c r="BO186" s="229">
        <v>0.61619999999999997</v>
      </c>
      <c r="BP186" s="230">
        <v>2421800</v>
      </c>
      <c r="BQ186" s="230">
        <v>1457400</v>
      </c>
      <c r="BR186" s="230">
        <v>964400</v>
      </c>
      <c r="BS186" s="229">
        <v>0.66169999999999995</v>
      </c>
      <c r="BT186" s="230">
        <v>255508</v>
      </c>
      <c r="BU186" s="230">
        <v>531964</v>
      </c>
      <c r="BV186" s="230">
        <v>-276456</v>
      </c>
      <c r="BW186" s="229">
        <v>-0.51970000000000005</v>
      </c>
      <c r="BX186" s="230">
        <v>2876600</v>
      </c>
      <c r="BY186" s="230">
        <v>2882000</v>
      </c>
      <c r="BZ186" s="230">
        <v>-5400</v>
      </c>
      <c r="CA186" s="229">
        <v>-1.9E-3</v>
      </c>
      <c r="CB186" s="230">
        <v>2841000</v>
      </c>
      <c r="CC186" s="230">
        <v>2847200</v>
      </c>
      <c r="CD186" s="230">
        <v>-6200</v>
      </c>
      <c r="CE186" s="229">
        <v>-2.2000000000000001E-3</v>
      </c>
      <c r="CF186" s="230">
        <v>34400</v>
      </c>
      <c r="CG186" s="230">
        <v>34000</v>
      </c>
      <c r="CH186" s="228">
        <v>400</v>
      </c>
      <c r="CI186" s="229">
        <v>1.18E-2</v>
      </c>
      <c r="CJ186" s="230">
        <v>1200</v>
      </c>
      <c r="CK186" s="228">
        <v>800</v>
      </c>
      <c r="CL186" s="228">
        <v>400</v>
      </c>
      <c r="CM186" s="229">
        <v>0.5</v>
      </c>
      <c r="CN186" s="230">
        <v>629200</v>
      </c>
      <c r="CO186" s="230">
        <v>569600</v>
      </c>
      <c r="CP186" s="230">
        <v>59600</v>
      </c>
      <c r="CQ186" s="229">
        <v>0.1046</v>
      </c>
      <c r="CR186" s="230">
        <v>695600</v>
      </c>
      <c r="CS186" s="230">
        <v>670400</v>
      </c>
      <c r="CT186" s="230">
        <v>25200</v>
      </c>
      <c r="CU186" s="229">
        <v>3.7600000000000001E-2</v>
      </c>
      <c r="CV186" s="230">
        <v>4201400</v>
      </c>
      <c r="CW186" s="230">
        <v>4122000</v>
      </c>
      <c r="CX186" s="230">
        <v>79400</v>
      </c>
      <c r="CY186" s="229">
        <v>1.9300000000000001E-2</v>
      </c>
      <c r="CZ186" s="228">
        <v>24.6</v>
      </c>
      <c r="DA186" s="228">
        <v>24.92</v>
      </c>
      <c r="DB186" s="228">
        <v>-0.32</v>
      </c>
      <c r="DC186" s="228">
        <v>-0.32</v>
      </c>
      <c r="DD186" s="228">
        <v>32.36</v>
      </c>
      <c r="DE186" s="228">
        <v>32.43</v>
      </c>
      <c r="DF186" s="228">
        <v>-7.76</v>
      </c>
      <c r="DG186" s="228">
        <v>-7.0000000000000007E-2</v>
      </c>
      <c r="DH186" s="228">
        <v>24.36</v>
      </c>
      <c r="DI186" s="228">
        <v>24.69</v>
      </c>
      <c r="DJ186" s="228">
        <v>-0.33</v>
      </c>
      <c r="DK186" s="228">
        <v>-0.33</v>
      </c>
      <c r="DL186" s="228">
        <v>25.19</v>
      </c>
      <c r="DM186" s="228">
        <v>25.36</v>
      </c>
      <c r="DN186" s="228">
        <v>-0.17</v>
      </c>
      <c r="DO186" s="228">
        <v>-0.17</v>
      </c>
      <c r="DP186" s="228">
        <v>1.1100000000000001</v>
      </c>
      <c r="DQ186" s="228">
        <v>1.18</v>
      </c>
      <c r="DR186" s="228">
        <v>-7.0000000000000007E-2</v>
      </c>
      <c r="DS186" s="229">
        <v>-5.9299999999999999E-2</v>
      </c>
      <c r="DT186" s="231">
        <v>3000</v>
      </c>
      <c r="DU186" s="231">
        <v>3000</v>
      </c>
      <c r="DV186" s="228">
        <v>0.42</v>
      </c>
      <c r="DW186" s="228">
        <v>0.52</v>
      </c>
      <c r="DX186" s="228">
        <v>-0.1</v>
      </c>
      <c r="DY186" s="229">
        <v>-0.1923</v>
      </c>
      <c r="DZ186" s="229">
        <v>1.24E-2</v>
      </c>
      <c r="EA186" s="230">
        <v>34800</v>
      </c>
      <c r="EB186" s="229">
        <v>5.3E-3</v>
      </c>
      <c r="EC186" s="229">
        <v>1.24E-2</v>
      </c>
      <c r="ED186" s="228">
        <v>17.84</v>
      </c>
      <c r="EE186" s="229">
        <v>6.0000000000000001E-3</v>
      </c>
      <c r="EF186" s="230">
        <v>160864</v>
      </c>
      <c r="EG186" s="230">
        <v>394056</v>
      </c>
      <c r="EH186" s="229">
        <v>-0.59179999999999999</v>
      </c>
      <c r="EI186" s="229">
        <v>0.62960000000000005</v>
      </c>
      <c r="EJ186" s="231">
        <v>41148.18</v>
      </c>
      <c r="EK186" s="231">
        <v>16521.45</v>
      </c>
      <c r="EL186" s="231">
        <v>14884.64</v>
      </c>
      <c r="EM186" s="231">
        <v>6967</v>
      </c>
      <c r="EN186" s="231">
        <v>72554.27</v>
      </c>
      <c r="EO186" s="231">
        <v>43428.69</v>
      </c>
      <c r="EP186" s="231">
        <v>29125.58</v>
      </c>
      <c r="EQ186" s="229">
        <v>0.67069999999999996</v>
      </c>
      <c r="ER186" s="231">
        <v>18889</v>
      </c>
      <c r="ES186" s="231">
        <v>19605</v>
      </c>
      <c r="ET186" s="231">
        <v>85093</v>
      </c>
      <c r="EU186" s="231">
        <v>21205300</v>
      </c>
      <c r="EV186" s="231">
        <v>123587</v>
      </c>
      <c r="EW186" s="231">
        <v>120456</v>
      </c>
      <c r="EX186" s="231">
        <v>3131</v>
      </c>
      <c r="EY186" s="229">
        <v>2.5999999999999999E-2</v>
      </c>
      <c r="EZ186" s="229">
        <v>0.1981</v>
      </c>
      <c r="FA186" s="227" t="s">
        <v>556</v>
      </c>
      <c r="FB186" s="161">
        <f t="shared" si="4"/>
        <v>0</v>
      </c>
    </row>
    <row r="187" spans="1:158" ht="17.25" thickBot="1" x14ac:dyDescent="0.3">
      <c r="A187" s="226">
        <v>45936</v>
      </c>
      <c r="B187" s="227" t="s">
        <v>170</v>
      </c>
      <c r="C187" s="227" t="s">
        <v>288</v>
      </c>
      <c r="D187" s="228">
        <v>350</v>
      </c>
      <c r="E187" s="231">
        <v>1659.8</v>
      </c>
      <c r="F187" s="231">
        <v>1641.2</v>
      </c>
      <c r="G187" s="228">
        <v>18.600000000000001</v>
      </c>
      <c r="H187" s="229">
        <v>1.1299999999999999E-2</v>
      </c>
      <c r="I187" s="231">
        <v>1654.7</v>
      </c>
      <c r="J187" s="231">
        <v>1631.2</v>
      </c>
      <c r="K187" s="228">
        <v>23.5</v>
      </c>
      <c r="L187" s="229">
        <v>1.44E-2</v>
      </c>
      <c r="M187" s="231">
        <v>1659.8</v>
      </c>
      <c r="N187" s="231">
        <v>1641.2</v>
      </c>
      <c r="O187" s="228">
        <v>18.600000000000001</v>
      </c>
      <c r="P187" s="229">
        <v>1.1299999999999999E-2</v>
      </c>
      <c r="Q187" s="231">
        <v>1668.5</v>
      </c>
      <c r="R187" s="231">
        <v>1649.1</v>
      </c>
      <c r="S187" s="228">
        <v>19.399999999999999</v>
      </c>
      <c r="T187" s="229">
        <v>1.18E-2</v>
      </c>
      <c r="U187" s="231">
        <v>1675.1</v>
      </c>
      <c r="V187" s="231">
        <v>1658.1</v>
      </c>
      <c r="W187" s="228">
        <v>17</v>
      </c>
      <c r="X187" s="229">
        <v>1.03E-2</v>
      </c>
      <c r="Y187" s="228">
        <v>5.0999999999999996</v>
      </c>
      <c r="Z187" s="228">
        <v>10</v>
      </c>
      <c r="AA187" s="228">
        <v>-4.9000000000000004</v>
      </c>
      <c r="AB187" s="229">
        <v>3.0999999999999999E-3</v>
      </c>
      <c r="AC187" s="228">
        <v>5.0999999999999996</v>
      </c>
      <c r="AD187" s="228">
        <v>10</v>
      </c>
      <c r="AE187" s="228">
        <v>-4.9000000000000004</v>
      </c>
      <c r="AF187" s="229">
        <v>3.0999999999999999E-3</v>
      </c>
      <c r="AG187" s="228">
        <v>13.8</v>
      </c>
      <c r="AH187" s="228">
        <v>17.899999999999999</v>
      </c>
      <c r="AI187" s="228">
        <v>-4.0999999999999996</v>
      </c>
      <c r="AJ187" s="229">
        <v>8.3000000000000001E-3</v>
      </c>
      <c r="AK187" s="228">
        <v>20.399999999999999</v>
      </c>
      <c r="AL187" s="228">
        <v>26.9</v>
      </c>
      <c r="AM187" s="228">
        <v>-6.5</v>
      </c>
      <c r="AN187" s="229">
        <v>1.23E-2</v>
      </c>
      <c r="AO187" s="231">
        <v>1652.18</v>
      </c>
      <c r="AP187" s="231">
        <v>1661.16</v>
      </c>
      <c r="AQ187" s="228">
        <v>0</v>
      </c>
      <c r="AR187" s="230">
        <v>1485050</v>
      </c>
      <c r="AS187" s="230">
        <v>2646350</v>
      </c>
      <c r="AT187" s="230">
        <v>-1161300</v>
      </c>
      <c r="AU187" s="229">
        <v>-0.43880000000000002</v>
      </c>
      <c r="AV187" s="230">
        <v>1417150</v>
      </c>
      <c r="AW187" s="230">
        <v>2542400</v>
      </c>
      <c r="AX187" s="230">
        <v>-1125250</v>
      </c>
      <c r="AY187" s="229">
        <v>-0.44259999999999999</v>
      </c>
      <c r="AZ187" s="230">
        <v>63000</v>
      </c>
      <c r="BA187" s="230">
        <v>98350</v>
      </c>
      <c r="BB187" s="230">
        <v>-35350</v>
      </c>
      <c r="BC187" s="229">
        <v>-0.3594</v>
      </c>
      <c r="BD187" s="230">
        <v>4900</v>
      </c>
      <c r="BE187" s="230">
        <v>5600</v>
      </c>
      <c r="BF187" s="228">
        <v>-700</v>
      </c>
      <c r="BG187" s="229">
        <v>-0.125</v>
      </c>
      <c r="BH187" s="230">
        <v>6437550</v>
      </c>
      <c r="BI187" s="230">
        <v>7647850</v>
      </c>
      <c r="BJ187" s="230">
        <v>-1210300</v>
      </c>
      <c r="BK187" s="229">
        <v>-0.1583</v>
      </c>
      <c r="BL187" s="230">
        <v>3897600</v>
      </c>
      <c r="BM187" s="230">
        <v>6753950</v>
      </c>
      <c r="BN187" s="230">
        <v>-2856350</v>
      </c>
      <c r="BO187" s="229">
        <v>-0.4229</v>
      </c>
      <c r="BP187" s="230">
        <v>11820200</v>
      </c>
      <c r="BQ187" s="230">
        <v>17048150</v>
      </c>
      <c r="BR187" s="230">
        <v>-5227950</v>
      </c>
      <c r="BS187" s="229">
        <v>-0.30669999999999997</v>
      </c>
      <c r="BT187" s="230">
        <v>1788564</v>
      </c>
      <c r="BU187" s="230">
        <v>4117710</v>
      </c>
      <c r="BV187" s="230">
        <v>-2329146</v>
      </c>
      <c r="BW187" s="229">
        <v>-0.56559999999999999</v>
      </c>
      <c r="BX187" s="230">
        <v>15767500</v>
      </c>
      <c r="BY187" s="230">
        <v>16118900</v>
      </c>
      <c r="BZ187" s="230">
        <v>-351400</v>
      </c>
      <c r="CA187" s="229">
        <v>-2.18E-2</v>
      </c>
      <c r="CB187" s="230">
        <v>15607550</v>
      </c>
      <c r="CC187" s="230">
        <v>15958250</v>
      </c>
      <c r="CD187" s="230">
        <v>-350700</v>
      </c>
      <c r="CE187" s="229">
        <v>-2.1999999999999999E-2</v>
      </c>
      <c r="CF187" s="230">
        <v>155050</v>
      </c>
      <c r="CG187" s="230">
        <v>155750</v>
      </c>
      <c r="CH187" s="228">
        <v>-700</v>
      </c>
      <c r="CI187" s="229">
        <v>-4.4999999999999997E-3</v>
      </c>
      <c r="CJ187" s="230">
        <v>4900</v>
      </c>
      <c r="CK187" s="230">
        <v>4900</v>
      </c>
      <c r="CL187" s="228">
        <v>0</v>
      </c>
      <c r="CM187" s="229">
        <v>0</v>
      </c>
      <c r="CN187" s="230">
        <v>3649100</v>
      </c>
      <c r="CO187" s="230">
        <v>3193750</v>
      </c>
      <c r="CP187" s="230">
        <v>455350</v>
      </c>
      <c r="CQ187" s="229">
        <v>0.1426</v>
      </c>
      <c r="CR187" s="230">
        <v>3679900</v>
      </c>
      <c r="CS187" s="230">
        <v>3534300</v>
      </c>
      <c r="CT187" s="230">
        <v>145600</v>
      </c>
      <c r="CU187" s="229">
        <v>4.1200000000000001E-2</v>
      </c>
      <c r="CV187" s="230">
        <v>23096500</v>
      </c>
      <c r="CW187" s="230">
        <v>22846950</v>
      </c>
      <c r="CX187" s="230">
        <v>249550</v>
      </c>
      <c r="CY187" s="229">
        <v>1.09E-2</v>
      </c>
      <c r="CZ187" s="228">
        <v>19.649999999999999</v>
      </c>
      <c r="DA187" s="228">
        <v>20.04</v>
      </c>
      <c r="DB187" s="228">
        <v>-0.39</v>
      </c>
      <c r="DC187" s="228">
        <v>-0.39</v>
      </c>
      <c r="DD187" s="228">
        <v>24.2</v>
      </c>
      <c r="DE187" s="228">
        <v>24.18</v>
      </c>
      <c r="DF187" s="228">
        <v>-4.55</v>
      </c>
      <c r="DG187" s="228">
        <v>0.02</v>
      </c>
      <c r="DH187" s="228">
        <v>18.329999999999998</v>
      </c>
      <c r="DI187" s="228">
        <v>19.12</v>
      </c>
      <c r="DJ187" s="228">
        <v>-0.79</v>
      </c>
      <c r="DK187" s="228">
        <v>-0.79</v>
      </c>
      <c r="DL187" s="228">
        <v>21.83</v>
      </c>
      <c r="DM187" s="228">
        <v>21.07</v>
      </c>
      <c r="DN187" s="228">
        <v>0.76</v>
      </c>
      <c r="DO187" s="228">
        <v>0.76</v>
      </c>
      <c r="DP187" s="228">
        <v>1.01</v>
      </c>
      <c r="DQ187" s="228">
        <v>1.1100000000000001</v>
      </c>
      <c r="DR187" s="228">
        <v>-0.1</v>
      </c>
      <c r="DS187" s="229">
        <v>-9.01E-2</v>
      </c>
      <c r="DT187" s="231">
        <v>1680</v>
      </c>
      <c r="DU187" s="231">
        <v>1500</v>
      </c>
      <c r="DV187" s="228">
        <v>0.61</v>
      </c>
      <c r="DW187" s="228">
        <v>0.88</v>
      </c>
      <c r="DX187" s="228">
        <v>-0.27</v>
      </c>
      <c r="DY187" s="229">
        <v>-0.30680000000000002</v>
      </c>
      <c r="DZ187" s="229">
        <v>1.01E-2</v>
      </c>
      <c r="EA187" s="230">
        <v>160650</v>
      </c>
      <c r="EB187" s="229">
        <v>5.1999999999999998E-3</v>
      </c>
      <c r="EC187" s="229">
        <v>1.01E-2</v>
      </c>
      <c r="ED187" s="228">
        <v>8.98</v>
      </c>
      <c r="EE187" s="229">
        <v>5.4000000000000003E-3</v>
      </c>
      <c r="EF187" s="230">
        <v>1138782</v>
      </c>
      <c r="EG187" s="230">
        <v>2863489</v>
      </c>
      <c r="EH187" s="229">
        <v>-0.60229999999999995</v>
      </c>
      <c r="EI187" s="229">
        <v>0.63670000000000004</v>
      </c>
      <c r="EJ187" s="231">
        <v>109509.5</v>
      </c>
      <c r="EK187" s="231">
        <v>62758.46</v>
      </c>
      <c r="EL187" s="231">
        <v>24542.28</v>
      </c>
      <c r="EM187" s="231">
        <v>16862</v>
      </c>
      <c r="EN187" s="231">
        <v>196810.23999999999</v>
      </c>
      <c r="EO187" s="231">
        <v>281854.53999999998</v>
      </c>
      <c r="EP187" s="231">
        <v>-85044.3</v>
      </c>
      <c r="EQ187" s="229">
        <v>-0.30170000000000002</v>
      </c>
      <c r="ER187" s="231">
        <v>61581</v>
      </c>
      <c r="ES187" s="231">
        <v>57469</v>
      </c>
      <c r="ET187" s="231">
        <v>261723</v>
      </c>
      <c r="EU187" s="231">
        <v>109220043</v>
      </c>
      <c r="EV187" s="231">
        <v>380773</v>
      </c>
      <c r="EW187" s="231">
        <v>373317</v>
      </c>
      <c r="EX187" s="231">
        <v>7456</v>
      </c>
      <c r="EY187" s="229">
        <v>0.02</v>
      </c>
      <c r="EZ187" s="229">
        <v>0.21149999999999999</v>
      </c>
      <c r="FA187" s="227" t="s">
        <v>556</v>
      </c>
      <c r="FB187" s="161">
        <f t="shared" si="4"/>
        <v>0</v>
      </c>
    </row>
    <row r="188" spans="1:158" ht="17.25" thickBot="1" x14ac:dyDescent="0.3">
      <c r="A188" s="226">
        <v>45936</v>
      </c>
      <c r="B188" s="227" t="s">
        <v>184</v>
      </c>
      <c r="C188" s="227" t="s">
        <v>575</v>
      </c>
      <c r="D188" s="228">
        <v>175</v>
      </c>
      <c r="E188" s="231">
        <v>4194.6000000000004</v>
      </c>
      <c r="F188" s="231">
        <v>4209.3</v>
      </c>
      <c r="G188" s="228">
        <v>-14.7</v>
      </c>
      <c r="H188" s="229">
        <v>-3.5000000000000001E-3</v>
      </c>
      <c r="I188" s="231">
        <v>4171.7</v>
      </c>
      <c r="J188" s="231">
        <v>4209.7</v>
      </c>
      <c r="K188" s="228">
        <v>-38</v>
      </c>
      <c r="L188" s="229">
        <v>-8.9999999999999993E-3</v>
      </c>
      <c r="M188" s="231">
        <v>4194.6000000000004</v>
      </c>
      <c r="N188" s="231">
        <v>4209.3</v>
      </c>
      <c r="O188" s="228">
        <v>-14.7</v>
      </c>
      <c r="P188" s="229">
        <v>-3.5000000000000001E-3</v>
      </c>
      <c r="Q188" s="231">
        <v>4209.1000000000004</v>
      </c>
      <c r="R188" s="231">
        <v>4224.7</v>
      </c>
      <c r="S188" s="228">
        <v>-15.6</v>
      </c>
      <c r="T188" s="229">
        <v>-3.7000000000000002E-3</v>
      </c>
      <c r="U188" s="231">
        <v>4209</v>
      </c>
      <c r="V188" s="231">
        <v>4251</v>
      </c>
      <c r="W188" s="228">
        <v>-42</v>
      </c>
      <c r="X188" s="229">
        <v>-9.9000000000000008E-3</v>
      </c>
      <c r="Y188" s="228">
        <v>22.9</v>
      </c>
      <c r="Z188" s="228">
        <v>-0.4</v>
      </c>
      <c r="AA188" s="228">
        <v>23.3</v>
      </c>
      <c r="AB188" s="229">
        <v>5.4999999999999997E-3</v>
      </c>
      <c r="AC188" s="228">
        <v>22.9</v>
      </c>
      <c r="AD188" s="228">
        <v>-0.4</v>
      </c>
      <c r="AE188" s="228">
        <v>23.3</v>
      </c>
      <c r="AF188" s="229">
        <v>5.4999999999999997E-3</v>
      </c>
      <c r="AG188" s="228">
        <v>37.4</v>
      </c>
      <c r="AH188" s="228">
        <v>15</v>
      </c>
      <c r="AI188" s="228">
        <v>22.4</v>
      </c>
      <c r="AJ188" s="229">
        <v>8.9999999999999993E-3</v>
      </c>
      <c r="AK188" s="228">
        <v>37.299999999999997</v>
      </c>
      <c r="AL188" s="228">
        <v>41.3</v>
      </c>
      <c r="AM188" s="228">
        <v>-4</v>
      </c>
      <c r="AN188" s="229">
        <v>8.8999999999999999E-3</v>
      </c>
      <c r="AO188" s="231">
        <v>4191.25</v>
      </c>
      <c r="AP188" s="231">
        <v>4206.43</v>
      </c>
      <c r="AQ188" s="228">
        <v>0</v>
      </c>
      <c r="AR188" s="230">
        <v>90650</v>
      </c>
      <c r="AS188" s="230">
        <v>166950</v>
      </c>
      <c r="AT188" s="230">
        <v>-76300</v>
      </c>
      <c r="AU188" s="229">
        <v>-0.45700000000000002</v>
      </c>
      <c r="AV188" s="230">
        <v>87500</v>
      </c>
      <c r="AW188" s="230">
        <v>154175</v>
      </c>
      <c r="AX188" s="230">
        <v>-66675</v>
      </c>
      <c r="AY188" s="229">
        <v>-0.4325</v>
      </c>
      <c r="AZ188" s="230">
        <v>2800</v>
      </c>
      <c r="BA188" s="230">
        <v>12250</v>
      </c>
      <c r="BB188" s="230">
        <v>-9450</v>
      </c>
      <c r="BC188" s="229">
        <v>-0.77139999999999997</v>
      </c>
      <c r="BD188" s="228">
        <v>350</v>
      </c>
      <c r="BE188" s="228">
        <v>525</v>
      </c>
      <c r="BF188" s="228">
        <v>-175</v>
      </c>
      <c r="BG188" s="229">
        <v>-0.33329999999999999</v>
      </c>
      <c r="BH188" s="230">
        <v>168875</v>
      </c>
      <c r="BI188" s="230">
        <v>141400</v>
      </c>
      <c r="BJ188" s="230">
        <v>27475</v>
      </c>
      <c r="BK188" s="229">
        <v>0.1943</v>
      </c>
      <c r="BL188" s="230">
        <v>59500</v>
      </c>
      <c r="BM188" s="230">
        <v>75250</v>
      </c>
      <c r="BN188" s="230">
        <v>-15750</v>
      </c>
      <c r="BO188" s="229">
        <v>-0.20930000000000001</v>
      </c>
      <c r="BP188" s="230">
        <v>319025</v>
      </c>
      <c r="BQ188" s="230">
        <v>383600</v>
      </c>
      <c r="BR188" s="230">
        <v>-64575</v>
      </c>
      <c r="BS188" s="229">
        <v>-0.16830000000000001</v>
      </c>
      <c r="BT188" s="230">
        <v>57647</v>
      </c>
      <c r="BU188" s="230">
        <v>174294</v>
      </c>
      <c r="BV188" s="230">
        <v>-116647</v>
      </c>
      <c r="BW188" s="229">
        <v>-0.66930000000000001</v>
      </c>
      <c r="BX188" s="230">
        <v>1248100</v>
      </c>
      <c r="BY188" s="230">
        <v>1231125</v>
      </c>
      <c r="BZ188" s="230">
        <v>16975</v>
      </c>
      <c r="CA188" s="229">
        <v>1.38E-2</v>
      </c>
      <c r="CB188" s="230">
        <v>1234275</v>
      </c>
      <c r="CC188" s="230">
        <v>1218700</v>
      </c>
      <c r="CD188" s="230">
        <v>15575</v>
      </c>
      <c r="CE188" s="229">
        <v>1.2800000000000001E-2</v>
      </c>
      <c r="CF188" s="230">
        <v>12950</v>
      </c>
      <c r="CG188" s="230">
        <v>11900</v>
      </c>
      <c r="CH188" s="230">
        <v>1050</v>
      </c>
      <c r="CI188" s="229">
        <v>8.8200000000000001E-2</v>
      </c>
      <c r="CJ188" s="228">
        <v>875</v>
      </c>
      <c r="CK188" s="228">
        <v>525</v>
      </c>
      <c r="CL188" s="228">
        <v>350</v>
      </c>
      <c r="CM188" s="229">
        <v>0.66669999999999996</v>
      </c>
      <c r="CN188" s="230">
        <v>228375</v>
      </c>
      <c r="CO188" s="230">
        <v>175175</v>
      </c>
      <c r="CP188" s="230">
        <v>53200</v>
      </c>
      <c r="CQ188" s="229">
        <v>0.30370000000000003</v>
      </c>
      <c r="CR188" s="230">
        <v>126700</v>
      </c>
      <c r="CS188" s="230">
        <v>118125</v>
      </c>
      <c r="CT188" s="230">
        <v>8575</v>
      </c>
      <c r="CU188" s="229">
        <v>7.2599999999999998E-2</v>
      </c>
      <c r="CV188" s="230">
        <v>1603175</v>
      </c>
      <c r="CW188" s="230">
        <v>1524425</v>
      </c>
      <c r="CX188" s="230">
        <v>78750</v>
      </c>
      <c r="CY188" s="229">
        <v>5.1700000000000003E-2</v>
      </c>
      <c r="CZ188" s="228">
        <v>31.52</v>
      </c>
      <c r="DA188" s="228">
        <v>30.45</v>
      </c>
      <c r="DB188" s="228">
        <v>1.07</v>
      </c>
      <c r="DC188" s="228">
        <v>1.07</v>
      </c>
      <c r="DD188" s="228">
        <v>42</v>
      </c>
      <c r="DE188" s="228">
        <v>42.11</v>
      </c>
      <c r="DF188" s="228">
        <v>-10.48</v>
      </c>
      <c r="DG188" s="228">
        <v>-0.11</v>
      </c>
      <c r="DH188" s="228">
        <v>31.56</v>
      </c>
      <c r="DI188" s="228">
        <v>30.87</v>
      </c>
      <c r="DJ188" s="228">
        <v>0.69</v>
      </c>
      <c r="DK188" s="228">
        <v>0.69</v>
      </c>
      <c r="DL188" s="228">
        <v>31.42</v>
      </c>
      <c r="DM188" s="228">
        <v>29.65</v>
      </c>
      <c r="DN188" s="228">
        <v>1.77</v>
      </c>
      <c r="DO188" s="228">
        <v>1.77</v>
      </c>
      <c r="DP188" s="228">
        <v>0.55000000000000004</v>
      </c>
      <c r="DQ188" s="228">
        <v>0.67</v>
      </c>
      <c r="DR188" s="228">
        <v>-0.12</v>
      </c>
      <c r="DS188" s="229">
        <v>-0.17910000000000001</v>
      </c>
      <c r="DT188" s="231">
        <v>4500</v>
      </c>
      <c r="DU188" s="231">
        <v>4300</v>
      </c>
      <c r="DV188" s="228">
        <v>0.35</v>
      </c>
      <c r="DW188" s="228">
        <v>0.53</v>
      </c>
      <c r="DX188" s="228">
        <v>-0.18</v>
      </c>
      <c r="DY188" s="229">
        <v>-0.33960000000000001</v>
      </c>
      <c r="DZ188" s="229">
        <v>1.11E-2</v>
      </c>
      <c r="EA188" s="230">
        <v>12425</v>
      </c>
      <c r="EB188" s="229">
        <v>3.5000000000000001E-3</v>
      </c>
      <c r="EC188" s="229">
        <v>1.11E-2</v>
      </c>
      <c r="ED188" s="228">
        <v>15.18</v>
      </c>
      <c r="EE188" s="229">
        <v>3.5999999999999999E-3</v>
      </c>
      <c r="EF188" s="230">
        <v>26840</v>
      </c>
      <c r="EG188" s="230">
        <v>108474</v>
      </c>
      <c r="EH188" s="229">
        <v>-0.75260000000000005</v>
      </c>
      <c r="EI188" s="229">
        <v>0.46560000000000001</v>
      </c>
      <c r="EJ188" s="231">
        <v>7538.2</v>
      </c>
      <c r="EK188" s="231">
        <v>2452.3000000000002</v>
      </c>
      <c r="EL188" s="231">
        <v>3799.88</v>
      </c>
      <c r="EM188" s="231">
        <v>2537</v>
      </c>
      <c r="EN188" s="231">
        <v>13790.38</v>
      </c>
      <c r="EO188" s="231">
        <v>16567.79</v>
      </c>
      <c r="EP188" s="231">
        <v>-2777.41</v>
      </c>
      <c r="EQ188" s="229">
        <v>-0.1676</v>
      </c>
      <c r="ER188" s="231">
        <v>10282</v>
      </c>
      <c r="ES188" s="231">
        <v>5362</v>
      </c>
      <c r="ET188" s="231">
        <v>52355</v>
      </c>
      <c r="EU188" s="231">
        <v>7242074</v>
      </c>
      <c r="EV188" s="231">
        <v>67999</v>
      </c>
      <c r="EW188" s="231">
        <v>64770</v>
      </c>
      <c r="EX188" s="231">
        <v>3229</v>
      </c>
      <c r="EY188" s="229">
        <v>4.99E-2</v>
      </c>
      <c r="EZ188" s="229">
        <v>0.22140000000000001</v>
      </c>
      <c r="FA188" s="227" t="s">
        <v>567</v>
      </c>
      <c r="FB188" s="161">
        <f t="shared" si="4"/>
        <v>0</v>
      </c>
    </row>
    <row r="189" spans="1:158" ht="17.25" thickBot="1" x14ac:dyDescent="0.3">
      <c r="A189" s="226">
        <v>45936</v>
      </c>
      <c r="B189" s="227" t="s">
        <v>161</v>
      </c>
      <c r="C189" s="227" t="s">
        <v>686</v>
      </c>
      <c r="D189" s="228">
        <v>8000</v>
      </c>
      <c r="E189" s="228">
        <v>54.43</v>
      </c>
      <c r="F189" s="228">
        <v>54.8</v>
      </c>
      <c r="G189" s="228">
        <v>-0.37</v>
      </c>
      <c r="H189" s="229">
        <v>-6.7999999999999996E-3</v>
      </c>
      <c r="I189" s="228">
        <v>54.11</v>
      </c>
      <c r="J189" s="228">
        <v>54.46</v>
      </c>
      <c r="K189" s="228">
        <v>-0.35</v>
      </c>
      <c r="L189" s="229">
        <v>-6.4000000000000003E-3</v>
      </c>
      <c r="M189" s="228">
        <v>54.43</v>
      </c>
      <c r="N189" s="228">
        <v>54.8</v>
      </c>
      <c r="O189" s="228">
        <v>-0.37</v>
      </c>
      <c r="P189" s="229">
        <v>-6.7999999999999996E-3</v>
      </c>
      <c r="Q189" s="228">
        <v>54.73</v>
      </c>
      <c r="R189" s="228">
        <v>55.1</v>
      </c>
      <c r="S189" s="228">
        <v>-0.37</v>
      </c>
      <c r="T189" s="229">
        <v>-6.7000000000000002E-3</v>
      </c>
      <c r="U189" s="228">
        <v>55.06</v>
      </c>
      <c r="V189" s="228">
        <v>55.43</v>
      </c>
      <c r="W189" s="228">
        <v>-0.37</v>
      </c>
      <c r="X189" s="229">
        <v>-6.7000000000000002E-3</v>
      </c>
      <c r="Y189" s="228">
        <v>0.32</v>
      </c>
      <c r="Z189" s="228">
        <v>0.34</v>
      </c>
      <c r="AA189" s="228">
        <v>-0.02</v>
      </c>
      <c r="AB189" s="229">
        <v>5.8999999999999999E-3</v>
      </c>
      <c r="AC189" s="228">
        <v>0.32</v>
      </c>
      <c r="AD189" s="228">
        <v>0.34</v>
      </c>
      <c r="AE189" s="228">
        <v>-0.02</v>
      </c>
      <c r="AF189" s="229">
        <v>5.8999999999999999E-3</v>
      </c>
      <c r="AG189" s="228">
        <v>0.62</v>
      </c>
      <c r="AH189" s="228">
        <v>0.64</v>
      </c>
      <c r="AI189" s="228">
        <v>-0.02</v>
      </c>
      <c r="AJ189" s="229">
        <v>1.15E-2</v>
      </c>
      <c r="AK189" s="228">
        <v>0.95</v>
      </c>
      <c r="AL189" s="228">
        <v>0.97</v>
      </c>
      <c r="AM189" s="228">
        <v>-0.02</v>
      </c>
      <c r="AN189" s="229">
        <v>1.7600000000000001E-2</v>
      </c>
      <c r="AO189" s="228">
        <v>54.62</v>
      </c>
      <c r="AP189" s="228">
        <v>54.95</v>
      </c>
      <c r="AQ189" s="228">
        <v>0</v>
      </c>
      <c r="AR189" s="230">
        <v>20264000</v>
      </c>
      <c r="AS189" s="230">
        <v>31120000</v>
      </c>
      <c r="AT189" s="230">
        <v>-10856000</v>
      </c>
      <c r="AU189" s="229">
        <v>-0.3488</v>
      </c>
      <c r="AV189" s="230">
        <v>17424000</v>
      </c>
      <c r="AW189" s="230">
        <v>27448000</v>
      </c>
      <c r="AX189" s="230">
        <v>-10024000</v>
      </c>
      <c r="AY189" s="229">
        <v>-0.36520000000000002</v>
      </c>
      <c r="AZ189" s="230">
        <v>2544000</v>
      </c>
      <c r="BA189" s="230">
        <v>3248000</v>
      </c>
      <c r="BB189" s="230">
        <v>-704000</v>
      </c>
      <c r="BC189" s="229">
        <v>-0.2167</v>
      </c>
      <c r="BD189" s="230">
        <v>296000</v>
      </c>
      <c r="BE189" s="230">
        <v>424000</v>
      </c>
      <c r="BF189" s="230">
        <v>-128000</v>
      </c>
      <c r="BG189" s="229">
        <v>-0.3019</v>
      </c>
      <c r="BH189" s="230">
        <v>43576000</v>
      </c>
      <c r="BI189" s="230">
        <v>68008000</v>
      </c>
      <c r="BJ189" s="230">
        <v>-24432000</v>
      </c>
      <c r="BK189" s="229">
        <v>-0.35930000000000001</v>
      </c>
      <c r="BL189" s="230">
        <v>13520000</v>
      </c>
      <c r="BM189" s="230">
        <v>22536000</v>
      </c>
      <c r="BN189" s="230">
        <v>-9016000</v>
      </c>
      <c r="BO189" s="229">
        <v>-0.40010000000000001</v>
      </c>
      <c r="BP189" s="230">
        <v>77360000</v>
      </c>
      <c r="BQ189" s="230">
        <v>121664000</v>
      </c>
      <c r="BR189" s="230">
        <v>-44304000</v>
      </c>
      <c r="BS189" s="229">
        <v>-0.36420000000000002</v>
      </c>
      <c r="BT189" s="230">
        <v>51287633</v>
      </c>
      <c r="BU189" s="230">
        <v>77937651</v>
      </c>
      <c r="BV189" s="230">
        <v>-26650018</v>
      </c>
      <c r="BW189" s="229">
        <v>-0.34189999999999998</v>
      </c>
      <c r="BX189" s="230">
        <v>189496000</v>
      </c>
      <c r="BY189" s="230">
        <v>184480000</v>
      </c>
      <c r="BZ189" s="230">
        <v>5016000</v>
      </c>
      <c r="CA189" s="229">
        <v>2.7199999999999998E-2</v>
      </c>
      <c r="CB189" s="230">
        <v>177640000</v>
      </c>
      <c r="CC189" s="230">
        <v>174232000</v>
      </c>
      <c r="CD189" s="230">
        <v>3408000</v>
      </c>
      <c r="CE189" s="229">
        <v>1.9599999999999999E-2</v>
      </c>
      <c r="CF189" s="230">
        <v>11088000</v>
      </c>
      <c r="CG189" s="230">
        <v>9704000</v>
      </c>
      <c r="CH189" s="230">
        <v>1384000</v>
      </c>
      <c r="CI189" s="229">
        <v>0.1426</v>
      </c>
      <c r="CJ189" s="230">
        <v>768000</v>
      </c>
      <c r="CK189" s="230">
        <v>544000</v>
      </c>
      <c r="CL189" s="230">
        <v>224000</v>
      </c>
      <c r="CM189" s="229">
        <v>0.4118</v>
      </c>
      <c r="CN189" s="230">
        <v>114632000</v>
      </c>
      <c r="CO189" s="230">
        <v>102176000</v>
      </c>
      <c r="CP189" s="230">
        <v>12456000</v>
      </c>
      <c r="CQ189" s="229">
        <v>0.12189999999999999</v>
      </c>
      <c r="CR189" s="230">
        <v>62832000</v>
      </c>
      <c r="CS189" s="230">
        <v>61256000</v>
      </c>
      <c r="CT189" s="230">
        <v>1576000</v>
      </c>
      <c r="CU189" s="229">
        <v>2.5700000000000001E-2</v>
      </c>
      <c r="CV189" s="230">
        <v>366960000</v>
      </c>
      <c r="CW189" s="230">
        <v>347912000</v>
      </c>
      <c r="CX189" s="230">
        <v>19048000</v>
      </c>
      <c r="CY189" s="229">
        <v>5.4699999999999999E-2</v>
      </c>
      <c r="CZ189" s="228">
        <v>33.74</v>
      </c>
      <c r="DA189" s="228">
        <v>33.94</v>
      </c>
      <c r="DB189" s="228">
        <v>-0.2</v>
      </c>
      <c r="DC189" s="228">
        <v>-0.2</v>
      </c>
      <c r="DD189" s="228">
        <v>51.33</v>
      </c>
      <c r="DE189" s="228">
        <v>51.45</v>
      </c>
      <c r="DF189" s="228">
        <v>-17.59</v>
      </c>
      <c r="DG189" s="228">
        <v>-0.12</v>
      </c>
      <c r="DH189" s="228">
        <v>34.159999999999997</v>
      </c>
      <c r="DI189" s="228">
        <v>34.380000000000003</v>
      </c>
      <c r="DJ189" s="228">
        <v>-0.22</v>
      </c>
      <c r="DK189" s="228">
        <v>-0.22</v>
      </c>
      <c r="DL189" s="228">
        <v>32.380000000000003</v>
      </c>
      <c r="DM189" s="228">
        <v>32.61</v>
      </c>
      <c r="DN189" s="228">
        <v>-0.23</v>
      </c>
      <c r="DO189" s="228">
        <v>-0.23</v>
      </c>
      <c r="DP189" s="228">
        <v>0.55000000000000004</v>
      </c>
      <c r="DQ189" s="228">
        <v>0.6</v>
      </c>
      <c r="DR189" s="228">
        <v>-0.05</v>
      </c>
      <c r="DS189" s="229">
        <v>-8.3299999999999999E-2</v>
      </c>
      <c r="DT189" s="228">
        <v>60</v>
      </c>
      <c r="DU189" s="228">
        <v>56</v>
      </c>
      <c r="DV189" s="228">
        <v>0.31</v>
      </c>
      <c r="DW189" s="228">
        <v>0.33</v>
      </c>
      <c r="DX189" s="228">
        <v>-0.02</v>
      </c>
      <c r="DY189" s="229">
        <v>-6.0600000000000001E-2</v>
      </c>
      <c r="DZ189" s="229">
        <v>6.2600000000000003E-2</v>
      </c>
      <c r="EA189" s="230">
        <v>10248000</v>
      </c>
      <c r="EB189" s="229">
        <v>5.4999999999999997E-3</v>
      </c>
      <c r="EC189" s="229">
        <v>6.2600000000000003E-2</v>
      </c>
      <c r="ED189" s="228">
        <v>0.33</v>
      </c>
      <c r="EE189" s="229">
        <v>6.0000000000000001E-3</v>
      </c>
      <c r="EF189" s="230">
        <v>27988193</v>
      </c>
      <c r="EG189" s="230">
        <v>39031834</v>
      </c>
      <c r="EH189" s="229">
        <v>-0.28289999999999998</v>
      </c>
      <c r="EI189" s="229">
        <v>0.54569999999999996</v>
      </c>
      <c r="EJ189" s="231">
        <v>25471.57</v>
      </c>
      <c r="EK189" s="231">
        <v>7441.49</v>
      </c>
      <c r="EL189" s="231">
        <v>11079.01</v>
      </c>
      <c r="EM189" s="231">
        <v>8683</v>
      </c>
      <c r="EN189" s="231">
        <v>43992.07</v>
      </c>
      <c r="EO189" s="231">
        <v>69449.440000000002</v>
      </c>
      <c r="EP189" s="231">
        <v>-25457.37</v>
      </c>
      <c r="EQ189" s="229">
        <v>-0.36659999999999998</v>
      </c>
      <c r="ER189" s="231">
        <v>68241</v>
      </c>
      <c r="ES189" s="231">
        <v>34719</v>
      </c>
      <c r="ET189" s="231">
        <v>103181</v>
      </c>
      <c r="EU189" s="231">
        <v>1813533848</v>
      </c>
      <c r="EV189" s="231">
        <v>206141</v>
      </c>
      <c r="EW189" s="231">
        <v>196108</v>
      </c>
      <c r="EX189" s="231">
        <v>10033</v>
      </c>
      <c r="EY189" s="229">
        <v>5.1200000000000002E-2</v>
      </c>
      <c r="EZ189" s="229">
        <v>0.20230000000000001</v>
      </c>
      <c r="FA189" s="227" t="s">
        <v>567</v>
      </c>
      <c r="FB189" s="161">
        <f t="shared" si="4"/>
        <v>0</v>
      </c>
    </row>
    <row r="190" spans="1:158" ht="17.25" thickBot="1" x14ac:dyDescent="0.3">
      <c r="A190" s="226">
        <v>45936</v>
      </c>
      <c r="B190" s="227" t="s">
        <v>170</v>
      </c>
      <c r="C190" s="227" t="s">
        <v>520</v>
      </c>
      <c r="D190" s="228">
        <v>1000</v>
      </c>
      <c r="E190" s="228">
        <v>636.54999999999995</v>
      </c>
      <c r="F190" s="228">
        <v>638.29999999999995</v>
      </c>
      <c r="G190" s="228">
        <v>-1.75</v>
      </c>
      <c r="H190" s="229">
        <v>-2.7000000000000001E-3</v>
      </c>
      <c r="I190" s="228">
        <v>634.5</v>
      </c>
      <c r="J190" s="228">
        <v>635.5</v>
      </c>
      <c r="K190" s="228">
        <v>-1</v>
      </c>
      <c r="L190" s="229">
        <v>-1.6000000000000001E-3</v>
      </c>
      <c r="M190" s="228">
        <v>636.54999999999995</v>
      </c>
      <c r="N190" s="228">
        <v>638.29999999999995</v>
      </c>
      <c r="O190" s="228">
        <v>-1.75</v>
      </c>
      <c r="P190" s="229">
        <v>-2.7000000000000001E-3</v>
      </c>
      <c r="Q190" s="228">
        <v>639.95000000000005</v>
      </c>
      <c r="R190" s="228">
        <v>641.6</v>
      </c>
      <c r="S190" s="228">
        <v>-1.65</v>
      </c>
      <c r="T190" s="229">
        <v>-2.5999999999999999E-3</v>
      </c>
      <c r="U190" s="228">
        <v>643.20000000000005</v>
      </c>
      <c r="V190" s="228">
        <v>639.75</v>
      </c>
      <c r="W190" s="228">
        <v>3.45</v>
      </c>
      <c r="X190" s="229">
        <v>5.4000000000000003E-3</v>
      </c>
      <c r="Y190" s="228">
        <v>2.0499999999999998</v>
      </c>
      <c r="Z190" s="228">
        <v>2.8</v>
      </c>
      <c r="AA190" s="228">
        <v>-0.75</v>
      </c>
      <c r="AB190" s="229">
        <v>3.2000000000000002E-3</v>
      </c>
      <c r="AC190" s="228">
        <v>2.0499999999999998</v>
      </c>
      <c r="AD190" s="228">
        <v>2.8</v>
      </c>
      <c r="AE190" s="228">
        <v>-0.75</v>
      </c>
      <c r="AF190" s="229">
        <v>3.2000000000000002E-3</v>
      </c>
      <c r="AG190" s="228">
        <v>5.45</v>
      </c>
      <c r="AH190" s="228">
        <v>6.1</v>
      </c>
      <c r="AI190" s="228">
        <v>-0.65</v>
      </c>
      <c r="AJ190" s="229">
        <v>8.6E-3</v>
      </c>
      <c r="AK190" s="228">
        <v>8.6999999999999993</v>
      </c>
      <c r="AL190" s="228">
        <v>4.25</v>
      </c>
      <c r="AM190" s="228">
        <v>4.45</v>
      </c>
      <c r="AN190" s="229">
        <v>1.37E-2</v>
      </c>
      <c r="AO190" s="228">
        <v>634.47</v>
      </c>
      <c r="AP190" s="228">
        <v>637.59</v>
      </c>
      <c r="AQ190" s="228">
        <v>0</v>
      </c>
      <c r="AR190" s="230">
        <v>658000</v>
      </c>
      <c r="AS190" s="230">
        <v>1036000</v>
      </c>
      <c r="AT190" s="230">
        <v>-378000</v>
      </c>
      <c r="AU190" s="229">
        <v>-0.3649</v>
      </c>
      <c r="AV190" s="230">
        <v>612000</v>
      </c>
      <c r="AW190" s="230">
        <v>960000</v>
      </c>
      <c r="AX190" s="230">
        <v>-348000</v>
      </c>
      <c r="AY190" s="229">
        <v>-0.36249999999999999</v>
      </c>
      <c r="AZ190" s="230">
        <v>39000</v>
      </c>
      <c r="BA190" s="230">
        <v>71000</v>
      </c>
      <c r="BB190" s="230">
        <v>-32000</v>
      </c>
      <c r="BC190" s="229">
        <v>-0.45069999999999999</v>
      </c>
      <c r="BD190" s="230">
        <v>7000</v>
      </c>
      <c r="BE190" s="230">
        <v>5000</v>
      </c>
      <c r="BF190" s="230">
        <v>2000</v>
      </c>
      <c r="BG190" s="229">
        <v>0.4</v>
      </c>
      <c r="BH190" s="230">
        <v>829000</v>
      </c>
      <c r="BI190" s="230">
        <v>1298000</v>
      </c>
      <c r="BJ190" s="230">
        <v>-469000</v>
      </c>
      <c r="BK190" s="229">
        <v>-0.36130000000000001</v>
      </c>
      <c r="BL190" s="230">
        <v>425000</v>
      </c>
      <c r="BM190" s="230">
        <v>665000</v>
      </c>
      <c r="BN190" s="230">
        <v>-240000</v>
      </c>
      <c r="BO190" s="229">
        <v>-0.3609</v>
      </c>
      <c r="BP190" s="230">
        <v>1912000</v>
      </c>
      <c r="BQ190" s="230">
        <v>2999000</v>
      </c>
      <c r="BR190" s="230">
        <v>-1087000</v>
      </c>
      <c r="BS190" s="229">
        <v>-0.36249999999999999</v>
      </c>
      <c r="BT190" s="230">
        <v>1868778</v>
      </c>
      <c r="BU190" s="230">
        <v>523261</v>
      </c>
      <c r="BV190" s="230">
        <v>1345517</v>
      </c>
      <c r="BW190" s="229">
        <v>2.5714000000000001</v>
      </c>
      <c r="BX190" s="230">
        <v>9726000</v>
      </c>
      <c r="BY190" s="230">
        <v>9621000</v>
      </c>
      <c r="BZ190" s="230">
        <v>105000</v>
      </c>
      <c r="CA190" s="229">
        <v>1.09E-2</v>
      </c>
      <c r="CB190" s="230">
        <v>9538000</v>
      </c>
      <c r="CC190" s="230">
        <v>9449000</v>
      </c>
      <c r="CD190" s="230">
        <v>89000</v>
      </c>
      <c r="CE190" s="229">
        <v>9.4000000000000004E-3</v>
      </c>
      <c r="CF190" s="230">
        <v>177000</v>
      </c>
      <c r="CG190" s="230">
        <v>166000</v>
      </c>
      <c r="CH190" s="230">
        <v>11000</v>
      </c>
      <c r="CI190" s="229">
        <v>6.6299999999999998E-2</v>
      </c>
      <c r="CJ190" s="230">
        <v>11000</v>
      </c>
      <c r="CK190" s="230">
        <v>6000</v>
      </c>
      <c r="CL190" s="230">
        <v>5000</v>
      </c>
      <c r="CM190" s="229">
        <v>0.83330000000000004</v>
      </c>
      <c r="CN190" s="230">
        <v>1773000</v>
      </c>
      <c r="CO190" s="230">
        <v>1560000</v>
      </c>
      <c r="CP190" s="230">
        <v>213000</v>
      </c>
      <c r="CQ190" s="229">
        <v>0.13650000000000001</v>
      </c>
      <c r="CR190" s="230">
        <v>1541000</v>
      </c>
      <c r="CS190" s="230">
        <v>1519000</v>
      </c>
      <c r="CT190" s="230">
        <v>22000</v>
      </c>
      <c r="CU190" s="229">
        <v>1.4500000000000001E-2</v>
      </c>
      <c r="CV190" s="230">
        <v>13040000</v>
      </c>
      <c r="CW190" s="230">
        <v>12700000</v>
      </c>
      <c r="CX190" s="230">
        <v>340000</v>
      </c>
      <c r="CY190" s="229">
        <v>2.6800000000000001E-2</v>
      </c>
      <c r="CZ190" s="228">
        <v>27.72</v>
      </c>
      <c r="DA190" s="228">
        <v>26.39</v>
      </c>
      <c r="DB190" s="228">
        <v>1.33</v>
      </c>
      <c r="DC190" s="228">
        <v>1.33</v>
      </c>
      <c r="DD190" s="228">
        <v>33.549999999999997</v>
      </c>
      <c r="DE190" s="228">
        <v>33.630000000000003</v>
      </c>
      <c r="DF190" s="228">
        <v>-5.83</v>
      </c>
      <c r="DG190" s="228">
        <v>-0.08</v>
      </c>
      <c r="DH190" s="228">
        <v>27.41</v>
      </c>
      <c r="DI190" s="228">
        <v>26.26</v>
      </c>
      <c r="DJ190" s="228">
        <v>1.1499999999999999</v>
      </c>
      <c r="DK190" s="228">
        <v>1.1499999999999999</v>
      </c>
      <c r="DL190" s="228">
        <v>28.34</v>
      </c>
      <c r="DM190" s="228">
        <v>26.65</v>
      </c>
      <c r="DN190" s="228">
        <v>1.69</v>
      </c>
      <c r="DO190" s="228">
        <v>1.69</v>
      </c>
      <c r="DP190" s="228">
        <v>0.87</v>
      </c>
      <c r="DQ190" s="228">
        <v>0.97</v>
      </c>
      <c r="DR190" s="228">
        <v>-0.1</v>
      </c>
      <c r="DS190" s="229">
        <v>-0.1031</v>
      </c>
      <c r="DT190" s="228">
        <v>640</v>
      </c>
      <c r="DU190" s="228">
        <v>620</v>
      </c>
      <c r="DV190" s="228">
        <v>0.51</v>
      </c>
      <c r="DW190" s="228">
        <v>0.51</v>
      </c>
      <c r="DX190" s="228">
        <v>0</v>
      </c>
      <c r="DY190" s="229">
        <v>0</v>
      </c>
      <c r="DZ190" s="229">
        <v>1.9300000000000001E-2</v>
      </c>
      <c r="EA190" s="230">
        <v>172000</v>
      </c>
      <c r="EB190" s="229">
        <v>5.3E-3</v>
      </c>
      <c r="EC190" s="229">
        <v>1.9300000000000001E-2</v>
      </c>
      <c r="ED190" s="228">
        <v>3.12</v>
      </c>
      <c r="EE190" s="229">
        <v>4.8999999999999998E-3</v>
      </c>
      <c r="EF190" s="230">
        <v>1611694</v>
      </c>
      <c r="EG190" s="230">
        <v>326193</v>
      </c>
      <c r="EH190" s="229">
        <v>3.9409000000000001</v>
      </c>
      <c r="EI190" s="229">
        <v>0.86240000000000006</v>
      </c>
      <c r="EJ190" s="231">
        <v>5523.75</v>
      </c>
      <c r="EK190" s="231">
        <v>2642.86</v>
      </c>
      <c r="EL190" s="231">
        <v>4176.45</v>
      </c>
      <c r="EM190" s="231">
        <v>2890</v>
      </c>
      <c r="EN190" s="231">
        <v>12343.06</v>
      </c>
      <c r="EO190" s="231">
        <v>19487.36</v>
      </c>
      <c r="EP190" s="231">
        <v>-7144.3</v>
      </c>
      <c r="EQ190" s="229">
        <v>-0.36659999999999998</v>
      </c>
      <c r="ER190" s="231">
        <v>11686</v>
      </c>
      <c r="ES190" s="231">
        <v>9609</v>
      </c>
      <c r="ET190" s="231">
        <v>61918</v>
      </c>
      <c r="EU190" s="231">
        <v>28408333</v>
      </c>
      <c r="EV190" s="231">
        <v>83213</v>
      </c>
      <c r="EW190" s="231">
        <v>81161</v>
      </c>
      <c r="EX190" s="231">
        <v>2052</v>
      </c>
      <c r="EY190" s="229">
        <v>2.53E-2</v>
      </c>
      <c r="EZ190" s="229">
        <v>0.45900000000000002</v>
      </c>
      <c r="FA190" s="227" t="s">
        <v>567</v>
      </c>
      <c r="FB190" s="161">
        <f t="shared" si="4"/>
        <v>0</v>
      </c>
    </row>
    <row r="191" spans="1:158" ht="17.25" thickBot="1" x14ac:dyDescent="0.3">
      <c r="A191" s="226">
        <v>45936</v>
      </c>
      <c r="B191" s="227" t="s">
        <v>168</v>
      </c>
      <c r="C191" s="227" t="s">
        <v>291</v>
      </c>
      <c r="D191" s="228">
        <v>550</v>
      </c>
      <c r="E191" s="231">
        <v>1148.9000000000001</v>
      </c>
      <c r="F191" s="231">
        <v>1145.2</v>
      </c>
      <c r="G191" s="228">
        <v>3.7</v>
      </c>
      <c r="H191" s="229">
        <v>3.2000000000000002E-3</v>
      </c>
      <c r="I191" s="231">
        <v>1142.0999999999999</v>
      </c>
      <c r="J191" s="231">
        <v>1137.5</v>
      </c>
      <c r="K191" s="228">
        <v>4.5999999999999996</v>
      </c>
      <c r="L191" s="229">
        <v>4.0000000000000001E-3</v>
      </c>
      <c r="M191" s="231">
        <v>1148.9000000000001</v>
      </c>
      <c r="N191" s="231">
        <v>1145.2</v>
      </c>
      <c r="O191" s="228">
        <v>3.7</v>
      </c>
      <c r="P191" s="229">
        <v>3.2000000000000002E-3</v>
      </c>
      <c r="Q191" s="231">
        <v>1154.8</v>
      </c>
      <c r="R191" s="231">
        <v>1151.0999999999999</v>
      </c>
      <c r="S191" s="228">
        <v>3.7</v>
      </c>
      <c r="T191" s="229">
        <v>3.2000000000000002E-3</v>
      </c>
      <c r="U191" s="231">
        <v>1161.4000000000001</v>
      </c>
      <c r="V191" s="231">
        <v>1154</v>
      </c>
      <c r="W191" s="228">
        <v>7.4</v>
      </c>
      <c r="X191" s="229">
        <v>6.4000000000000003E-3</v>
      </c>
      <c r="Y191" s="228">
        <v>6.8</v>
      </c>
      <c r="Z191" s="228">
        <v>7.7</v>
      </c>
      <c r="AA191" s="228">
        <v>-0.9</v>
      </c>
      <c r="AB191" s="229">
        <v>6.0000000000000001E-3</v>
      </c>
      <c r="AC191" s="228">
        <v>6.8</v>
      </c>
      <c r="AD191" s="228">
        <v>7.7</v>
      </c>
      <c r="AE191" s="228">
        <v>-0.9</v>
      </c>
      <c r="AF191" s="229">
        <v>6.0000000000000001E-3</v>
      </c>
      <c r="AG191" s="228">
        <v>12.7</v>
      </c>
      <c r="AH191" s="228">
        <v>13.6</v>
      </c>
      <c r="AI191" s="228">
        <v>-0.9</v>
      </c>
      <c r="AJ191" s="229">
        <v>1.11E-2</v>
      </c>
      <c r="AK191" s="228">
        <v>19.3</v>
      </c>
      <c r="AL191" s="228">
        <v>16.5</v>
      </c>
      <c r="AM191" s="228">
        <v>2.8</v>
      </c>
      <c r="AN191" s="229">
        <v>1.6899999999999998E-2</v>
      </c>
      <c r="AO191" s="231">
        <v>1146.4000000000001</v>
      </c>
      <c r="AP191" s="231">
        <v>1152.0999999999999</v>
      </c>
      <c r="AQ191" s="228">
        <v>0</v>
      </c>
      <c r="AR191" s="230">
        <v>1443750</v>
      </c>
      <c r="AS191" s="230">
        <v>1514150</v>
      </c>
      <c r="AT191" s="230">
        <v>-70400</v>
      </c>
      <c r="AU191" s="229">
        <v>-4.65E-2</v>
      </c>
      <c r="AV191" s="230">
        <v>1384350</v>
      </c>
      <c r="AW191" s="230">
        <v>1473450</v>
      </c>
      <c r="AX191" s="230">
        <v>-89100</v>
      </c>
      <c r="AY191" s="229">
        <v>-6.0499999999999998E-2</v>
      </c>
      <c r="AZ191" s="230">
        <v>54450</v>
      </c>
      <c r="BA191" s="230">
        <v>39600</v>
      </c>
      <c r="BB191" s="230">
        <v>14850</v>
      </c>
      <c r="BC191" s="229">
        <v>0.375</v>
      </c>
      <c r="BD191" s="230">
        <v>4950</v>
      </c>
      <c r="BE191" s="230">
        <v>1100</v>
      </c>
      <c r="BF191" s="230">
        <v>3850</v>
      </c>
      <c r="BG191" s="229">
        <v>3.5</v>
      </c>
      <c r="BH191" s="230">
        <v>3649800</v>
      </c>
      <c r="BI191" s="230">
        <v>3017300</v>
      </c>
      <c r="BJ191" s="230">
        <v>632500</v>
      </c>
      <c r="BK191" s="229">
        <v>0.20960000000000001</v>
      </c>
      <c r="BL191" s="230">
        <v>1044450</v>
      </c>
      <c r="BM191" s="230">
        <v>1108250</v>
      </c>
      <c r="BN191" s="230">
        <v>-63800</v>
      </c>
      <c r="BO191" s="229">
        <v>-5.7599999999999998E-2</v>
      </c>
      <c r="BP191" s="230">
        <v>6138000</v>
      </c>
      <c r="BQ191" s="230">
        <v>5639700</v>
      </c>
      <c r="BR191" s="230">
        <v>498300</v>
      </c>
      <c r="BS191" s="229">
        <v>8.8400000000000006E-2</v>
      </c>
      <c r="BT191" s="230">
        <v>1499552</v>
      </c>
      <c r="BU191" s="230">
        <v>1602953</v>
      </c>
      <c r="BV191" s="230">
        <v>-103401</v>
      </c>
      <c r="BW191" s="229">
        <v>-6.4500000000000002E-2</v>
      </c>
      <c r="BX191" s="230">
        <v>15934600</v>
      </c>
      <c r="BY191" s="230">
        <v>15914800</v>
      </c>
      <c r="BZ191" s="230">
        <v>19800</v>
      </c>
      <c r="CA191" s="229">
        <v>1.1999999999999999E-3</v>
      </c>
      <c r="CB191" s="230">
        <v>15843300</v>
      </c>
      <c r="CC191" s="230">
        <v>15830100</v>
      </c>
      <c r="CD191" s="230">
        <v>13200</v>
      </c>
      <c r="CE191" s="229">
        <v>8.0000000000000004E-4</v>
      </c>
      <c r="CF191" s="230">
        <v>86900</v>
      </c>
      <c r="CG191" s="230">
        <v>83050</v>
      </c>
      <c r="CH191" s="230">
        <v>3850</v>
      </c>
      <c r="CI191" s="229">
        <v>4.6399999999999997E-2</v>
      </c>
      <c r="CJ191" s="230">
        <v>4400</v>
      </c>
      <c r="CK191" s="230">
        <v>1650</v>
      </c>
      <c r="CL191" s="230">
        <v>2750</v>
      </c>
      <c r="CM191" s="229">
        <v>1.6667000000000001</v>
      </c>
      <c r="CN191" s="230">
        <v>2323750</v>
      </c>
      <c r="CO191" s="230">
        <v>2121350</v>
      </c>
      <c r="CP191" s="230">
        <v>202400</v>
      </c>
      <c r="CQ191" s="229">
        <v>9.5399999999999999E-2</v>
      </c>
      <c r="CR191" s="230">
        <v>1108800</v>
      </c>
      <c r="CS191" s="230">
        <v>1069200</v>
      </c>
      <c r="CT191" s="230">
        <v>39600</v>
      </c>
      <c r="CU191" s="229">
        <v>3.6999999999999998E-2</v>
      </c>
      <c r="CV191" s="230">
        <v>19367150</v>
      </c>
      <c r="CW191" s="230">
        <v>19105350</v>
      </c>
      <c r="CX191" s="230">
        <v>261800</v>
      </c>
      <c r="CY191" s="229">
        <v>1.37E-2</v>
      </c>
      <c r="CZ191" s="228">
        <v>22.92</v>
      </c>
      <c r="DA191" s="228">
        <v>22.79</v>
      </c>
      <c r="DB191" s="228">
        <v>0.13</v>
      </c>
      <c r="DC191" s="228">
        <v>0.13</v>
      </c>
      <c r="DD191" s="228">
        <v>27.02</v>
      </c>
      <c r="DE191" s="228">
        <v>27.08</v>
      </c>
      <c r="DF191" s="228">
        <v>-4.0999999999999996</v>
      </c>
      <c r="DG191" s="228">
        <v>-0.06</v>
      </c>
      <c r="DH191" s="228">
        <v>22.9</v>
      </c>
      <c r="DI191" s="228">
        <v>22.71</v>
      </c>
      <c r="DJ191" s="228">
        <v>0.19</v>
      </c>
      <c r="DK191" s="228">
        <v>0.19</v>
      </c>
      <c r="DL191" s="228">
        <v>22.96</v>
      </c>
      <c r="DM191" s="228">
        <v>23.01</v>
      </c>
      <c r="DN191" s="228">
        <v>-0.05</v>
      </c>
      <c r="DO191" s="228">
        <v>-0.05</v>
      </c>
      <c r="DP191" s="228">
        <v>0.48</v>
      </c>
      <c r="DQ191" s="228">
        <v>0.5</v>
      </c>
      <c r="DR191" s="228">
        <v>-0.02</v>
      </c>
      <c r="DS191" s="229">
        <v>-0.04</v>
      </c>
      <c r="DT191" s="231">
        <v>1150</v>
      </c>
      <c r="DU191" s="231">
        <v>1100</v>
      </c>
      <c r="DV191" s="228">
        <v>0.28999999999999998</v>
      </c>
      <c r="DW191" s="228">
        <v>0.37</v>
      </c>
      <c r="DX191" s="228">
        <v>-0.08</v>
      </c>
      <c r="DY191" s="229">
        <v>-0.2162</v>
      </c>
      <c r="DZ191" s="229">
        <v>5.7000000000000002E-3</v>
      </c>
      <c r="EA191" s="230">
        <v>84700</v>
      </c>
      <c r="EB191" s="229">
        <v>5.1000000000000004E-3</v>
      </c>
      <c r="EC191" s="229">
        <v>5.7000000000000002E-3</v>
      </c>
      <c r="ED191" s="228">
        <v>5.7</v>
      </c>
      <c r="EE191" s="229">
        <v>5.0000000000000001E-3</v>
      </c>
      <c r="EF191" s="230">
        <v>999781</v>
      </c>
      <c r="EG191" s="230">
        <v>1145342</v>
      </c>
      <c r="EH191" s="229">
        <v>-0.12709999999999999</v>
      </c>
      <c r="EI191" s="229">
        <v>0.66669999999999996</v>
      </c>
      <c r="EJ191" s="231">
        <v>43386.43</v>
      </c>
      <c r="EK191" s="231">
        <v>11947.54</v>
      </c>
      <c r="EL191" s="231">
        <v>16554.75</v>
      </c>
      <c r="EM191" s="231">
        <v>7484</v>
      </c>
      <c r="EN191" s="231">
        <v>71888.72</v>
      </c>
      <c r="EO191" s="231">
        <v>65607.460000000006</v>
      </c>
      <c r="EP191" s="231">
        <v>6281.26</v>
      </c>
      <c r="EQ191" s="229">
        <v>9.5699999999999993E-2</v>
      </c>
      <c r="ER191" s="231">
        <v>27734</v>
      </c>
      <c r="ES191" s="231">
        <v>12062</v>
      </c>
      <c r="ET191" s="231">
        <v>183078</v>
      </c>
      <c r="EU191" s="231">
        <v>65471528</v>
      </c>
      <c r="EV191" s="231">
        <v>222874</v>
      </c>
      <c r="EW191" s="231">
        <v>219039</v>
      </c>
      <c r="EX191" s="231">
        <v>3835</v>
      </c>
      <c r="EY191" s="229">
        <v>1.7500000000000002E-2</v>
      </c>
      <c r="EZ191" s="229">
        <v>0.29580000000000001</v>
      </c>
      <c r="FA191" s="227" t="s">
        <v>555</v>
      </c>
      <c r="FB191" s="161">
        <f t="shared" si="4"/>
        <v>0</v>
      </c>
    </row>
    <row r="192" spans="1:158" ht="17.25" thickBot="1" x14ac:dyDescent="0.3">
      <c r="A192" s="226">
        <v>45936</v>
      </c>
      <c r="B192" s="227" t="s">
        <v>221</v>
      </c>
      <c r="C192" s="227" t="s">
        <v>605</v>
      </c>
      <c r="D192" s="228">
        <v>100</v>
      </c>
      <c r="E192" s="231">
        <v>5327.5</v>
      </c>
      <c r="F192" s="231">
        <v>5281</v>
      </c>
      <c r="G192" s="228">
        <v>46.5</v>
      </c>
      <c r="H192" s="229">
        <v>8.8000000000000005E-3</v>
      </c>
      <c r="I192" s="231">
        <v>5394</v>
      </c>
      <c r="J192" s="231">
        <v>5355.5</v>
      </c>
      <c r="K192" s="228">
        <v>38.5</v>
      </c>
      <c r="L192" s="229">
        <v>7.1999999999999998E-3</v>
      </c>
      <c r="M192" s="231">
        <v>5327.5</v>
      </c>
      <c r="N192" s="231">
        <v>5281</v>
      </c>
      <c r="O192" s="228">
        <v>46.5</v>
      </c>
      <c r="P192" s="229">
        <v>8.8000000000000005E-3</v>
      </c>
      <c r="Q192" s="231">
        <v>5282.5</v>
      </c>
      <c r="R192" s="231">
        <v>5242</v>
      </c>
      <c r="S192" s="228">
        <v>40.5</v>
      </c>
      <c r="T192" s="229">
        <v>7.7000000000000002E-3</v>
      </c>
      <c r="U192" s="231">
        <v>5262.5</v>
      </c>
      <c r="V192" s="231">
        <v>5226</v>
      </c>
      <c r="W192" s="228">
        <v>36.5</v>
      </c>
      <c r="X192" s="229">
        <v>7.0000000000000001E-3</v>
      </c>
      <c r="Y192" s="228">
        <v>-66.5</v>
      </c>
      <c r="Z192" s="228">
        <v>-74.5</v>
      </c>
      <c r="AA192" s="228">
        <v>8</v>
      </c>
      <c r="AB192" s="229">
        <v>-1.23E-2</v>
      </c>
      <c r="AC192" s="228">
        <v>-66.5</v>
      </c>
      <c r="AD192" s="228">
        <v>-74.5</v>
      </c>
      <c r="AE192" s="228">
        <v>8</v>
      </c>
      <c r="AF192" s="229">
        <v>-1.23E-2</v>
      </c>
      <c r="AG192" s="228">
        <v>-111.5</v>
      </c>
      <c r="AH192" s="228">
        <v>-113.5</v>
      </c>
      <c r="AI192" s="228">
        <v>2</v>
      </c>
      <c r="AJ192" s="229">
        <v>-2.07E-2</v>
      </c>
      <c r="AK192" s="228">
        <v>-131.5</v>
      </c>
      <c r="AL192" s="228">
        <v>-129.5</v>
      </c>
      <c r="AM192" s="228">
        <v>-2</v>
      </c>
      <c r="AN192" s="229">
        <v>-2.4400000000000002E-2</v>
      </c>
      <c r="AO192" s="231">
        <v>5308.11</v>
      </c>
      <c r="AP192" s="231">
        <v>5255.81</v>
      </c>
      <c r="AQ192" s="228">
        <v>0</v>
      </c>
      <c r="AR192" s="230">
        <v>347200</v>
      </c>
      <c r="AS192" s="230">
        <v>366700</v>
      </c>
      <c r="AT192" s="230">
        <v>-19500</v>
      </c>
      <c r="AU192" s="229">
        <v>-5.3199999999999997E-2</v>
      </c>
      <c r="AV192" s="230">
        <v>307500</v>
      </c>
      <c r="AW192" s="230">
        <v>333900</v>
      </c>
      <c r="AX192" s="230">
        <v>-26400</v>
      </c>
      <c r="AY192" s="229">
        <v>-7.9100000000000004E-2</v>
      </c>
      <c r="AZ192" s="230">
        <v>36000</v>
      </c>
      <c r="BA192" s="230">
        <v>29500</v>
      </c>
      <c r="BB192" s="230">
        <v>6500</v>
      </c>
      <c r="BC192" s="229">
        <v>0.2203</v>
      </c>
      <c r="BD192" s="230">
        <v>3700</v>
      </c>
      <c r="BE192" s="230">
        <v>3300</v>
      </c>
      <c r="BF192" s="228">
        <v>400</v>
      </c>
      <c r="BG192" s="229">
        <v>0.1212</v>
      </c>
      <c r="BH192" s="230">
        <v>1153100</v>
      </c>
      <c r="BI192" s="230">
        <v>903900</v>
      </c>
      <c r="BJ192" s="230">
        <v>249200</v>
      </c>
      <c r="BK192" s="229">
        <v>0.2757</v>
      </c>
      <c r="BL192" s="230">
        <v>346800</v>
      </c>
      <c r="BM192" s="230">
        <v>261200</v>
      </c>
      <c r="BN192" s="230">
        <v>85600</v>
      </c>
      <c r="BO192" s="229">
        <v>0.32769999999999999</v>
      </c>
      <c r="BP192" s="230">
        <v>1847100</v>
      </c>
      <c r="BQ192" s="230">
        <v>1531800</v>
      </c>
      <c r="BR192" s="230">
        <v>315300</v>
      </c>
      <c r="BS192" s="229">
        <v>0.20580000000000001</v>
      </c>
      <c r="BT192" s="230">
        <v>178068</v>
      </c>
      <c r="BU192" s="230">
        <v>187370</v>
      </c>
      <c r="BV192" s="230">
        <v>-9302</v>
      </c>
      <c r="BW192" s="229">
        <v>-4.9599999999999998E-2</v>
      </c>
      <c r="BX192" s="230">
        <v>2772200</v>
      </c>
      <c r="BY192" s="230">
        <v>2718200</v>
      </c>
      <c r="BZ192" s="230">
        <v>54000</v>
      </c>
      <c r="CA192" s="229">
        <v>1.9900000000000001E-2</v>
      </c>
      <c r="CB192" s="230">
        <v>2688400</v>
      </c>
      <c r="CC192" s="230">
        <v>2640600</v>
      </c>
      <c r="CD192" s="230">
        <v>47800</v>
      </c>
      <c r="CE192" s="229">
        <v>1.8100000000000002E-2</v>
      </c>
      <c r="CF192" s="230">
        <v>78000</v>
      </c>
      <c r="CG192" s="230">
        <v>73200</v>
      </c>
      <c r="CH192" s="230">
        <v>4800</v>
      </c>
      <c r="CI192" s="229">
        <v>6.5600000000000006E-2</v>
      </c>
      <c r="CJ192" s="230">
        <v>5800</v>
      </c>
      <c r="CK192" s="230">
        <v>4400</v>
      </c>
      <c r="CL192" s="230">
        <v>1400</v>
      </c>
      <c r="CM192" s="229">
        <v>0.31819999999999998</v>
      </c>
      <c r="CN192" s="230">
        <v>605700</v>
      </c>
      <c r="CO192" s="230">
        <v>515900</v>
      </c>
      <c r="CP192" s="230">
        <v>89800</v>
      </c>
      <c r="CQ192" s="229">
        <v>0.1741</v>
      </c>
      <c r="CR192" s="230">
        <v>345500</v>
      </c>
      <c r="CS192" s="230">
        <v>323500</v>
      </c>
      <c r="CT192" s="230">
        <v>22000</v>
      </c>
      <c r="CU192" s="229">
        <v>6.8000000000000005E-2</v>
      </c>
      <c r="CV192" s="230">
        <v>3723400</v>
      </c>
      <c r="CW192" s="230">
        <v>3557600</v>
      </c>
      <c r="CX192" s="230">
        <v>165800</v>
      </c>
      <c r="CY192" s="229">
        <v>4.6600000000000003E-2</v>
      </c>
      <c r="CZ192" s="228">
        <v>37.61</v>
      </c>
      <c r="DA192" s="228">
        <v>34.83</v>
      </c>
      <c r="DB192" s="228">
        <v>2.78</v>
      </c>
      <c r="DC192" s="228">
        <v>2.78</v>
      </c>
      <c r="DD192" s="228">
        <v>36.65</v>
      </c>
      <c r="DE192" s="228">
        <v>36.72</v>
      </c>
      <c r="DF192" s="228">
        <v>0.96</v>
      </c>
      <c r="DG192" s="228">
        <v>-7.0000000000000007E-2</v>
      </c>
      <c r="DH192" s="228">
        <v>37.57</v>
      </c>
      <c r="DI192" s="228">
        <v>34.799999999999997</v>
      </c>
      <c r="DJ192" s="228">
        <v>2.77</v>
      </c>
      <c r="DK192" s="228">
        <v>2.77</v>
      </c>
      <c r="DL192" s="228">
        <v>37.74</v>
      </c>
      <c r="DM192" s="228">
        <v>34.9</v>
      </c>
      <c r="DN192" s="228">
        <v>2.84</v>
      </c>
      <c r="DO192" s="228">
        <v>2.84</v>
      </c>
      <c r="DP192" s="228">
        <v>0.56999999999999995</v>
      </c>
      <c r="DQ192" s="228">
        <v>0.63</v>
      </c>
      <c r="DR192" s="228">
        <v>-0.06</v>
      </c>
      <c r="DS192" s="229">
        <v>-9.5200000000000007E-2</v>
      </c>
      <c r="DT192" s="231">
        <v>6000</v>
      </c>
      <c r="DU192" s="231">
        <v>5000</v>
      </c>
      <c r="DV192" s="228">
        <v>0.3</v>
      </c>
      <c r="DW192" s="228">
        <v>0.28999999999999998</v>
      </c>
      <c r="DX192" s="228">
        <v>0.01</v>
      </c>
      <c r="DY192" s="229">
        <v>3.4500000000000003E-2</v>
      </c>
      <c r="DZ192" s="229">
        <v>3.0200000000000001E-2</v>
      </c>
      <c r="EA192" s="230">
        <v>77600</v>
      </c>
      <c r="EB192" s="229">
        <v>-8.3999999999999995E-3</v>
      </c>
      <c r="EC192" s="229">
        <v>3.0200000000000001E-2</v>
      </c>
      <c r="ED192" s="228">
        <v>-52.3</v>
      </c>
      <c r="EE192" s="229">
        <v>-9.9000000000000008E-3</v>
      </c>
      <c r="EF192" s="230">
        <v>51866</v>
      </c>
      <c r="EG192" s="230">
        <v>61979</v>
      </c>
      <c r="EH192" s="229">
        <v>-0.16320000000000001</v>
      </c>
      <c r="EI192" s="229">
        <v>0.2913</v>
      </c>
      <c r="EJ192" s="231">
        <v>65628.83</v>
      </c>
      <c r="EK192" s="231">
        <v>18370.990000000002</v>
      </c>
      <c r="EL192" s="231">
        <v>18407.86</v>
      </c>
      <c r="EM192" s="231">
        <v>7871</v>
      </c>
      <c r="EN192" s="231">
        <v>102407.67999999999</v>
      </c>
      <c r="EO192" s="231">
        <v>83521.240000000005</v>
      </c>
      <c r="EP192" s="231">
        <v>18886.439999999999</v>
      </c>
      <c r="EQ192" s="229">
        <v>0.2261</v>
      </c>
      <c r="ER192" s="231">
        <v>34674</v>
      </c>
      <c r="ES192" s="231">
        <v>17949</v>
      </c>
      <c r="ET192" s="231">
        <v>147650</v>
      </c>
      <c r="EU192" s="231">
        <v>4309631</v>
      </c>
      <c r="EV192" s="231">
        <v>200273</v>
      </c>
      <c r="EW192" s="231">
        <v>189795</v>
      </c>
      <c r="EX192" s="231">
        <v>10478</v>
      </c>
      <c r="EY192" s="229">
        <v>5.5199999999999999E-2</v>
      </c>
      <c r="EZ192" s="229">
        <v>0.86399999999999999</v>
      </c>
      <c r="FA192" s="227" t="s">
        <v>555</v>
      </c>
      <c r="FB192" s="161">
        <f t="shared" si="4"/>
        <v>0</v>
      </c>
    </row>
    <row r="193" spans="1:158" ht="17.25" thickBot="1" x14ac:dyDescent="0.3">
      <c r="A193" s="226">
        <v>45936</v>
      </c>
      <c r="B193" s="227" t="s">
        <v>162</v>
      </c>
      <c r="C193" s="227" t="s">
        <v>292</v>
      </c>
      <c r="D193" s="228">
        <v>800</v>
      </c>
      <c r="E193" s="228">
        <v>714.85</v>
      </c>
      <c r="F193" s="228">
        <v>719.45</v>
      </c>
      <c r="G193" s="228">
        <v>-4.5999999999999996</v>
      </c>
      <c r="H193" s="229">
        <v>-6.4000000000000003E-3</v>
      </c>
      <c r="I193" s="228">
        <v>712.65</v>
      </c>
      <c r="J193" s="228">
        <v>716.1</v>
      </c>
      <c r="K193" s="228">
        <v>-3.45</v>
      </c>
      <c r="L193" s="229">
        <v>-4.7999999999999996E-3</v>
      </c>
      <c r="M193" s="228">
        <v>714.85</v>
      </c>
      <c r="N193" s="228">
        <v>719.45</v>
      </c>
      <c r="O193" s="228">
        <v>-4.5999999999999996</v>
      </c>
      <c r="P193" s="229">
        <v>-6.4000000000000003E-3</v>
      </c>
      <c r="Q193" s="228">
        <v>714.7</v>
      </c>
      <c r="R193" s="228">
        <v>719.4</v>
      </c>
      <c r="S193" s="228">
        <v>-4.7</v>
      </c>
      <c r="T193" s="229">
        <v>-6.4999999999999997E-3</v>
      </c>
      <c r="U193" s="228">
        <v>715</v>
      </c>
      <c r="V193" s="228">
        <v>719.85</v>
      </c>
      <c r="W193" s="228">
        <v>-4.8499999999999996</v>
      </c>
      <c r="X193" s="229">
        <v>-6.7000000000000002E-3</v>
      </c>
      <c r="Y193" s="228">
        <v>2.2000000000000002</v>
      </c>
      <c r="Z193" s="228">
        <v>3.35</v>
      </c>
      <c r="AA193" s="228">
        <v>-1.1499999999999999</v>
      </c>
      <c r="AB193" s="229">
        <v>3.0999999999999999E-3</v>
      </c>
      <c r="AC193" s="228">
        <v>2.2000000000000002</v>
      </c>
      <c r="AD193" s="228">
        <v>3.35</v>
      </c>
      <c r="AE193" s="228">
        <v>-1.1499999999999999</v>
      </c>
      <c r="AF193" s="229">
        <v>3.0999999999999999E-3</v>
      </c>
      <c r="AG193" s="228">
        <v>2.0499999999999998</v>
      </c>
      <c r="AH193" s="228">
        <v>3.3</v>
      </c>
      <c r="AI193" s="228">
        <v>-1.25</v>
      </c>
      <c r="AJ193" s="229">
        <v>2.8999999999999998E-3</v>
      </c>
      <c r="AK193" s="228">
        <v>2.35</v>
      </c>
      <c r="AL193" s="228">
        <v>3.75</v>
      </c>
      <c r="AM193" s="228">
        <v>-1.4</v>
      </c>
      <c r="AN193" s="229">
        <v>3.3E-3</v>
      </c>
      <c r="AO193" s="228">
        <v>712.53</v>
      </c>
      <c r="AP193" s="228">
        <v>712.37</v>
      </c>
      <c r="AQ193" s="228">
        <v>0</v>
      </c>
      <c r="AR193" s="230">
        <v>15585600</v>
      </c>
      <c r="AS193" s="230">
        <v>32251200</v>
      </c>
      <c r="AT193" s="230">
        <v>-16665600</v>
      </c>
      <c r="AU193" s="229">
        <v>-0.51670000000000005</v>
      </c>
      <c r="AV193" s="230">
        <v>13968800</v>
      </c>
      <c r="AW193" s="230">
        <v>29136000</v>
      </c>
      <c r="AX193" s="230">
        <v>-15167200</v>
      </c>
      <c r="AY193" s="229">
        <v>-0.52059999999999995</v>
      </c>
      <c r="AZ193" s="230">
        <v>1440000</v>
      </c>
      <c r="BA193" s="230">
        <v>2686400</v>
      </c>
      <c r="BB193" s="230">
        <v>-1246400</v>
      </c>
      <c r="BC193" s="229">
        <v>-0.46400000000000002</v>
      </c>
      <c r="BD193" s="230">
        <v>176800</v>
      </c>
      <c r="BE193" s="230">
        <v>428800</v>
      </c>
      <c r="BF193" s="230">
        <v>-252000</v>
      </c>
      <c r="BG193" s="229">
        <v>-0.5877</v>
      </c>
      <c r="BH193" s="230">
        <v>151034400</v>
      </c>
      <c r="BI193" s="230">
        <v>227086400</v>
      </c>
      <c r="BJ193" s="230">
        <v>-76052000</v>
      </c>
      <c r="BK193" s="229">
        <v>-0.33489999999999998</v>
      </c>
      <c r="BL193" s="230">
        <v>69932000</v>
      </c>
      <c r="BM193" s="230">
        <v>128551200</v>
      </c>
      <c r="BN193" s="230">
        <v>-58619200</v>
      </c>
      <c r="BO193" s="229">
        <v>-0.45600000000000002</v>
      </c>
      <c r="BP193" s="230">
        <v>236552000</v>
      </c>
      <c r="BQ193" s="230">
        <v>387888800</v>
      </c>
      <c r="BR193" s="230">
        <v>-151336800</v>
      </c>
      <c r="BS193" s="229">
        <v>-0.39019999999999999</v>
      </c>
      <c r="BT193" s="230">
        <v>10880662</v>
      </c>
      <c r="BU193" s="230">
        <v>29717866</v>
      </c>
      <c r="BV193" s="230">
        <v>-18837204</v>
      </c>
      <c r="BW193" s="229">
        <v>-0.63390000000000002</v>
      </c>
      <c r="BX193" s="230">
        <v>59785600</v>
      </c>
      <c r="BY193" s="230">
        <v>62260800</v>
      </c>
      <c r="BZ193" s="230">
        <v>-2475200</v>
      </c>
      <c r="CA193" s="229">
        <v>-3.9800000000000002E-2</v>
      </c>
      <c r="CB193" s="230">
        <v>54534400</v>
      </c>
      <c r="CC193" s="230">
        <v>56982400</v>
      </c>
      <c r="CD193" s="230">
        <v>-2448000</v>
      </c>
      <c r="CE193" s="229">
        <v>-4.2999999999999997E-2</v>
      </c>
      <c r="CF193" s="230">
        <v>4888800</v>
      </c>
      <c r="CG193" s="230">
        <v>4948000</v>
      </c>
      <c r="CH193" s="230">
        <v>-59200</v>
      </c>
      <c r="CI193" s="229">
        <v>-1.2E-2</v>
      </c>
      <c r="CJ193" s="230">
        <v>362400</v>
      </c>
      <c r="CK193" s="230">
        <v>330400</v>
      </c>
      <c r="CL193" s="230">
        <v>32000</v>
      </c>
      <c r="CM193" s="229">
        <v>9.69E-2</v>
      </c>
      <c r="CN193" s="230">
        <v>86459200</v>
      </c>
      <c r="CO193" s="230">
        <v>72556800</v>
      </c>
      <c r="CP193" s="230">
        <v>13902400</v>
      </c>
      <c r="CQ193" s="229">
        <v>0.19159999999999999</v>
      </c>
      <c r="CR193" s="230">
        <v>46172800</v>
      </c>
      <c r="CS193" s="230">
        <v>46041600</v>
      </c>
      <c r="CT193" s="230">
        <v>131200</v>
      </c>
      <c r="CU193" s="229">
        <v>2.8E-3</v>
      </c>
      <c r="CV193" s="230">
        <v>192417600</v>
      </c>
      <c r="CW193" s="230">
        <v>180859200</v>
      </c>
      <c r="CX193" s="230">
        <v>11558400</v>
      </c>
      <c r="CY193" s="229">
        <v>6.3899999999999998E-2</v>
      </c>
      <c r="CZ193" s="228">
        <v>22.22</v>
      </c>
      <c r="DA193" s="228">
        <v>23.64</v>
      </c>
      <c r="DB193" s="228">
        <v>-1.42</v>
      </c>
      <c r="DC193" s="228">
        <v>-1.42</v>
      </c>
      <c r="DD193" s="228">
        <v>35.86</v>
      </c>
      <c r="DE193" s="228">
        <v>35.94</v>
      </c>
      <c r="DF193" s="228">
        <v>-13.64</v>
      </c>
      <c r="DG193" s="228">
        <v>-0.08</v>
      </c>
      <c r="DH193" s="228">
        <v>22.29</v>
      </c>
      <c r="DI193" s="228">
        <v>23.79</v>
      </c>
      <c r="DJ193" s="228">
        <v>-1.5</v>
      </c>
      <c r="DK193" s="228">
        <v>-1.5</v>
      </c>
      <c r="DL193" s="228">
        <v>22.07</v>
      </c>
      <c r="DM193" s="228">
        <v>23.38</v>
      </c>
      <c r="DN193" s="228">
        <v>-1.31</v>
      </c>
      <c r="DO193" s="228">
        <v>-1.31</v>
      </c>
      <c r="DP193" s="228">
        <v>0.53</v>
      </c>
      <c r="DQ193" s="228">
        <v>0.63</v>
      </c>
      <c r="DR193" s="228">
        <v>-0.1</v>
      </c>
      <c r="DS193" s="229">
        <v>-0.15870000000000001</v>
      </c>
      <c r="DT193" s="228">
        <v>800</v>
      </c>
      <c r="DU193" s="228">
        <v>700</v>
      </c>
      <c r="DV193" s="228">
        <v>0.46</v>
      </c>
      <c r="DW193" s="228">
        <v>0.56999999999999995</v>
      </c>
      <c r="DX193" s="228">
        <v>-0.11</v>
      </c>
      <c r="DY193" s="229">
        <v>-0.193</v>
      </c>
      <c r="DZ193" s="229">
        <v>8.7800000000000003E-2</v>
      </c>
      <c r="EA193" s="230">
        <v>5278400</v>
      </c>
      <c r="EB193" s="229">
        <v>-2.0000000000000001E-4</v>
      </c>
      <c r="EC193" s="229">
        <v>8.7800000000000003E-2</v>
      </c>
      <c r="ED193" s="228">
        <v>-0.16</v>
      </c>
      <c r="EE193" s="229">
        <v>-2.0000000000000001E-4</v>
      </c>
      <c r="EF193" s="230">
        <v>4627804</v>
      </c>
      <c r="EG193" s="230">
        <v>10035671</v>
      </c>
      <c r="EH193" s="229">
        <v>-0.53890000000000005</v>
      </c>
      <c r="EI193" s="229">
        <v>0.42530000000000001</v>
      </c>
      <c r="EJ193" s="231">
        <v>1144311.32</v>
      </c>
      <c r="EK193" s="231">
        <v>485129.14</v>
      </c>
      <c r="EL193" s="231">
        <v>111049.97</v>
      </c>
      <c r="EM193" s="231">
        <v>53317</v>
      </c>
      <c r="EN193" s="231">
        <v>1740490.43</v>
      </c>
      <c r="EO193" s="231">
        <v>2880095.9</v>
      </c>
      <c r="EP193" s="231">
        <v>-1139605.47</v>
      </c>
      <c r="EQ193" s="229">
        <v>-0.3957</v>
      </c>
      <c r="ER193" s="231">
        <v>652531</v>
      </c>
      <c r="ES193" s="231">
        <v>316117</v>
      </c>
      <c r="ET193" s="231">
        <v>427371</v>
      </c>
      <c r="EU193" s="231">
        <v>284575867</v>
      </c>
      <c r="EV193" s="231">
        <v>1396019</v>
      </c>
      <c r="EW193" s="231">
        <v>1311552</v>
      </c>
      <c r="EX193" s="231">
        <v>84467</v>
      </c>
      <c r="EY193" s="229">
        <v>6.4399999999999999E-2</v>
      </c>
      <c r="EZ193" s="229">
        <v>0.67620000000000002</v>
      </c>
      <c r="FA193" s="227" t="s">
        <v>568</v>
      </c>
      <c r="FB193" s="161">
        <f t="shared" si="4"/>
        <v>0</v>
      </c>
    </row>
    <row r="194" spans="1:158" ht="17.25" thickBot="1" x14ac:dyDescent="0.3">
      <c r="A194" s="226">
        <v>45936</v>
      </c>
      <c r="B194" s="227" t="s">
        <v>161</v>
      </c>
      <c r="C194" s="227" t="s">
        <v>293</v>
      </c>
      <c r="D194" s="228">
        <v>1450</v>
      </c>
      <c r="E194" s="228">
        <v>396.9</v>
      </c>
      <c r="F194" s="228">
        <v>396.6</v>
      </c>
      <c r="G194" s="228">
        <v>0.3</v>
      </c>
      <c r="H194" s="229">
        <v>8.0000000000000004E-4</v>
      </c>
      <c r="I194" s="228">
        <v>395.55</v>
      </c>
      <c r="J194" s="228">
        <v>394.9</v>
      </c>
      <c r="K194" s="228">
        <v>0.65</v>
      </c>
      <c r="L194" s="229">
        <v>1.6000000000000001E-3</v>
      </c>
      <c r="M194" s="228">
        <v>396.9</v>
      </c>
      <c r="N194" s="228">
        <v>396.6</v>
      </c>
      <c r="O194" s="228">
        <v>0.3</v>
      </c>
      <c r="P194" s="229">
        <v>8.0000000000000004E-4</v>
      </c>
      <c r="Q194" s="228">
        <v>398.95</v>
      </c>
      <c r="R194" s="228">
        <v>398.75</v>
      </c>
      <c r="S194" s="228">
        <v>0.2</v>
      </c>
      <c r="T194" s="229">
        <v>5.0000000000000001E-4</v>
      </c>
      <c r="U194" s="228">
        <v>401</v>
      </c>
      <c r="V194" s="228">
        <v>400.6</v>
      </c>
      <c r="W194" s="228">
        <v>0.4</v>
      </c>
      <c r="X194" s="229">
        <v>1E-3</v>
      </c>
      <c r="Y194" s="228">
        <v>1.35</v>
      </c>
      <c r="Z194" s="228">
        <v>1.7</v>
      </c>
      <c r="AA194" s="228">
        <v>-0.35</v>
      </c>
      <c r="AB194" s="229">
        <v>3.3999999999999998E-3</v>
      </c>
      <c r="AC194" s="228">
        <v>1.35</v>
      </c>
      <c r="AD194" s="228">
        <v>1.7</v>
      </c>
      <c r="AE194" s="228">
        <v>-0.35</v>
      </c>
      <c r="AF194" s="229">
        <v>3.3999999999999998E-3</v>
      </c>
      <c r="AG194" s="228">
        <v>3.4</v>
      </c>
      <c r="AH194" s="228">
        <v>3.85</v>
      </c>
      <c r="AI194" s="228">
        <v>-0.45</v>
      </c>
      <c r="AJ194" s="229">
        <v>8.6E-3</v>
      </c>
      <c r="AK194" s="228">
        <v>5.45</v>
      </c>
      <c r="AL194" s="228">
        <v>5.7</v>
      </c>
      <c r="AM194" s="228">
        <v>-0.25</v>
      </c>
      <c r="AN194" s="229">
        <v>1.38E-2</v>
      </c>
      <c r="AO194" s="228">
        <v>394.56</v>
      </c>
      <c r="AP194" s="228">
        <v>396.37</v>
      </c>
      <c r="AQ194" s="228">
        <v>0</v>
      </c>
      <c r="AR194" s="230">
        <v>4709600</v>
      </c>
      <c r="AS194" s="230">
        <v>5073550</v>
      </c>
      <c r="AT194" s="230">
        <v>-363950</v>
      </c>
      <c r="AU194" s="229">
        <v>-7.17E-2</v>
      </c>
      <c r="AV194" s="230">
        <v>4334050</v>
      </c>
      <c r="AW194" s="230">
        <v>4760350</v>
      </c>
      <c r="AX194" s="230">
        <v>-426300</v>
      </c>
      <c r="AY194" s="229">
        <v>-8.9599999999999999E-2</v>
      </c>
      <c r="AZ194" s="230">
        <v>349450</v>
      </c>
      <c r="BA194" s="230">
        <v>284200</v>
      </c>
      <c r="BB194" s="230">
        <v>65250</v>
      </c>
      <c r="BC194" s="229">
        <v>0.2296</v>
      </c>
      <c r="BD194" s="230">
        <v>26100</v>
      </c>
      <c r="BE194" s="230">
        <v>29000</v>
      </c>
      <c r="BF194" s="230">
        <v>-2900</v>
      </c>
      <c r="BG194" s="229">
        <v>-0.1</v>
      </c>
      <c r="BH194" s="230">
        <v>18536800</v>
      </c>
      <c r="BI194" s="230">
        <v>21678950</v>
      </c>
      <c r="BJ194" s="230">
        <v>-3142150</v>
      </c>
      <c r="BK194" s="229">
        <v>-0.1449</v>
      </c>
      <c r="BL194" s="230">
        <v>8924750</v>
      </c>
      <c r="BM194" s="230">
        <v>10226850</v>
      </c>
      <c r="BN194" s="230">
        <v>-1302100</v>
      </c>
      <c r="BO194" s="229">
        <v>-0.1273</v>
      </c>
      <c r="BP194" s="230">
        <v>32171150</v>
      </c>
      <c r="BQ194" s="230">
        <v>36979350</v>
      </c>
      <c r="BR194" s="230">
        <v>-4808200</v>
      </c>
      <c r="BS194" s="229">
        <v>-0.13</v>
      </c>
      <c r="BT194" s="230">
        <v>5054161</v>
      </c>
      <c r="BU194" s="230">
        <v>4375675</v>
      </c>
      <c r="BV194" s="230">
        <v>678486</v>
      </c>
      <c r="BW194" s="229">
        <v>0.15509999999999999</v>
      </c>
      <c r="BX194" s="230">
        <v>59302100</v>
      </c>
      <c r="BY194" s="230">
        <v>59097650</v>
      </c>
      <c r="BZ194" s="230">
        <v>204450</v>
      </c>
      <c r="CA194" s="229">
        <v>3.5000000000000001E-3</v>
      </c>
      <c r="CB194" s="230">
        <v>58121800</v>
      </c>
      <c r="CC194" s="230">
        <v>57972450</v>
      </c>
      <c r="CD194" s="230">
        <v>149350</v>
      </c>
      <c r="CE194" s="229">
        <v>2.5999999999999999E-3</v>
      </c>
      <c r="CF194" s="230">
        <v>1145500</v>
      </c>
      <c r="CG194" s="230">
        <v>1103450</v>
      </c>
      <c r="CH194" s="230">
        <v>42050</v>
      </c>
      <c r="CI194" s="229">
        <v>3.8100000000000002E-2</v>
      </c>
      <c r="CJ194" s="230">
        <v>34800</v>
      </c>
      <c r="CK194" s="230">
        <v>21750</v>
      </c>
      <c r="CL194" s="230">
        <v>13050</v>
      </c>
      <c r="CM194" s="229">
        <v>0.6</v>
      </c>
      <c r="CN194" s="230">
        <v>21193200</v>
      </c>
      <c r="CO194" s="230">
        <v>20242000</v>
      </c>
      <c r="CP194" s="230">
        <v>951200</v>
      </c>
      <c r="CQ194" s="229">
        <v>4.7E-2</v>
      </c>
      <c r="CR194" s="230">
        <v>19254550</v>
      </c>
      <c r="CS194" s="230">
        <v>19111000</v>
      </c>
      <c r="CT194" s="230">
        <v>143550</v>
      </c>
      <c r="CU194" s="229">
        <v>7.4999999999999997E-3</v>
      </c>
      <c r="CV194" s="230">
        <v>99749850</v>
      </c>
      <c r="CW194" s="230">
        <v>98450650</v>
      </c>
      <c r="CX194" s="230">
        <v>1299200</v>
      </c>
      <c r="CY194" s="229">
        <v>1.32E-2</v>
      </c>
      <c r="CZ194" s="228">
        <v>20.71</v>
      </c>
      <c r="DA194" s="228">
        <v>20.29</v>
      </c>
      <c r="DB194" s="228">
        <v>0.42</v>
      </c>
      <c r="DC194" s="228">
        <v>0.42</v>
      </c>
      <c r="DD194" s="228">
        <v>33.68</v>
      </c>
      <c r="DE194" s="228">
        <v>33.76</v>
      </c>
      <c r="DF194" s="228">
        <v>-12.97</v>
      </c>
      <c r="DG194" s="228">
        <v>-0.08</v>
      </c>
      <c r="DH194" s="228">
        <v>20.49</v>
      </c>
      <c r="DI194" s="228">
        <v>20.03</v>
      </c>
      <c r="DJ194" s="228">
        <v>0.46</v>
      </c>
      <c r="DK194" s="228">
        <v>0.46</v>
      </c>
      <c r="DL194" s="228">
        <v>21.16</v>
      </c>
      <c r="DM194" s="228">
        <v>20.85</v>
      </c>
      <c r="DN194" s="228">
        <v>0.31</v>
      </c>
      <c r="DO194" s="228">
        <v>0.31</v>
      </c>
      <c r="DP194" s="228">
        <v>0.91</v>
      </c>
      <c r="DQ194" s="228">
        <v>0.94</v>
      </c>
      <c r="DR194" s="228">
        <v>-0.03</v>
      </c>
      <c r="DS194" s="229">
        <v>-3.1899999999999998E-2</v>
      </c>
      <c r="DT194" s="228">
        <v>400</v>
      </c>
      <c r="DU194" s="228">
        <v>390</v>
      </c>
      <c r="DV194" s="228">
        <v>0.48</v>
      </c>
      <c r="DW194" s="228">
        <v>0.47</v>
      </c>
      <c r="DX194" s="228">
        <v>0.01</v>
      </c>
      <c r="DY194" s="229">
        <v>2.1299999999999999E-2</v>
      </c>
      <c r="DZ194" s="229">
        <v>1.9900000000000001E-2</v>
      </c>
      <c r="EA194" s="230">
        <v>1125200</v>
      </c>
      <c r="EB194" s="229">
        <v>5.1999999999999998E-3</v>
      </c>
      <c r="EC194" s="229">
        <v>1.9900000000000001E-2</v>
      </c>
      <c r="ED194" s="228">
        <v>1.81</v>
      </c>
      <c r="EE194" s="229">
        <v>4.5999999999999999E-3</v>
      </c>
      <c r="EF194" s="230">
        <v>2535544</v>
      </c>
      <c r="EG194" s="230">
        <v>1768926</v>
      </c>
      <c r="EH194" s="229">
        <v>0.43340000000000001</v>
      </c>
      <c r="EI194" s="229">
        <v>0.50170000000000003</v>
      </c>
      <c r="EJ194" s="231">
        <v>75736.63</v>
      </c>
      <c r="EK194" s="231">
        <v>34906.53</v>
      </c>
      <c r="EL194" s="231">
        <v>18589.560000000001</v>
      </c>
      <c r="EM194" s="231">
        <v>12225</v>
      </c>
      <c r="EN194" s="231">
        <v>129232.72</v>
      </c>
      <c r="EO194" s="231">
        <v>148426.37</v>
      </c>
      <c r="EP194" s="231">
        <v>-19193.650000000001</v>
      </c>
      <c r="EQ194" s="229">
        <v>-0.1293</v>
      </c>
      <c r="ER194" s="231">
        <v>86350</v>
      </c>
      <c r="ES194" s="231">
        <v>76388</v>
      </c>
      <c r="ET194" s="231">
        <v>235395</v>
      </c>
      <c r="EU194" s="231">
        <v>169808198</v>
      </c>
      <c r="EV194" s="231">
        <v>398133</v>
      </c>
      <c r="EW194" s="231">
        <v>392775</v>
      </c>
      <c r="EX194" s="231">
        <v>5358</v>
      </c>
      <c r="EY194" s="229">
        <v>1.3599999999999999E-2</v>
      </c>
      <c r="EZ194" s="229">
        <v>0.58740000000000003</v>
      </c>
      <c r="FA194" s="227" t="s">
        <v>555</v>
      </c>
      <c r="FB194" s="161">
        <f t="shared" si="4"/>
        <v>0</v>
      </c>
    </row>
    <row r="195" spans="1:158" ht="17.25" thickBot="1" x14ac:dyDescent="0.3">
      <c r="A195" s="226">
        <v>45936</v>
      </c>
      <c r="B195" s="227" t="s">
        <v>227</v>
      </c>
      <c r="C195" s="227" t="s">
        <v>294</v>
      </c>
      <c r="D195" s="228">
        <v>5500</v>
      </c>
      <c r="E195" s="228">
        <v>171.07</v>
      </c>
      <c r="F195" s="228">
        <v>174.33</v>
      </c>
      <c r="G195" s="228">
        <v>-3.26</v>
      </c>
      <c r="H195" s="229">
        <v>-1.8700000000000001E-2</v>
      </c>
      <c r="I195" s="228">
        <v>170.06</v>
      </c>
      <c r="J195" s="228">
        <v>173.21</v>
      </c>
      <c r="K195" s="228">
        <v>-3.15</v>
      </c>
      <c r="L195" s="229">
        <v>-1.8200000000000001E-2</v>
      </c>
      <c r="M195" s="228">
        <v>171.07</v>
      </c>
      <c r="N195" s="228">
        <v>174.33</v>
      </c>
      <c r="O195" s="228">
        <v>-3.26</v>
      </c>
      <c r="P195" s="229">
        <v>-1.8700000000000001E-2</v>
      </c>
      <c r="Q195" s="228">
        <v>172.02</v>
      </c>
      <c r="R195" s="228">
        <v>175.23</v>
      </c>
      <c r="S195" s="228">
        <v>-3.21</v>
      </c>
      <c r="T195" s="229">
        <v>-1.83E-2</v>
      </c>
      <c r="U195" s="228">
        <v>172.93</v>
      </c>
      <c r="V195" s="228">
        <v>176.11</v>
      </c>
      <c r="W195" s="228">
        <v>-3.18</v>
      </c>
      <c r="X195" s="229">
        <v>-1.8100000000000002E-2</v>
      </c>
      <c r="Y195" s="228">
        <v>1.01</v>
      </c>
      <c r="Z195" s="228">
        <v>1.1200000000000001</v>
      </c>
      <c r="AA195" s="228">
        <v>-0.11</v>
      </c>
      <c r="AB195" s="229">
        <v>5.8999999999999999E-3</v>
      </c>
      <c r="AC195" s="228">
        <v>1.01</v>
      </c>
      <c r="AD195" s="228">
        <v>1.1200000000000001</v>
      </c>
      <c r="AE195" s="228">
        <v>-0.11</v>
      </c>
      <c r="AF195" s="229">
        <v>5.8999999999999999E-3</v>
      </c>
      <c r="AG195" s="228">
        <v>1.96</v>
      </c>
      <c r="AH195" s="228">
        <v>2.02</v>
      </c>
      <c r="AI195" s="228">
        <v>-0.06</v>
      </c>
      <c r="AJ195" s="229">
        <v>1.15E-2</v>
      </c>
      <c r="AK195" s="228">
        <v>2.87</v>
      </c>
      <c r="AL195" s="228">
        <v>2.9</v>
      </c>
      <c r="AM195" s="228">
        <v>-0.03</v>
      </c>
      <c r="AN195" s="229">
        <v>1.6899999999999998E-2</v>
      </c>
      <c r="AO195" s="228">
        <v>171.64</v>
      </c>
      <c r="AP195" s="228">
        <v>172.54</v>
      </c>
      <c r="AQ195" s="228">
        <v>0</v>
      </c>
      <c r="AR195" s="230">
        <v>45765500</v>
      </c>
      <c r="AS195" s="230">
        <v>80151500</v>
      </c>
      <c r="AT195" s="230">
        <v>-34386000</v>
      </c>
      <c r="AU195" s="229">
        <v>-0.42899999999999999</v>
      </c>
      <c r="AV195" s="230">
        <v>42009000</v>
      </c>
      <c r="AW195" s="230">
        <v>75482000</v>
      </c>
      <c r="AX195" s="230">
        <v>-33473000</v>
      </c>
      <c r="AY195" s="229">
        <v>-0.44350000000000001</v>
      </c>
      <c r="AZ195" s="230">
        <v>3239500</v>
      </c>
      <c r="BA195" s="230">
        <v>4020500</v>
      </c>
      <c r="BB195" s="230">
        <v>-781000</v>
      </c>
      <c r="BC195" s="229">
        <v>-0.1943</v>
      </c>
      <c r="BD195" s="230">
        <v>517000</v>
      </c>
      <c r="BE195" s="230">
        <v>649000</v>
      </c>
      <c r="BF195" s="230">
        <v>-132000</v>
      </c>
      <c r="BG195" s="229">
        <v>-0.2034</v>
      </c>
      <c r="BH195" s="230">
        <v>185597500</v>
      </c>
      <c r="BI195" s="230">
        <v>359903500</v>
      </c>
      <c r="BJ195" s="230">
        <v>-174306000</v>
      </c>
      <c r="BK195" s="229">
        <v>-0.48430000000000001</v>
      </c>
      <c r="BL195" s="230">
        <v>104076500</v>
      </c>
      <c r="BM195" s="230">
        <v>173316000</v>
      </c>
      <c r="BN195" s="230">
        <v>-69239500</v>
      </c>
      <c r="BO195" s="229">
        <v>-0.39950000000000002</v>
      </c>
      <c r="BP195" s="230">
        <v>335439500</v>
      </c>
      <c r="BQ195" s="230">
        <v>613371000</v>
      </c>
      <c r="BR195" s="230">
        <v>-277931500</v>
      </c>
      <c r="BS195" s="229">
        <v>-0.4531</v>
      </c>
      <c r="BT195" s="230">
        <v>23294745</v>
      </c>
      <c r="BU195" s="230">
        <v>58109817</v>
      </c>
      <c r="BV195" s="230">
        <v>-34815072</v>
      </c>
      <c r="BW195" s="229">
        <v>-0.59909999999999997</v>
      </c>
      <c r="BX195" s="230">
        <v>184877000</v>
      </c>
      <c r="BY195" s="230">
        <v>185691000</v>
      </c>
      <c r="BZ195" s="230">
        <v>-814000</v>
      </c>
      <c r="CA195" s="229">
        <v>-4.4000000000000003E-3</v>
      </c>
      <c r="CB195" s="230">
        <v>180070000</v>
      </c>
      <c r="CC195" s="230">
        <v>181577000</v>
      </c>
      <c r="CD195" s="230">
        <v>-1507000</v>
      </c>
      <c r="CE195" s="229">
        <v>-8.3000000000000001E-3</v>
      </c>
      <c r="CF195" s="230">
        <v>4400000</v>
      </c>
      <c r="CG195" s="230">
        <v>3828000</v>
      </c>
      <c r="CH195" s="230">
        <v>572000</v>
      </c>
      <c r="CI195" s="229">
        <v>0.14940000000000001</v>
      </c>
      <c r="CJ195" s="230">
        <v>407000</v>
      </c>
      <c r="CK195" s="230">
        <v>286000</v>
      </c>
      <c r="CL195" s="230">
        <v>121000</v>
      </c>
      <c r="CM195" s="229">
        <v>0.42309999999999998</v>
      </c>
      <c r="CN195" s="230">
        <v>102245000</v>
      </c>
      <c r="CO195" s="230">
        <v>84331500</v>
      </c>
      <c r="CP195" s="230">
        <v>17913500</v>
      </c>
      <c r="CQ195" s="229">
        <v>0.21240000000000001</v>
      </c>
      <c r="CR195" s="230">
        <v>64394000</v>
      </c>
      <c r="CS195" s="230">
        <v>62623000</v>
      </c>
      <c r="CT195" s="230">
        <v>1771000</v>
      </c>
      <c r="CU195" s="229">
        <v>2.8299999999999999E-2</v>
      </c>
      <c r="CV195" s="230">
        <v>351516000</v>
      </c>
      <c r="CW195" s="230">
        <v>332645500</v>
      </c>
      <c r="CX195" s="230">
        <v>18870500</v>
      </c>
      <c r="CY195" s="229">
        <v>5.67E-2</v>
      </c>
      <c r="CZ195" s="228">
        <v>24.94</v>
      </c>
      <c r="DA195" s="228">
        <v>24.23</v>
      </c>
      <c r="DB195" s="228">
        <v>0.71</v>
      </c>
      <c r="DC195" s="228">
        <v>0.71</v>
      </c>
      <c r="DD195" s="228">
        <v>34.64</v>
      </c>
      <c r="DE195" s="228">
        <v>34.630000000000003</v>
      </c>
      <c r="DF195" s="228">
        <v>-9.6999999999999993</v>
      </c>
      <c r="DG195" s="228">
        <v>0.01</v>
      </c>
      <c r="DH195" s="228">
        <v>25.22</v>
      </c>
      <c r="DI195" s="228">
        <v>23.9</v>
      </c>
      <c r="DJ195" s="228">
        <v>1.32</v>
      </c>
      <c r="DK195" s="228">
        <v>1.32</v>
      </c>
      <c r="DL195" s="228">
        <v>24.44</v>
      </c>
      <c r="DM195" s="228">
        <v>24.92</v>
      </c>
      <c r="DN195" s="228">
        <v>-0.48</v>
      </c>
      <c r="DO195" s="228">
        <v>-0.48</v>
      </c>
      <c r="DP195" s="228">
        <v>0.63</v>
      </c>
      <c r="DQ195" s="228">
        <v>0.74</v>
      </c>
      <c r="DR195" s="228">
        <v>-0.11</v>
      </c>
      <c r="DS195" s="229">
        <v>-0.14860000000000001</v>
      </c>
      <c r="DT195" s="228">
        <v>180</v>
      </c>
      <c r="DU195" s="228">
        <v>165</v>
      </c>
      <c r="DV195" s="228">
        <v>0.56000000000000005</v>
      </c>
      <c r="DW195" s="228">
        <v>0.48</v>
      </c>
      <c r="DX195" s="228">
        <v>0.08</v>
      </c>
      <c r="DY195" s="229">
        <v>0.16669999999999999</v>
      </c>
      <c r="DZ195" s="229">
        <v>2.5999999999999999E-2</v>
      </c>
      <c r="EA195" s="230">
        <v>4114000</v>
      </c>
      <c r="EB195" s="229">
        <v>5.5999999999999999E-3</v>
      </c>
      <c r="EC195" s="229">
        <v>2.5999999999999999E-2</v>
      </c>
      <c r="ED195" s="228">
        <v>0.9</v>
      </c>
      <c r="EE195" s="229">
        <v>5.1999999999999998E-3</v>
      </c>
      <c r="EF195" s="230">
        <v>10436461</v>
      </c>
      <c r="EG195" s="230">
        <v>24470738</v>
      </c>
      <c r="EH195" s="229">
        <v>-0.57350000000000001</v>
      </c>
      <c r="EI195" s="229">
        <v>0.44800000000000001</v>
      </c>
      <c r="EJ195" s="231">
        <v>335990.69</v>
      </c>
      <c r="EK195" s="231">
        <v>176080.05</v>
      </c>
      <c r="EL195" s="231">
        <v>78592.14</v>
      </c>
      <c r="EM195" s="231">
        <v>15162</v>
      </c>
      <c r="EN195" s="231">
        <v>590662.88</v>
      </c>
      <c r="EO195" s="231">
        <v>1088604.1100000001</v>
      </c>
      <c r="EP195" s="231">
        <v>-497941.23</v>
      </c>
      <c r="EQ195" s="229">
        <v>-0.45739999999999997</v>
      </c>
      <c r="ER195" s="231">
        <v>182368</v>
      </c>
      <c r="ES195" s="231">
        <v>105666</v>
      </c>
      <c r="ET195" s="231">
        <v>316318</v>
      </c>
      <c r="EU195" s="231">
        <v>833987639</v>
      </c>
      <c r="EV195" s="231">
        <v>604353</v>
      </c>
      <c r="EW195" s="231">
        <v>577597</v>
      </c>
      <c r="EX195" s="231">
        <v>26756</v>
      </c>
      <c r="EY195" s="229">
        <v>4.6300000000000001E-2</v>
      </c>
      <c r="EZ195" s="229">
        <v>0.42149999999999999</v>
      </c>
      <c r="FA195" s="227" t="s">
        <v>568</v>
      </c>
      <c r="FB195" s="161">
        <f t="shared" ref="FB195:FB258" si="5">BX262-CB262</f>
        <v>0</v>
      </c>
    </row>
    <row r="196" spans="1:158" ht="17.25" thickBot="1" x14ac:dyDescent="0.3">
      <c r="A196" s="226">
        <v>45936</v>
      </c>
      <c r="B196" s="227" t="s">
        <v>221</v>
      </c>
      <c r="C196" s="227" t="s">
        <v>665</v>
      </c>
      <c r="D196" s="228">
        <v>800</v>
      </c>
      <c r="E196" s="228">
        <v>714.75</v>
      </c>
      <c r="F196" s="228">
        <v>708.1</v>
      </c>
      <c r="G196" s="228">
        <v>6.65</v>
      </c>
      <c r="H196" s="229">
        <v>9.4000000000000004E-3</v>
      </c>
      <c r="I196" s="228">
        <v>710.85</v>
      </c>
      <c r="J196" s="228">
        <v>707.05</v>
      </c>
      <c r="K196" s="228">
        <v>3.8</v>
      </c>
      <c r="L196" s="229">
        <v>5.4000000000000003E-3</v>
      </c>
      <c r="M196" s="228">
        <v>714.75</v>
      </c>
      <c r="N196" s="228">
        <v>708.1</v>
      </c>
      <c r="O196" s="228">
        <v>6.65</v>
      </c>
      <c r="P196" s="229">
        <v>9.4000000000000004E-3</v>
      </c>
      <c r="Q196" s="228">
        <v>715.95</v>
      </c>
      <c r="R196" s="228">
        <v>709.2</v>
      </c>
      <c r="S196" s="228">
        <v>6.75</v>
      </c>
      <c r="T196" s="229">
        <v>9.4999999999999998E-3</v>
      </c>
      <c r="U196" s="228">
        <v>718</v>
      </c>
      <c r="V196" s="228">
        <v>709</v>
      </c>
      <c r="W196" s="228">
        <v>9</v>
      </c>
      <c r="X196" s="229">
        <v>1.2699999999999999E-2</v>
      </c>
      <c r="Y196" s="228">
        <v>3.9</v>
      </c>
      <c r="Z196" s="228">
        <v>1.05</v>
      </c>
      <c r="AA196" s="228">
        <v>2.85</v>
      </c>
      <c r="AB196" s="229">
        <v>5.4999999999999997E-3</v>
      </c>
      <c r="AC196" s="228">
        <v>3.9</v>
      </c>
      <c r="AD196" s="228">
        <v>1.05</v>
      </c>
      <c r="AE196" s="228">
        <v>2.85</v>
      </c>
      <c r="AF196" s="229">
        <v>5.4999999999999997E-3</v>
      </c>
      <c r="AG196" s="228">
        <v>5.0999999999999996</v>
      </c>
      <c r="AH196" s="228">
        <v>2.15</v>
      </c>
      <c r="AI196" s="228">
        <v>2.95</v>
      </c>
      <c r="AJ196" s="229">
        <v>7.1999999999999998E-3</v>
      </c>
      <c r="AK196" s="228">
        <v>7.15</v>
      </c>
      <c r="AL196" s="228">
        <v>1.95</v>
      </c>
      <c r="AM196" s="228">
        <v>5.2</v>
      </c>
      <c r="AN196" s="229">
        <v>1.01E-2</v>
      </c>
      <c r="AO196" s="228">
        <v>713.05</v>
      </c>
      <c r="AP196" s="228">
        <v>714.1</v>
      </c>
      <c r="AQ196" s="228">
        <v>0</v>
      </c>
      <c r="AR196" s="230">
        <v>1969600</v>
      </c>
      <c r="AS196" s="230">
        <v>3080800</v>
      </c>
      <c r="AT196" s="230">
        <v>-1111200</v>
      </c>
      <c r="AU196" s="229">
        <v>-0.36070000000000002</v>
      </c>
      <c r="AV196" s="230">
        <v>1825600</v>
      </c>
      <c r="AW196" s="230">
        <v>2789600</v>
      </c>
      <c r="AX196" s="230">
        <v>-964000</v>
      </c>
      <c r="AY196" s="229">
        <v>-0.34560000000000002</v>
      </c>
      <c r="AZ196" s="230">
        <v>131200</v>
      </c>
      <c r="BA196" s="230">
        <v>263200</v>
      </c>
      <c r="BB196" s="230">
        <v>-132000</v>
      </c>
      <c r="BC196" s="229">
        <v>-0.50149999999999995</v>
      </c>
      <c r="BD196" s="230">
        <v>12800</v>
      </c>
      <c r="BE196" s="230">
        <v>28000</v>
      </c>
      <c r="BF196" s="230">
        <v>-15200</v>
      </c>
      <c r="BG196" s="229">
        <v>-0.54290000000000005</v>
      </c>
      <c r="BH196" s="230">
        <v>4966400</v>
      </c>
      <c r="BI196" s="230">
        <v>10356800</v>
      </c>
      <c r="BJ196" s="230">
        <v>-5390400</v>
      </c>
      <c r="BK196" s="229">
        <v>-0.52049999999999996</v>
      </c>
      <c r="BL196" s="230">
        <v>1766400</v>
      </c>
      <c r="BM196" s="230">
        <v>2828000</v>
      </c>
      <c r="BN196" s="230">
        <v>-1061600</v>
      </c>
      <c r="BO196" s="229">
        <v>-0.37540000000000001</v>
      </c>
      <c r="BP196" s="230">
        <v>8702400</v>
      </c>
      <c r="BQ196" s="230">
        <v>16265600</v>
      </c>
      <c r="BR196" s="230">
        <v>-7563200</v>
      </c>
      <c r="BS196" s="229">
        <v>-0.46500000000000002</v>
      </c>
      <c r="BT196" s="230">
        <v>1117800</v>
      </c>
      <c r="BU196" s="230">
        <v>1373640</v>
      </c>
      <c r="BV196" s="230">
        <v>-255840</v>
      </c>
      <c r="BW196" s="229">
        <v>-0.1862</v>
      </c>
      <c r="BX196" s="230">
        <v>9433600</v>
      </c>
      <c r="BY196" s="230">
        <v>9604000</v>
      </c>
      <c r="BZ196" s="230">
        <v>-170400</v>
      </c>
      <c r="CA196" s="229">
        <v>-1.77E-2</v>
      </c>
      <c r="CB196" s="230">
        <v>8744000</v>
      </c>
      <c r="CC196" s="230">
        <v>8923200</v>
      </c>
      <c r="CD196" s="230">
        <v>-179200</v>
      </c>
      <c r="CE196" s="229">
        <v>-2.01E-2</v>
      </c>
      <c r="CF196" s="230">
        <v>651200</v>
      </c>
      <c r="CG196" s="230">
        <v>649600</v>
      </c>
      <c r="CH196" s="230">
        <v>1600</v>
      </c>
      <c r="CI196" s="229">
        <v>2.5000000000000001E-3</v>
      </c>
      <c r="CJ196" s="230">
        <v>38400</v>
      </c>
      <c r="CK196" s="230">
        <v>31200</v>
      </c>
      <c r="CL196" s="230">
        <v>7200</v>
      </c>
      <c r="CM196" s="229">
        <v>0.23080000000000001</v>
      </c>
      <c r="CN196" s="230">
        <v>3648000</v>
      </c>
      <c r="CO196" s="230">
        <v>3922400</v>
      </c>
      <c r="CP196" s="230">
        <v>-274400</v>
      </c>
      <c r="CQ196" s="229">
        <v>-7.0000000000000007E-2</v>
      </c>
      <c r="CR196" s="230">
        <v>2548800</v>
      </c>
      <c r="CS196" s="230">
        <v>2550400</v>
      </c>
      <c r="CT196" s="230">
        <v>-1600</v>
      </c>
      <c r="CU196" s="229">
        <v>-5.9999999999999995E-4</v>
      </c>
      <c r="CV196" s="230">
        <v>15630400</v>
      </c>
      <c r="CW196" s="230">
        <v>16076800</v>
      </c>
      <c r="CX196" s="230">
        <v>-446400</v>
      </c>
      <c r="CY196" s="229">
        <v>-2.7799999999999998E-2</v>
      </c>
      <c r="CZ196" s="228">
        <v>25.93</v>
      </c>
      <c r="DA196" s="228">
        <v>26.22</v>
      </c>
      <c r="DB196" s="228">
        <v>-0.28999999999999998</v>
      </c>
      <c r="DC196" s="228">
        <v>-0.28999999999999998</v>
      </c>
      <c r="DD196" s="228">
        <v>31.81</v>
      </c>
      <c r="DE196" s="228">
        <v>31.86</v>
      </c>
      <c r="DF196" s="228">
        <v>-5.88</v>
      </c>
      <c r="DG196" s="228">
        <v>-0.05</v>
      </c>
      <c r="DH196" s="228">
        <v>25.84</v>
      </c>
      <c r="DI196" s="228">
        <v>26.27</v>
      </c>
      <c r="DJ196" s="228">
        <v>-0.43</v>
      </c>
      <c r="DK196" s="228">
        <v>-0.43</v>
      </c>
      <c r="DL196" s="228">
        <v>26.17</v>
      </c>
      <c r="DM196" s="228">
        <v>26.07</v>
      </c>
      <c r="DN196" s="228">
        <v>0.1</v>
      </c>
      <c r="DO196" s="228">
        <v>0.1</v>
      </c>
      <c r="DP196" s="228">
        <v>0.7</v>
      </c>
      <c r="DQ196" s="228">
        <v>0.65</v>
      </c>
      <c r="DR196" s="228">
        <v>0.05</v>
      </c>
      <c r="DS196" s="229">
        <v>7.6899999999999996E-2</v>
      </c>
      <c r="DT196" s="228">
        <v>750</v>
      </c>
      <c r="DU196" s="228">
        <v>700</v>
      </c>
      <c r="DV196" s="228">
        <v>0.36</v>
      </c>
      <c r="DW196" s="228">
        <v>0.27</v>
      </c>
      <c r="DX196" s="228">
        <v>0.09</v>
      </c>
      <c r="DY196" s="229">
        <v>0.33329999999999999</v>
      </c>
      <c r="DZ196" s="229">
        <v>7.3099999999999998E-2</v>
      </c>
      <c r="EA196" s="230">
        <v>680800</v>
      </c>
      <c r="EB196" s="229">
        <v>1.6999999999999999E-3</v>
      </c>
      <c r="EC196" s="229">
        <v>7.3099999999999998E-2</v>
      </c>
      <c r="ED196" s="228">
        <v>1.05</v>
      </c>
      <c r="EE196" s="229">
        <v>1.5E-3</v>
      </c>
      <c r="EF196" s="230">
        <v>516424</v>
      </c>
      <c r="EG196" s="230">
        <v>594637</v>
      </c>
      <c r="EH196" s="229">
        <v>-0.13150000000000001</v>
      </c>
      <c r="EI196" s="229">
        <v>0.46200000000000002</v>
      </c>
      <c r="EJ196" s="231">
        <v>37001.51</v>
      </c>
      <c r="EK196" s="231">
        <v>12268.12</v>
      </c>
      <c r="EL196" s="231">
        <v>14046.02</v>
      </c>
      <c r="EM196" s="231">
        <v>6264</v>
      </c>
      <c r="EN196" s="231">
        <v>63315.65</v>
      </c>
      <c r="EO196" s="231">
        <v>117412.98</v>
      </c>
      <c r="EP196" s="231">
        <v>-54097.33</v>
      </c>
      <c r="EQ196" s="229">
        <v>-0.4607</v>
      </c>
      <c r="ER196" s="231">
        <v>26729</v>
      </c>
      <c r="ES196" s="231">
        <v>17261</v>
      </c>
      <c r="ET196" s="231">
        <v>67436</v>
      </c>
      <c r="EU196" s="231">
        <v>27246569</v>
      </c>
      <c r="EV196" s="231">
        <v>111425</v>
      </c>
      <c r="EW196" s="231">
        <v>113923</v>
      </c>
      <c r="EX196" s="231">
        <v>-2498</v>
      </c>
      <c r="EY196" s="229">
        <v>-2.1899999999999999E-2</v>
      </c>
      <c r="EZ196" s="229">
        <v>0.57369999999999999</v>
      </c>
      <c r="FA196" s="227" t="s">
        <v>556</v>
      </c>
      <c r="FB196" s="161">
        <f t="shared" si="5"/>
        <v>0</v>
      </c>
    </row>
    <row r="197" spans="1:158" ht="17.25" thickBot="1" x14ac:dyDescent="0.3">
      <c r="A197" s="226">
        <v>45936</v>
      </c>
      <c r="B197" s="227" t="s">
        <v>221</v>
      </c>
      <c r="C197" s="227" t="s">
        <v>295</v>
      </c>
      <c r="D197" s="228">
        <v>175</v>
      </c>
      <c r="E197" s="231">
        <v>2993</v>
      </c>
      <c r="F197" s="231">
        <v>2909.7</v>
      </c>
      <c r="G197" s="228">
        <v>83.3</v>
      </c>
      <c r="H197" s="229">
        <v>2.86E-2</v>
      </c>
      <c r="I197" s="231">
        <v>2988.4</v>
      </c>
      <c r="J197" s="231">
        <v>2901.9</v>
      </c>
      <c r="K197" s="228">
        <v>86.5</v>
      </c>
      <c r="L197" s="229">
        <v>2.98E-2</v>
      </c>
      <c r="M197" s="231">
        <v>2993</v>
      </c>
      <c r="N197" s="231">
        <v>2909.7</v>
      </c>
      <c r="O197" s="228">
        <v>83.3</v>
      </c>
      <c r="P197" s="229">
        <v>2.86E-2</v>
      </c>
      <c r="Q197" s="231">
        <v>3009</v>
      </c>
      <c r="R197" s="231">
        <v>2925.4</v>
      </c>
      <c r="S197" s="228">
        <v>83.6</v>
      </c>
      <c r="T197" s="229">
        <v>2.86E-2</v>
      </c>
      <c r="U197" s="231">
        <v>3025.4</v>
      </c>
      <c r="V197" s="231">
        <v>2943.4</v>
      </c>
      <c r="W197" s="228">
        <v>82</v>
      </c>
      <c r="X197" s="229">
        <v>2.7900000000000001E-2</v>
      </c>
      <c r="Y197" s="228">
        <v>4.5999999999999996</v>
      </c>
      <c r="Z197" s="228">
        <v>7.8</v>
      </c>
      <c r="AA197" s="228">
        <v>-3.2</v>
      </c>
      <c r="AB197" s="229">
        <v>1.5E-3</v>
      </c>
      <c r="AC197" s="228">
        <v>4.5999999999999996</v>
      </c>
      <c r="AD197" s="228">
        <v>7.8</v>
      </c>
      <c r="AE197" s="228">
        <v>-3.2</v>
      </c>
      <c r="AF197" s="229">
        <v>1.5E-3</v>
      </c>
      <c r="AG197" s="228">
        <v>20.6</v>
      </c>
      <c r="AH197" s="228">
        <v>23.5</v>
      </c>
      <c r="AI197" s="228">
        <v>-2.9</v>
      </c>
      <c r="AJ197" s="229">
        <v>6.8999999999999999E-3</v>
      </c>
      <c r="AK197" s="228">
        <v>37</v>
      </c>
      <c r="AL197" s="228">
        <v>41.5</v>
      </c>
      <c r="AM197" s="228">
        <v>-4.5</v>
      </c>
      <c r="AN197" s="229">
        <v>1.24E-2</v>
      </c>
      <c r="AO197" s="231">
        <v>2961.02</v>
      </c>
      <c r="AP197" s="231">
        <v>2978.71</v>
      </c>
      <c r="AQ197" s="228">
        <v>0</v>
      </c>
      <c r="AR197" s="230">
        <v>6063925</v>
      </c>
      <c r="AS197" s="230">
        <v>2724925</v>
      </c>
      <c r="AT197" s="230">
        <v>3339000</v>
      </c>
      <c r="AU197" s="229">
        <v>1.2254</v>
      </c>
      <c r="AV197" s="230">
        <v>5685400</v>
      </c>
      <c r="AW197" s="230">
        <v>2516675</v>
      </c>
      <c r="AX197" s="230">
        <v>3168725</v>
      </c>
      <c r="AY197" s="229">
        <v>1.2591000000000001</v>
      </c>
      <c r="AZ197" s="230">
        <v>312200</v>
      </c>
      <c r="BA197" s="230">
        <v>171500</v>
      </c>
      <c r="BB197" s="230">
        <v>140700</v>
      </c>
      <c r="BC197" s="229">
        <v>0.82040000000000002</v>
      </c>
      <c r="BD197" s="230">
        <v>66325</v>
      </c>
      <c r="BE197" s="230">
        <v>36750</v>
      </c>
      <c r="BF197" s="230">
        <v>29575</v>
      </c>
      <c r="BG197" s="229">
        <v>0.80479999999999996</v>
      </c>
      <c r="BH197" s="230">
        <v>28688275</v>
      </c>
      <c r="BI197" s="230">
        <v>9332750</v>
      </c>
      <c r="BJ197" s="230">
        <v>19355525</v>
      </c>
      <c r="BK197" s="229">
        <v>2.0739000000000001</v>
      </c>
      <c r="BL197" s="230">
        <v>12764850</v>
      </c>
      <c r="BM197" s="230">
        <v>5326650</v>
      </c>
      <c r="BN197" s="230">
        <v>7438200</v>
      </c>
      <c r="BO197" s="229">
        <v>1.3964000000000001</v>
      </c>
      <c r="BP197" s="230">
        <v>47517050</v>
      </c>
      <c r="BQ197" s="230">
        <v>17384325</v>
      </c>
      <c r="BR197" s="230">
        <v>30132725</v>
      </c>
      <c r="BS197" s="229">
        <v>1.7333000000000001</v>
      </c>
      <c r="BT197" s="230">
        <v>2303601</v>
      </c>
      <c r="BU197" s="230">
        <v>2980244</v>
      </c>
      <c r="BV197" s="230">
        <v>-676643</v>
      </c>
      <c r="BW197" s="229">
        <v>-0.22700000000000001</v>
      </c>
      <c r="BX197" s="230">
        <v>32002250</v>
      </c>
      <c r="BY197" s="230">
        <v>31353700</v>
      </c>
      <c r="BZ197" s="230">
        <v>648550</v>
      </c>
      <c r="CA197" s="229">
        <v>2.07E-2</v>
      </c>
      <c r="CB197" s="230">
        <v>30549050</v>
      </c>
      <c r="CC197" s="230">
        <v>29867075</v>
      </c>
      <c r="CD197" s="230">
        <v>681975</v>
      </c>
      <c r="CE197" s="229">
        <v>2.2800000000000001E-2</v>
      </c>
      <c r="CF197" s="230">
        <v>1386875</v>
      </c>
      <c r="CG197" s="230">
        <v>1429925</v>
      </c>
      <c r="CH197" s="230">
        <v>-43050</v>
      </c>
      <c r="CI197" s="229">
        <v>-3.0099999999999998E-2</v>
      </c>
      <c r="CJ197" s="230">
        <v>66325</v>
      </c>
      <c r="CK197" s="230">
        <v>56700</v>
      </c>
      <c r="CL197" s="230">
        <v>9625</v>
      </c>
      <c r="CM197" s="229">
        <v>0.16980000000000001</v>
      </c>
      <c r="CN197" s="230">
        <v>14321825</v>
      </c>
      <c r="CO197" s="230">
        <v>13556900</v>
      </c>
      <c r="CP197" s="230">
        <v>764925</v>
      </c>
      <c r="CQ197" s="229">
        <v>5.6399999999999999E-2</v>
      </c>
      <c r="CR197" s="230">
        <v>10835300</v>
      </c>
      <c r="CS197" s="230">
        <v>10435950</v>
      </c>
      <c r="CT197" s="230">
        <v>399350</v>
      </c>
      <c r="CU197" s="229">
        <v>3.8300000000000001E-2</v>
      </c>
      <c r="CV197" s="230">
        <v>57159375</v>
      </c>
      <c r="CW197" s="230">
        <v>55346550</v>
      </c>
      <c r="CX197" s="230">
        <v>1812825</v>
      </c>
      <c r="CY197" s="229">
        <v>3.2800000000000003E-2</v>
      </c>
      <c r="CZ197" s="228">
        <v>24.34</v>
      </c>
      <c r="DA197" s="228">
        <v>23.84</v>
      </c>
      <c r="DB197" s="228">
        <v>0.5</v>
      </c>
      <c r="DC197" s="228">
        <v>0.5</v>
      </c>
      <c r="DD197" s="228">
        <v>24.68</v>
      </c>
      <c r="DE197" s="228">
        <v>24.42</v>
      </c>
      <c r="DF197" s="228">
        <v>-0.34</v>
      </c>
      <c r="DG197" s="228">
        <v>0.26</v>
      </c>
      <c r="DH197" s="228">
        <v>24.07</v>
      </c>
      <c r="DI197" s="228">
        <v>23.83</v>
      </c>
      <c r="DJ197" s="228">
        <v>0.24</v>
      </c>
      <c r="DK197" s="228">
        <v>0.24</v>
      </c>
      <c r="DL197" s="228">
        <v>24.95</v>
      </c>
      <c r="DM197" s="228">
        <v>23.86</v>
      </c>
      <c r="DN197" s="228">
        <v>1.0900000000000001</v>
      </c>
      <c r="DO197" s="228">
        <v>1.0900000000000001</v>
      </c>
      <c r="DP197" s="228">
        <v>0.76</v>
      </c>
      <c r="DQ197" s="228">
        <v>0.77</v>
      </c>
      <c r="DR197" s="228">
        <v>-0.01</v>
      </c>
      <c r="DS197" s="229">
        <v>-1.2999999999999999E-2</v>
      </c>
      <c r="DT197" s="231">
        <v>3000</v>
      </c>
      <c r="DU197" s="231">
        <v>2900</v>
      </c>
      <c r="DV197" s="228">
        <v>0.44</v>
      </c>
      <c r="DW197" s="228">
        <v>0.56999999999999995</v>
      </c>
      <c r="DX197" s="228">
        <v>-0.13</v>
      </c>
      <c r="DY197" s="229">
        <v>-0.2281</v>
      </c>
      <c r="DZ197" s="229">
        <v>4.5400000000000003E-2</v>
      </c>
      <c r="EA197" s="230">
        <v>1486625</v>
      </c>
      <c r="EB197" s="229">
        <v>5.3E-3</v>
      </c>
      <c r="EC197" s="229">
        <v>4.5400000000000003E-2</v>
      </c>
      <c r="ED197" s="228">
        <v>17.690000000000001</v>
      </c>
      <c r="EE197" s="229">
        <v>6.0000000000000001E-3</v>
      </c>
      <c r="EF197" s="230">
        <v>966973</v>
      </c>
      <c r="EG197" s="230">
        <v>2149136</v>
      </c>
      <c r="EH197" s="229">
        <v>-0.55010000000000003</v>
      </c>
      <c r="EI197" s="229">
        <v>0.41980000000000001</v>
      </c>
      <c r="EJ197" s="231">
        <v>887425.41</v>
      </c>
      <c r="EK197" s="231">
        <v>372116.49</v>
      </c>
      <c r="EL197" s="231">
        <v>179631.86</v>
      </c>
      <c r="EM197" s="231">
        <v>44104</v>
      </c>
      <c r="EN197" s="231">
        <v>1439173.76</v>
      </c>
      <c r="EO197" s="231">
        <v>518218.13</v>
      </c>
      <c r="EP197" s="231">
        <v>920955.63</v>
      </c>
      <c r="EQ197" s="229">
        <v>1.7771999999999999</v>
      </c>
      <c r="ER197" s="231">
        <v>443621</v>
      </c>
      <c r="ES197" s="231">
        <v>319101</v>
      </c>
      <c r="ET197" s="231">
        <v>958071</v>
      </c>
      <c r="EU197" s="231">
        <v>123298271</v>
      </c>
      <c r="EV197" s="231">
        <v>1720793</v>
      </c>
      <c r="EW197" s="231">
        <v>1637600</v>
      </c>
      <c r="EX197" s="231">
        <v>83193</v>
      </c>
      <c r="EY197" s="229">
        <v>5.0799999999999998E-2</v>
      </c>
      <c r="EZ197" s="229">
        <v>0.46360000000000001</v>
      </c>
      <c r="FA197" s="227" t="s">
        <v>555</v>
      </c>
      <c r="FB197" s="161">
        <f t="shared" si="5"/>
        <v>0</v>
      </c>
    </row>
    <row r="198" spans="1:158" ht="17.25" thickBot="1" x14ac:dyDescent="0.3">
      <c r="A198" s="226">
        <v>45936</v>
      </c>
      <c r="B198" s="227" t="s">
        <v>221</v>
      </c>
      <c r="C198" s="227" t="s">
        <v>296</v>
      </c>
      <c r="D198" s="228">
        <v>600</v>
      </c>
      <c r="E198" s="231">
        <v>1438.8</v>
      </c>
      <c r="F198" s="231">
        <v>1399.7</v>
      </c>
      <c r="G198" s="228">
        <v>39.1</v>
      </c>
      <c r="H198" s="229">
        <v>2.7900000000000001E-2</v>
      </c>
      <c r="I198" s="231">
        <v>1439.3</v>
      </c>
      <c r="J198" s="231">
        <v>1400.6</v>
      </c>
      <c r="K198" s="228">
        <v>38.700000000000003</v>
      </c>
      <c r="L198" s="229">
        <v>2.76E-2</v>
      </c>
      <c r="M198" s="231">
        <v>1438.8</v>
      </c>
      <c r="N198" s="231">
        <v>1399.7</v>
      </c>
      <c r="O198" s="228">
        <v>39.1</v>
      </c>
      <c r="P198" s="229">
        <v>2.7900000000000001E-2</v>
      </c>
      <c r="Q198" s="231">
        <v>1438.5</v>
      </c>
      <c r="R198" s="231">
        <v>1401.9</v>
      </c>
      <c r="S198" s="228">
        <v>36.6</v>
      </c>
      <c r="T198" s="229">
        <v>2.6100000000000002E-2</v>
      </c>
      <c r="U198" s="231">
        <v>1443.9</v>
      </c>
      <c r="V198" s="231">
        <v>1408.8</v>
      </c>
      <c r="W198" s="228">
        <v>35.1</v>
      </c>
      <c r="X198" s="229">
        <v>2.4899999999999999E-2</v>
      </c>
      <c r="Y198" s="228">
        <v>-0.5</v>
      </c>
      <c r="Z198" s="228">
        <v>-0.9</v>
      </c>
      <c r="AA198" s="228">
        <v>0.4</v>
      </c>
      <c r="AB198" s="229">
        <v>-2.9999999999999997E-4</v>
      </c>
      <c r="AC198" s="228">
        <v>-0.5</v>
      </c>
      <c r="AD198" s="228">
        <v>-0.9</v>
      </c>
      <c r="AE198" s="228">
        <v>0.4</v>
      </c>
      <c r="AF198" s="229">
        <v>-2.9999999999999997E-4</v>
      </c>
      <c r="AG198" s="228">
        <v>-0.8</v>
      </c>
      <c r="AH198" s="228">
        <v>1.3</v>
      </c>
      <c r="AI198" s="228">
        <v>-2.1</v>
      </c>
      <c r="AJ198" s="229">
        <v>-5.9999999999999995E-4</v>
      </c>
      <c r="AK198" s="228">
        <v>4.5999999999999996</v>
      </c>
      <c r="AL198" s="228">
        <v>8.1999999999999993</v>
      </c>
      <c r="AM198" s="228">
        <v>-3.6</v>
      </c>
      <c r="AN198" s="229">
        <v>3.2000000000000002E-3</v>
      </c>
      <c r="AO198" s="231">
        <v>1417.41</v>
      </c>
      <c r="AP198" s="231">
        <v>1419.98</v>
      </c>
      <c r="AQ198" s="228">
        <v>0</v>
      </c>
      <c r="AR198" s="230">
        <v>4047000</v>
      </c>
      <c r="AS198" s="230">
        <v>3025200</v>
      </c>
      <c r="AT198" s="230">
        <v>1021800</v>
      </c>
      <c r="AU198" s="229">
        <v>0.33779999999999999</v>
      </c>
      <c r="AV198" s="230">
        <v>3757200</v>
      </c>
      <c r="AW198" s="230">
        <v>2912400</v>
      </c>
      <c r="AX198" s="230">
        <v>844800</v>
      </c>
      <c r="AY198" s="229">
        <v>0.29010000000000002</v>
      </c>
      <c r="AZ198" s="230">
        <v>279000</v>
      </c>
      <c r="BA198" s="230">
        <v>103200</v>
      </c>
      <c r="BB198" s="230">
        <v>175800</v>
      </c>
      <c r="BC198" s="229">
        <v>1.7035</v>
      </c>
      <c r="BD198" s="230">
        <v>10800</v>
      </c>
      <c r="BE198" s="230">
        <v>9600</v>
      </c>
      <c r="BF198" s="230">
        <v>1200</v>
      </c>
      <c r="BG198" s="229">
        <v>0.125</v>
      </c>
      <c r="BH198" s="230">
        <v>10435200</v>
      </c>
      <c r="BI198" s="230">
        <v>4746000</v>
      </c>
      <c r="BJ198" s="230">
        <v>5689200</v>
      </c>
      <c r="BK198" s="229">
        <v>1.1987000000000001</v>
      </c>
      <c r="BL198" s="230">
        <v>4944000</v>
      </c>
      <c r="BM198" s="230">
        <v>2821800</v>
      </c>
      <c r="BN198" s="230">
        <v>2122200</v>
      </c>
      <c r="BO198" s="229">
        <v>0.75209999999999999</v>
      </c>
      <c r="BP198" s="230">
        <v>19426200</v>
      </c>
      <c r="BQ198" s="230">
        <v>10593000</v>
      </c>
      <c r="BR198" s="230">
        <v>8833200</v>
      </c>
      <c r="BS198" s="229">
        <v>0.83389999999999997</v>
      </c>
      <c r="BT198" s="230">
        <v>3097922</v>
      </c>
      <c r="BU198" s="230">
        <v>2592503</v>
      </c>
      <c r="BV198" s="230">
        <v>505419</v>
      </c>
      <c r="BW198" s="229">
        <v>0.19500000000000001</v>
      </c>
      <c r="BX198" s="230">
        <v>16186800</v>
      </c>
      <c r="BY198" s="230">
        <v>15823200</v>
      </c>
      <c r="BZ198" s="230">
        <v>363600</v>
      </c>
      <c r="CA198" s="229">
        <v>2.3E-2</v>
      </c>
      <c r="CB198" s="230">
        <v>14737800</v>
      </c>
      <c r="CC198" s="230">
        <v>14463600</v>
      </c>
      <c r="CD198" s="230">
        <v>274200</v>
      </c>
      <c r="CE198" s="229">
        <v>1.9E-2</v>
      </c>
      <c r="CF198" s="230">
        <v>1439400</v>
      </c>
      <c r="CG198" s="230">
        <v>1350000</v>
      </c>
      <c r="CH198" s="230">
        <v>89400</v>
      </c>
      <c r="CI198" s="229">
        <v>6.6199999999999995E-2</v>
      </c>
      <c r="CJ198" s="230">
        <v>9600</v>
      </c>
      <c r="CK198" s="230">
        <v>9600</v>
      </c>
      <c r="CL198" s="228">
        <v>0</v>
      </c>
      <c r="CM198" s="229">
        <v>0</v>
      </c>
      <c r="CN198" s="230">
        <v>4203600</v>
      </c>
      <c r="CO198" s="230">
        <v>4006800</v>
      </c>
      <c r="CP198" s="230">
        <v>196800</v>
      </c>
      <c r="CQ198" s="229">
        <v>4.9099999999999998E-2</v>
      </c>
      <c r="CR198" s="230">
        <v>4269000</v>
      </c>
      <c r="CS198" s="230">
        <v>3911400</v>
      </c>
      <c r="CT198" s="230">
        <v>357600</v>
      </c>
      <c r="CU198" s="229">
        <v>9.1399999999999995E-2</v>
      </c>
      <c r="CV198" s="230">
        <v>24659400</v>
      </c>
      <c r="CW198" s="230">
        <v>23741400</v>
      </c>
      <c r="CX198" s="230">
        <v>918000</v>
      </c>
      <c r="CY198" s="229">
        <v>3.8699999999999998E-2</v>
      </c>
      <c r="CZ198" s="228">
        <v>29.14</v>
      </c>
      <c r="DA198" s="228">
        <v>28.43</v>
      </c>
      <c r="DB198" s="228">
        <v>0.71</v>
      </c>
      <c r="DC198" s="228">
        <v>0.71</v>
      </c>
      <c r="DD198" s="228">
        <v>30.43</v>
      </c>
      <c r="DE198" s="228">
        <v>30.28</v>
      </c>
      <c r="DF198" s="228">
        <v>-1.29</v>
      </c>
      <c r="DG198" s="228">
        <v>0.15</v>
      </c>
      <c r="DH198" s="228">
        <v>28.75</v>
      </c>
      <c r="DI198" s="228">
        <v>28.39</v>
      </c>
      <c r="DJ198" s="228">
        <v>0.36</v>
      </c>
      <c r="DK198" s="228">
        <v>0.36</v>
      </c>
      <c r="DL198" s="228">
        <v>29.95</v>
      </c>
      <c r="DM198" s="228">
        <v>28.51</v>
      </c>
      <c r="DN198" s="228">
        <v>1.44</v>
      </c>
      <c r="DO198" s="228">
        <v>1.44</v>
      </c>
      <c r="DP198" s="228">
        <v>1.02</v>
      </c>
      <c r="DQ198" s="228">
        <v>0.98</v>
      </c>
      <c r="DR198" s="228">
        <v>0.04</v>
      </c>
      <c r="DS198" s="229">
        <v>4.0800000000000003E-2</v>
      </c>
      <c r="DT198" s="231">
        <v>1500</v>
      </c>
      <c r="DU198" s="231">
        <v>1400</v>
      </c>
      <c r="DV198" s="228">
        <v>0.47</v>
      </c>
      <c r="DW198" s="228">
        <v>0.59</v>
      </c>
      <c r="DX198" s="228">
        <v>-0.12</v>
      </c>
      <c r="DY198" s="229">
        <v>-0.2034</v>
      </c>
      <c r="DZ198" s="229">
        <v>8.9499999999999996E-2</v>
      </c>
      <c r="EA198" s="230">
        <v>1359600</v>
      </c>
      <c r="EB198" s="229">
        <v>-2.0000000000000001E-4</v>
      </c>
      <c r="EC198" s="229">
        <v>8.9499999999999996E-2</v>
      </c>
      <c r="ED198" s="228">
        <v>2.57</v>
      </c>
      <c r="EE198" s="229">
        <v>1.8E-3</v>
      </c>
      <c r="EF198" s="230">
        <v>2029596</v>
      </c>
      <c r="EG198" s="230">
        <v>1954077</v>
      </c>
      <c r="EH198" s="229">
        <v>3.8600000000000002E-2</v>
      </c>
      <c r="EI198" s="229">
        <v>0.65510000000000002</v>
      </c>
      <c r="EJ198" s="231">
        <v>155655.64000000001</v>
      </c>
      <c r="EK198" s="231">
        <v>69102.67</v>
      </c>
      <c r="EL198" s="231">
        <v>57371.21</v>
      </c>
      <c r="EM198" s="231">
        <v>12354</v>
      </c>
      <c r="EN198" s="231">
        <v>282129.52</v>
      </c>
      <c r="EO198" s="231">
        <v>151591.78</v>
      </c>
      <c r="EP198" s="231">
        <v>130537.74</v>
      </c>
      <c r="EQ198" s="229">
        <v>0.86109999999999998</v>
      </c>
      <c r="ER198" s="231">
        <v>63678</v>
      </c>
      <c r="ES198" s="231">
        <v>59181</v>
      </c>
      <c r="ET198" s="231">
        <v>232892</v>
      </c>
      <c r="EU198" s="231">
        <v>76137451</v>
      </c>
      <c r="EV198" s="231">
        <v>355750</v>
      </c>
      <c r="EW198" s="231">
        <v>336112</v>
      </c>
      <c r="EX198" s="231">
        <v>19638</v>
      </c>
      <c r="EY198" s="229">
        <v>5.8400000000000001E-2</v>
      </c>
      <c r="EZ198" s="229">
        <v>0.32390000000000002</v>
      </c>
      <c r="FA198" s="227" t="s">
        <v>555</v>
      </c>
      <c r="FB198" s="161">
        <f t="shared" si="5"/>
        <v>0</v>
      </c>
    </row>
    <row r="199" spans="1:158" ht="17.25" thickBot="1" x14ac:dyDescent="0.3">
      <c r="A199" s="226">
        <v>45936</v>
      </c>
      <c r="B199" s="227" t="s">
        <v>184</v>
      </c>
      <c r="C199" s="227" t="s">
        <v>596</v>
      </c>
      <c r="D199" s="228">
        <v>200</v>
      </c>
      <c r="E199" s="231">
        <v>3169.1</v>
      </c>
      <c r="F199" s="231">
        <v>3147.4</v>
      </c>
      <c r="G199" s="228">
        <v>21.7</v>
      </c>
      <c r="H199" s="229">
        <v>6.8999999999999999E-3</v>
      </c>
      <c r="I199" s="231">
        <v>3150.2</v>
      </c>
      <c r="J199" s="231">
        <v>3136.1</v>
      </c>
      <c r="K199" s="228">
        <v>14.1</v>
      </c>
      <c r="L199" s="229">
        <v>4.4999999999999997E-3</v>
      </c>
      <c r="M199" s="231">
        <v>3169.1</v>
      </c>
      <c r="N199" s="231">
        <v>3147.4</v>
      </c>
      <c r="O199" s="228">
        <v>21.7</v>
      </c>
      <c r="P199" s="229">
        <v>6.8999999999999999E-3</v>
      </c>
      <c r="Q199" s="231">
        <v>3189.7</v>
      </c>
      <c r="R199" s="231">
        <v>3165.2</v>
      </c>
      <c r="S199" s="228">
        <v>24.5</v>
      </c>
      <c r="T199" s="229">
        <v>7.7000000000000002E-3</v>
      </c>
      <c r="U199" s="231">
        <v>3197</v>
      </c>
      <c r="V199" s="231">
        <v>3144.6</v>
      </c>
      <c r="W199" s="228">
        <v>52.4</v>
      </c>
      <c r="X199" s="229">
        <v>1.67E-2</v>
      </c>
      <c r="Y199" s="228">
        <v>18.899999999999999</v>
      </c>
      <c r="Z199" s="228">
        <v>11.3</v>
      </c>
      <c r="AA199" s="228">
        <v>7.6</v>
      </c>
      <c r="AB199" s="229">
        <v>6.0000000000000001E-3</v>
      </c>
      <c r="AC199" s="228">
        <v>18.899999999999999</v>
      </c>
      <c r="AD199" s="228">
        <v>11.3</v>
      </c>
      <c r="AE199" s="228">
        <v>7.6</v>
      </c>
      <c r="AF199" s="229">
        <v>6.0000000000000001E-3</v>
      </c>
      <c r="AG199" s="228">
        <v>39.5</v>
      </c>
      <c r="AH199" s="228">
        <v>29.1</v>
      </c>
      <c r="AI199" s="228">
        <v>10.4</v>
      </c>
      <c r="AJ199" s="229">
        <v>1.2500000000000001E-2</v>
      </c>
      <c r="AK199" s="228">
        <v>46.8</v>
      </c>
      <c r="AL199" s="228">
        <v>8.5</v>
      </c>
      <c r="AM199" s="228">
        <v>38.299999999999997</v>
      </c>
      <c r="AN199" s="229">
        <v>1.49E-2</v>
      </c>
      <c r="AO199" s="231">
        <v>3159.95</v>
      </c>
      <c r="AP199" s="231">
        <v>3172.64</v>
      </c>
      <c r="AQ199" s="228">
        <v>0</v>
      </c>
      <c r="AR199" s="230">
        <v>220600</v>
      </c>
      <c r="AS199" s="230">
        <v>272000</v>
      </c>
      <c r="AT199" s="230">
        <v>-51400</v>
      </c>
      <c r="AU199" s="229">
        <v>-0.189</v>
      </c>
      <c r="AV199" s="230">
        <v>209400</v>
      </c>
      <c r="AW199" s="230">
        <v>262400</v>
      </c>
      <c r="AX199" s="230">
        <v>-53000</v>
      </c>
      <c r="AY199" s="229">
        <v>-0.20200000000000001</v>
      </c>
      <c r="AZ199" s="230">
        <v>11000</v>
      </c>
      <c r="BA199" s="230">
        <v>9200</v>
      </c>
      <c r="BB199" s="230">
        <v>1800</v>
      </c>
      <c r="BC199" s="229">
        <v>0.19570000000000001</v>
      </c>
      <c r="BD199" s="228">
        <v>200</v>
      </c>
      <c r="BE199" s="228">
        <v>400</v>
      </c>
      <c r="BF199" s="228">
        <v>-200</v>
      </c>
      <c r="BG199" s="229">
        <v>-0.5</v>
      </c>
      <c r="BH199" s="230">
        <v>419800</v>
      </c>
      <c r="BI199" s="230">
        <v>316200</v>
      </c>
      <c r="BJ199" s="230">
        <v>103600</v>
      </c>
      <c r="BK199" s="229">
        <v>0.3276</v>
      </c>
      <c r="BL199" s="230">
        <v>109400</v>
      </c>
      <c r="BM199" s="230">
        <v>53800</v>
      </c>
      <c r="BN199" s="230">
        <v>55600</v>
      </c>
      <c r="BO199" s="229">
        <v>1.0335000000000001</v>
      </c>
      <c r="BP199" s="230">
        <v>749800</v>
      </c>
      <c r="BQ199" s="230">
        <v>642000</v>
      </c>
      <c r="BR199" s="230">
        <v>107800</v>
      </c>
      <c r="BS199" s="229">
        <v>0.16789999999999999</v>
      </c>
      <c r="BT199" s="230">
        <v>152011</v>
      </c>
      <c r="BU199" s="230">
        <v>250670</v>
      </c>
      <c r="BV199" s="230">
        <v>-98659</v>
      </c>
      <c r="BW199" s="229">
        <v>-0.39360000000000001</v>
      </c>
      <c r="BX199" s="230">
        <v>2022600</v>
      </c>
      <c r="BY199" s="230">
        <v>2019200</v>
      </c>
      <c r="BZ199" s="230">
        <v>3400</v>
      </c>
      <c r="CA199" s="229">
        <v>1.6999999999999999E-3</v>
      </c>
      <c r="CB199" s="230">
        <v>2008200</v>
      </c>
      <c r="CC199" s="230">
        <v>2006000</v>
      </c>
      <c r="CD199" s="230">
        <v>2200</v>
      </c>
      <c r="CE199" s="229">
        <v>1.1000000000000001E-3</v>
      </c>
      <c r="CF199" s="230">
        <v>13800</v>
      </c>
      <c r="CG199" s="230">
        <v>12400</v>
      </c>
      <c r="CH199" s="230">
        <v>1400</v>
      </c>
      <c r="CI199" s="229">
        <v>0.1129</v>
      </c>
      <c r="CJ199" s="228">
        <v>600</v>
      </c>
      <c r="CK199" s="228">
        <v>800</v>
      </c>
      <c r="CL199" s="228">
        <v>-200</v>
      </c>
      <c r="CM199" s="229">
        <v>-0.25</v>
      </c>
      <c r="CN199" s="230">
        <v>307400</v>
      </c>
      <c r="CO199" s="230">
        <v>250400</v>
      </c>
      <c r="CP199" s="230">
        <v>57000</v>
      </c>
      <c r="CQ199" s="229">
        <v>0.2276</v>
      </c>
      <c r="CR199" s="230">
        <v>153600</v>
      </c>
      <c r="CS199" s="230">
        <v>122000</v>
      </c>
      <c r="CT199" s="230">
        <v>31600</v>
      </c>
      <c r="CU199" s="229">
        <v>0.25900000000000001</v>
      </c>
      <c r="CV199" s="230">
        <v>2483600</v>
      </c>
      <c r="CW199" s="230">
        <v>2391600</v>
      </c>
      <c r="CX199" s="230">
        <v>92000</v>
      </c>
      <c r="CY199" s="229">
        <v>3.85E-2</v>
      </c>
      <c r="CZ199" s="228">
        <v>30.68</v>
      </c>
      <c r="DA199" s="228">
        <v>29.93</v>
      </c>
      <c r="DB199" s="228">
        <v>0.75</v>
      </c>
      <c r="DC199" s="228">
        <v>0.75</v>
      </c>
      <c r="DD199" s="228">
        <v>43.26</v>
      </c>
      <c r="DE199" s="228">
        <v>43.36</v>
      </c>
      <c r="DF199" s="228">
        <v>-12.58</v>
      </c>
      <c r="DG199" s="228">
        <v>-0.1</v>
      </c>
      <c r="DH199" s="228">
        <v>30.57</v>
      </c>
      <c r="DI199" s="228">
        <v>29.97</v>
      </c>
      <c r="DJ199" s="228">
        <v>0.6</v>
      </c>
      <c r="DK199" s="228">
        <v>0.6</v>
      </c>
      <c r="DL199" s="228">
        <v>31.11</v>
      </c>
      <c r="DM199" s="228">
        <v>29.69</v>
      </c>
      <c r="DN199" s="228">
        <v>1.42</v>
      </c>
      <c r="DO199" s="228">
        <v>1.42</v>
      </c>
      <c r="DP199" s="228">
        <v>0.5</v>
      </c>
      <c r="DQ199" s="228">
        <v>0.49</v>
      </c>
      <c r="DR199" s="228">
        <v>0.01</v>
      </c>
      <c r="DS199" s="229">
        <v>2.0400000000000001E-2</v>
      </c>
      <c r="DT199" s="231">
        <v>3200</v>
      </c>
      <c r="DU199" s="231">
        <v>3100</v>
      </c>
      <c r="DV199" s="228">
        <v>0.26</v>
      </c>
      <c r="DW199" s="228">
        <v>0.17</v>
      </c>
      <c r="DX199" s="228">
        <v>0.09</v>
      </c>
      <c r="DY199" s="229">
        <v>0.52939999999999998</v>
      </c>
      <c r="DZ199" s="229">
        <v>7.1000000000000004E-3</v>
      </c>
      <c r="EA199" s="230">
        <v>13200</v>
      </c>
      <c r="EB199" s="229">
        <v>6.4999999999999997E-3</v>
      </c>
      <c r="EC199" s="229">
        <v>7.1000000000000004E-3</v>
      </c>
      <c r="ED199" s="228">
        <v>12.69</v>
      </c>
      <c r="EE199" s="229">
        <v>4.0000000000000001E-3</v>
      </c>
      <c r="EF199" s="230">
        <v>78591</v>
      </c>
      <c r="EG199" s="230">
        <v>149622</v>
      </c>
      <c r="EH199" s="229">
        <v>-0.47470000000000001</v>
      </c>
      <c r="EI199" s="229">
        <v>0.51700000000000002</v>
      </c>
      <c r="EJ199" s="231">
        <v>13916.28</v>
      </c>
      <c r="EK199" s="231">
        <v>3341.88</v>
      </c>
      <c r="EL199" s="231">
        <v>6972.31</v>
      </c>
      <c r="EM199" s="231">
        <v>3884</v>
      </c>
      <c r="EN199" s="231">
        <v>24230.47</v>
      </c>
      <c r="EO199" s="231">
        <v>20602.990000000002</v>
      </c>
      <c r="EP199" s="231">
        <v>3627.48</v>
      </c>
      <c r="EQ199" s="229">
        <v>0.17610000000000001</v>
      </c>
      <c r="ER199" s="231">
        <v>10180</v>
      </c>
      <c r="ES199" s="231">
        <v>4789</v>
      </c>
      <c r="ET199" s="231">
        <v>64101</v>
      </c>
      <c r="EU199" s="231">
        <v>14039249</v>
      </c>
      <c r="EV199" s="231">
        <v>79069</v>
      </c>
      <c r="EW199" s="231">
        <v>75688</v>
      </c>
      <c r="EX199" s="231">
        <v>3381</v>
      </c>
      <c r="EY199" s="229">
        <v>4.4699999999999997E-2</v>
      </c>
      <c r="EZ199" s="229">
        <v>0.1769</v>
      </c>
      <c r="FA199" s="227" t="s">
        <v>555</v>
      </c>
      <c r="FB199" s="161">
        <f t="shared" si="5"/>
        <v>0</v>
      </c>
    </row>
    <row r="200" spans="1:158" ht="17.25" thickBot="1" x14ac:dyDescent="0.3">
      <c r="A200" s="226">
        <v>45936</v>
      </c>
      <c r="B200" s="227" t="s">
        <v>184</v>
      </c>
      <c r="C200" s="227" t="s">
        <v>664</v>
      </c>
      <c r="D200" s="228">
        <v>725</v>
      </c>
      <c r="E200" s="228">
        <v>901.35</v>
      </c>
      <c r="F200" s="228">
        <v>890</v>
      </c>
      <c r="G200" s="228">
        <v>11.35</v>
      </c>
      <c r="H200" s="229">
        <v>1.2800000000000001E-2</v>
      </c>
      <c r="I200" s="228">
        <v>898.85</v>
      </c>
      <c r="J200" s="228">
        <v>887.55</v>
      </c>
      <c r="K200" s="228">
        <v>11.3</v>
      </c>
      <c r="L200" s="229">
        <v>1.2699999999999999E-2</v>
      </c>
      <c r="M200" s="228">
        <v>901.35</v>
      </c>
      <c r="N200" s="228">
        <v>890</v>
      </c>
      <c r="O200" s="228">
        <v>11.35</v>
      </c>
      <c r="P200" s="229">
        <v>1.2800000000000001E-2</v>
      </c>
      <c r="Q200" s="228">
        <v>905.9</v>
      </c>
      <c r="R200" s="228">
        <v>893.95</v>
      </c>
      <c r="S200" s="228">
        <v>11.95</v>
      </c>
      <c r="T200" s="229">
        <v>1.34E-2</v>
      </c>
      <c r="U200" s="228">
        <v>0</v>
      </c>
      <c r="V200" s="228">
        <v>0</v>
      </c>
      <c r="W200" s="228">
        <v>0</v>
      </c>
      <c r="X200" s="229">
        <v>0</v>
      </c>
      <c r="Y200" s="228">
        <v>2.5</v>
      </c>
      <c r="Z200" s="228">
        <v>2.4500000000000002</v>
      </c>
      <c r="AA200" s="228">
        <v>0.05</v>
      </c>
      <c r="AB200" s="229">
        <v>2.8E-3</v>
      </c>
      <c r="AC200" s="228">
        <v>2.5</v>
      </c>
      <c r="AD200" s="228">
        <v>2.4500000000000002</v>
      </c>
      <c r="AE200" s="228">
        <v>0.05</v>
      </c>
      <c r="AF200" s="229">
        <v>2.8E-3</v>
      </c>
      <c r="AG200" s="228">
        <v>7.05</v>
      </c>
      <c r="AH200" s="228">
        <v>6.4</v>
      </c>
      <c r="AI200" s="228">
        <v>0.65</v>
      </c>
      <c r="AJ200" s="229">
        <v>7.7999999999999996E-3</v>
      </c>
      <c r="AK200" s="228">
        <v>0</v>
      </c>
      <c r="AL200" s="228">
        <v>0</v>
      </c>
      <c r="AM200" s="228">
        <v>0</v>
      </c>
      <c r="AN200" s="229">
        <v>0</v>
      </c>
      <c r="AO200" s="228">
        <v>892.81</v>
      </c>
      <c r="AP200" s="228">
        <v>894</v>
      </c>
      <c r="AQ200" s="228">
        <v>0</v>
      </c>
      <c r="AR200" s="230">
        <v>1091125</v>
      </c>
      <c r="AS200" s="230">
        <v>880150</v>
      </c>
      <c r="AT200" s="230">
        <v>210975</v>
      </c>
      <c r="AU200" s="229">
        <v>0.2397</v>
      </c>
      <c r="AV200" s="230">
        <v>995425</v>
      </c>
      <c r="AW200" s="230">
        <v>806200</v>
      </c>
      <c r="AX200" s="230">
        <v>189225</v>
      </c>
      <c r="AY200" s="229">
        <v>0.23469999999999999</v>
      </c>
      <c r="AZ200" s="230">
        <v>95700</v>
      </c>
      <c r="BA200" s="230">
        <v>73950</v>
      </c>
      <c r="BB200" s="230">
        <v>21750</v>
      </c>
      <c r="BC200" s="229">
        <v>0.29409999999999997</v>
      </c>
      <c r="BD200" s="228">
        <v>0</v>
      </c>
      <c r="BE200" s="228">
        <v>0</v>
      </c>
      <c r="BF200" s="228">
        <v>0</v>
      </c>
      <c r="BG200" s="229">
        <v>0</v>
      </c>
      <c r="BH200" s="230">
        <v>2710775</v>
      </c>
      <c r="BI200" s="230">
        <v>1435500</v>
      </c>
      <c r="BJ200" s="230">
        <v>1275275</v>
      </c>
      <c r="BK200" s="229">
        <v>0.88839999999999997</v>
      </c>
      <c r="BL200" s="230">
        <v>447325</v>
      </c>
      <c r="BM200" s="230">
        <v>476325</v>
      </c>
      <c r="BN200" s="230">
        <v>-29000</v>
      </c>
      <c r="BO200" s="229">
        <v>-6.0900000000000003E-2</v>
      </c>
      <c r="BP200" s="230">
        <v>4249225</v>
      </c>
      <c r="BQ200" s="230">
        <v>2791975</v>
      </c>
      <c r="BR200" s="230">
        <v>1457250</v>
      </c>
      <c r="BS200" s="229">
        <v>0.52190000000000003</v>
      </c>
      <c r="BT200" s="230">
        <v>727797</v>
      </c>
      <c r="BU200" s="230">
        <v>874143</v>
      </c>
      <c r="BV200" s="230">
        <v>-146346</v>
      </c>
      <c r="BW200" s="229">
        <v>-0.16739999999999999</v>
      </c>
      <c r="BX200" s="230">
        <v>6255300</v>
      </c>
      <c r="BY200" s="230">
        <v>6166850</v>
      </c>
      <c r="BZ200" s="230">
        <v>88450</v>
      </c>
      <c r="CA200" s="229">
        <v>1.43E-2</v>
      </c>
      <c r="CB200" s="230">
        <v>6045775</v>
      </c>
      <c r="CC200" s="230">
        <v>5976175</v>
      </c>
      <c r="CD200" s="230">
        <v>69600</v>
      </c>
      <c r="CE200" s="229">
        <v>1.1599999999999999E-2</v>
      </c>
      <c r="CF200" s="230">
        <v>209525</v>
      </c>
      <c r="CG200" s="230">
        <v>190675</v>
      </c>
      <c r="CH200" s="230">
        <v>18850</v>
      </c>
      <c r="CI200" s="229">
        <v>9.8900000000000002E-2</v>
      </c>
      <c r="CJ200" s="228">
        <v>0</v>
      </c>
      <c r="CK200" s="228">
        <v>0</v>
      </c>
      <c r="CL200" s="228">
        <v>0</v>
      </c>
      <c r="CM200" s="229">
        <v>0</v>
      </c>
      <c r="CN200" s="230">
        <v>1823375</v>
      </c>
      <c r="CO200" s="230">
        <v>1400700</v>
      </c>
      <c r="CP200" s="230">
        <v>422675</v>
      </c>
      <c r="CQ200" s="229">
        <v>0.30180000000000001</v>
      </c>
      <c r="CR200" s="230">
        <v>898275</v>
      </c>
      <c r="CS200" s="230">
        <v>799675</v>
      </c>
      <c r="CT200" s="230">
        <v>98600</v>
      </c>
      <c r="CU200" s="229">
        <v>0.12330000000000001</v>
      </c>
      <c r="CV200" s="230">
        <v>8976950</v>
      </c>
      <c r="CW200" s="230">
        <v>8367225</v>
      </c>
      <c r="CX200" s="230">
        <v>609725</v>
      </c>
      <c r="CY200" s="229">
        <v>7.2900000000000006E-2</v>
      </c>
      <c r="CZ200" s="228">
        <v>36.299999999999997</v>
      </c>
      <c r="DA200" s="228">
        <v>33.79</v>
      </c>
      <c r="DB200" s="228">
        <v>2.5099999999999998</v>
      </c>
      <c r="DC200" s="228">
        <v>2.5099999999999998</v>
      </c>
      <c r="DD200" s="228">
        <v>56.35</v>
      </c>
      <c r="DE200" s="228">
        <v>56.47</v>
      </c>
      <c r="DF200" s="228">
        <v>-20.05</v>
      </c>
      <c r="DG200" s="228">
        <v>-0.12</v>
      </c>
      <c r="DH200" s="228">
        <v>36.21</v>
      </c>
      <c r="DI200" s="228">
        <v>33.729999999999997</v>
      </c>
      <c r="DJ200" s="228">
        <v>2.48</v>
      </c>
      <c r="DK200" s="228">
        <v>2.48</v>
      </c>
      <c r="DL200" s="228">
        <v>36.83</v>
      </c>
      <c r="DM200" s="228">
        <v>33.979999999999997</v>
      </c>
      <c r="DN200" s="228">
        <v>2.85</v>
      </c>
      <c r="DO200" s="228">
        <v>2.85</v>
      </c>
      <c r="DP200" s="228">
        <v>0.49</v>
      </c>
      <c r="DQ200" s="228">
        <v>0.56999999999999995</v>
      </c>
      <c r="DR200" s="228">
        <v>-0.08</v>
      </c>
      <c r="DS200" s="229">
        <v>-0.1404</v>
      </c>
      <c r="DT200" s="228">
        <v>900</v>
      </c>
      <c r="DU200" s="228">
        <v>900</v>
      </c>
      <c r="DV200" s="228">
        <v>0.17</v>
      </c>
      <c r="DW200" s="228">
        <v>0.33</v>
      </c>
      <c r="DX200" s="228">
        <v>-0.16</v>
      </c>
      <c r="DY200" s="229">
        <v>-0.48480000000000001</v>
      </c>
      <c r="DZ200" s="229">
        <v>3.3500000000000002E-2</v>
      </c>
      <c r="EA200" s="230">
        <v>190675</v>
      </c>
      <c r="EB200" s="229">
        <v>5.0000000000000001E-3</v>
      </c>
      <c r="EC200" s="229">
        <v>3.3500000000000002E-2</v>
      </c>
      <c r="ED200" s="228">
        <v>1.19</v>
      </c>
      <c r="EE200" s="229">
        <v>1.2999999999999999E-3</v>
      </c>
      <c r="EF200" s="230">
        <v>223034</v>
      </c>
      <c r="EG200" s="230">
        <v>296793</v>
      </c>
      <c r="EH200" s="229">
        <v>-0.2485</v>
      </c>
      <c r="EI200" s="229">
        <v>0.30649999999999999</v>
      </c>
      <c r="EJ200" s="231">
        <v>25720.78</v>
      </c>
      <c r="EK200" s="231">
        <v>3920.07</v>
      </c>
      <c r="EL200" s="231">
        <v>9742.81</v>
      </c>
      <c r="EM200" s="231">
        <v>3438</v>
      </c>
      <c r="EN200" s="231">
        <v>39383.660000000003</v>
      </c>
      <c r="EO200" s="231">
        <v>25522.240000000002</v>
      </c>
      <c r="EP200" s="231">
        <v>13861.42</v>
      </c>
      <c r="EQ200" s="229">
        <v>0.54310000000000003</v>
      </c>
      <c r="ER200" s="231">
        <v>17231</v>
      </c>
      <c r="ES200" s="231">
        <v>7770</v>
      </c>
      <c r="ET200" s="231">
        <v>56392</v>
      </c>
      <c r="EU200" s="231">
        <v>12028036</v>
      </c>
      <c r="EV200" s="231">
        <v>81392</v>
      </c>
      <c r="EW200" s="231">
        <v>75102</v>
      </c>
      <c r="EX200" s="231">
        <v>6290</v>
      </c>
      <c r="EY200" s="229">
        <v>8.3799999999999999E-2</v>
      </c>
      <c r="EZ200" s="229">
        <v>0.74629999999999996</v>
      </c>
      <c r="FA200" s="227" t="s">
        <v>555</v>
      </c>
      <c r="FB200" s="161">
        <f t="shared" si="5"/>
        <v>0</v>
      </c>
    </row>
    <row r="201" spans="1:158" ht="17.25" thickBot="1" x14ac:dyDescent="0.3">
      <c r="A201" s="226">
        <v>45936</v>
      </c>
      <c r="B201" s="227" t="s">
        <v>168</v>
      </c>
      <c r="C201" s="227" t="s">
        <v>297</v>
      </c>
      <c r="D201" s="228">
        <v>175</v>
      </c>
      <c r="E201" s="231">
        <v>3443.8</v>
      </c>
      <c r="F201" s="231">
        <v>3466.1</v>
      </c>
      <c r="G201" s="228">
        <v>-22.3</v>
      </c>
      <c r="H201" s="229">
        <v>-6.4000000000000003E-3</v>
      </c>
      <c r="I201" s="231">
        <v>3425.4</v>
      </c>
      <c r="J201" s="231">
        <v>3453.3</v>
      </c>
      <c r="K201" s="228">
        <v>-27.9</v>
      </c>
      <c r="L201" s="229">
        <v>-8.0999999999999996E-3</v>
      </c>
      <c r="M201" s="231">
        <v>3443.8</v>
      </c>
      <c r="N201" s="231">
        <v>3466.1</v>
      </c>
      <c r="O201" s="228">
        <v>-22.3</v>
      </c>
      <c r="P201" s="229">
        <v>-6.4000000000000003E-3</v>
      </c>
      <c r="Q201" s="231">
        <v>3463.3</v>
      </c>
      <c r="R201" s="231">
        <v>3484.2</v>
      </c>
      <c r="S201" s="228">
        <v>-20.9</v>
      </c>
      <c r="T201" s="229">
        <v>-6.0000000000000001E-3</v>
      </c>
      <c r="U201" s="231">
        <v>3488.7</v>
      </c>
      <c r="V201" s="231">
        <v>3500.3</v>
      </c>
      <c r="W201" s="228">
        <v>-11.6</v>
      </c>
      <c r="X201" s="229">
        <v>-3.3E-3</v>
      </c>
      <c r="Y201" s="228">
        <v>18.399999999999999</v>
      </c>
      <c r="Z201" s="228">
        <v>12.8</v>
      </c>
      <c r="AA201" s="228">
        <v>5.6</v>
      </c>
      <c r="AB201" s="229">
        <v>5.4000000000000003E-3</v>
      </c>
      <c r="AC201" s="228">
        <v>18.399999999999999</v>
      </c>
      <c r="AD201" s="228">
        <v>12.8</v>
      </c>
      <c r="AE201" s="228">
        <v>5.6</v>
      </c>
      <c r="AF201" s="229">
        <v>5.4000000000000003E-3</v>
      </c>
      <c r="AG201" s="228">
        <v>37.9</v>
      </c>
      <c r="AH201" s="228">
        <v>30.9</v>
      </c>
      <c r="AI201" s="228">
        <v>7</v>
      </c>
      <c r="AJ201" s="229">
        <v>1.11E-2</v>
      </c>
      <c r="AK201" s="228">
        <v>63.3</v>
      </c>
      <c r="AL201" s="228">
        <v>47</v>
      </c>
      <c r="AM201" s="228">
        <v>16.3</v>
      </c>
      <c r="AN201" s="229">
        <v>1.8499999999999999E-2</v>
      </c>
      <c r="AO201" s="231">
        <v>3441.23</v>
      </c>
      <c r="AP201" s="231">
        <v>3463.36</v>
      </c>
      <c r="AQ201" s="228">
        <v>0</v>
      </c>
      <c r="AR201" s="230">
        <v>1332975</v>
      </c>
      <c r="AS201" s="230">
        <v>2102100</v>
      </c>
      <c r="AT201" s="230">
        <v>-769125</v>
      </c>
      <c r="AU201" s="229">
        <v>-0.3659</v>
      </c>
      <c r="AV201" s="230">
        <v>1268050</v>
      </c>
      <c r="AW201" s="230">
        <v>2022650</v>
      </c>
      <c r="AX201" s="230">
        <v>-754600</v>
      </c>
      <c r="AY201" s="229">
        <v>-0.37309999999999999</v>
      </c>
      <c r="AZ201" s="230">
        <v>58100</v>
      </c>
      <c r="BA201" s="230">
        <v>69475</v>
      </c>
      <c r="BB201" s="230">
        <v>-11375</v>
      </c>
      <c r="BC201" s="229">
        <v>-0.16370000000000001</v>
      </c>
      <c r="BD201" s="230">
        <v>6825</v>
      </c>
      <c r="BE201" s="230">
        <v>9975</v>
      </c>
      <c r="BF201" s="230">
        <v>-3150</v>
      </c>
      <c r="BG201" s="229">
        <v>-0.31580000000000003</v>
      </c>
      <c r="BH201" s="230">
        <v>4727975</v>
      </c>
      <c r="BI201" s="230">
        <v>5084800</v>
      </c>
      <c r="BJ201" s="230">
        <v>-356825</v>
      </c>
      <c r="BK201" s="229">
        <v>-7.0199999999999999E-2</v>
      </c>
      <c r="BL201" s="230">
        <v>2773400</v>
      </c>
      <c r="BM201" s="230">
        <v>2601725</v>
      </c>
      <c r="BN201" s="230">
        <v>171675</v>
      </c>
      <c r="BO201" s="229">
        <v>6.6000000000000003E-2</v>
      </c>
      <c r="BP201" s="230">
        <v>8834350</v>
      </c>
      <c r="BQ201" s="230">
        <v>9788625</v>
      </c>
      <c r="BR201" s="230">
        <v>-954275</v>
      </c>
      <c r="BS201" s="229">
        <v>-9.7500000000000003E-2</v>
      </c>
      <c r="BT201" s="230">
        <v>1241847</v>
      </c>
      <c r="BU201" s="230">
        <v>1671164</v>
      </c>
      <c r="BV201" s="230">
        <v>-429317</v>
      </c>
      <c r="BW201" s="229">
        <v>-0.25690000000000002</v>
      </c>
      <c r="BX201" s="230">
        <v>11900175</v>
      </c>
      <c r="BY201" s="230">
        <v>11900700</v>
      </c>
      <c r="BZ201" s="228">
        <v>-525</v>
      </c>
      <c r="CA201" s="229">
        <v>0</v>
      </c>
      <c r="CB201" s="230">
        <v>11717475</v>
      </c>
      <c r="CC201" s="230">
        <v>11733925</v>
      </c>
      <c r="CD201" s="230">
        <v>-16450</v>
      </c>
      <c r="CE201" s="229">
        <v>-1.4E-3</v>
      </c>
      <c r="CF201" s="230">
        <v>175875</v>
      </c>
      <c r="CG201" s="230">
        <v>161700</v>
      </c>
      <c r="CH201" s="230">
        <v>14175</v>
      </c>
      <c r="CI201" s="229">
        <v>8.77E-2</v>
      </c>
      <c r="CJ201" s="230">
        <v>6825</v>
      </c>
      <c r="CK201" s="230">
        <v>5075</v>
      </c>
      <c r="CL201" s="230">
        <v>1750</v>
      </c>
      <c r="CM201" s="229">
        <v>0.3448</v>
      </c>
      <c r="CN201" s="230">
        <v>3669575</v>
      </c>
      <c r="CO201" s="230">
        <v>3014550</v>
      </c>
      <c r="CP201" s="230">
        <v>655025</v>
      </c>
      <c r="CQ201" s="229">
        <v>0.21729999999999999</v>
      </c>
      <c r="CR201" s="230">
        <v>2383850</v>
      </c>
      <c r="CS201" s="230">
        <v>2055725</v>
      </c>
      <c r="CT201" s="230">
        <v>328125</v>
      </c>
      <c r="CU201" s="229">
        <v>0.15959999999999999</v>
      </c>
      <c r="CV201" s="230">
        <v>17953600</v>
      </c>
      <c r="CW201" s="230">
        <v>16970975</v>
      </c>
      <c r="CX201" s="230">
        <v>982625</v>
      </c>
      <c r="CY201" s="229">
        <v>5.79E-2</v>
      </c>
      <c r="CZ201" s="228">
        <v>22.16</v>
      </c>
      <c r="DA201" s="228">
        <v>21.73</v>
      </c>
      <c r="DB201" s="228">
        <v>0.43</v>
      </c>
      <c r="DC201" s="228">
        <v>0.43</v>
      </c>
      <c r="DD201" s="228">
        <v>25.79</v>
      </c>
      <c r="DE201" s="228">
        <v>25.84</v>
      </c>
      <c r="DF201" s="228">
        <v>-3.63</v>
      </c>
      <c r="DG201" s="228">
        <v>-0.05</v>
      </c>
      <c r="DH201" s="228">
        <v>21.96</v>
      </c>
      <c r="DI201" s="228">
        <v>21.54</v>
      </c>
      <c r="DJ201" s="228">
        <v>0.42</v>
      </c>
      <c r="DK201" s="228">
        <v>0.42</v>
      </c>
      <c r="DL201" s="228">
        <v>22.49</v>
      </c>
      <c r="DM201" s="228">
        <v>22.1</v>
      </c>
      <c r="DN201" s="228">
        <v>0.39</v>
      </c>
      <c r="DO201" s="228">
        <v>0.39</v>
      </c>
      <c r="DP201" s="228">
        <v>0.65</v>
      </c>
      <c r="DQ201" s="228">
        <v>0.68</v>
      </c>
      <c r="DR201" s="228">
        <v>-0.03</v>
      </c>
      <c r="DS201" s="229">
        <v>-4.41E-2</v>
      </c>
      <c r="DT201" s="231">
        <v>3500</v>
      </c>
      <c r="DU201" s="231">
        <v>3400</v>
      </c>
      <c r="DV201" s="228">
        <v>0.59</v>
      </c>
      <c r="DW201" s="228">
        <v>0.51</v>
      </c>
      <c r="DX201" s="228">
        <v>0.08</v>
      </c>
      <c r="DY201" s="229">
        <v>0.15690000000000001</v>
      </c>
      <c r="DZ201" s="229">
        <v>1.54E-2</v>
      </c>
      <c r="EA201" s="230">
        <v>166775</v>
      </c>
      <c r="EB201" s="229">
        <v>5.7000000000000002E-3</v>
      </c>
      <c r="EC201" s="229">
        <v>1.54E-2</v>
      </c>
      <c r="ED201" s="228">
        <v>22.13</v>
      </c>
      <c r="EE201" s="229">
        <v>6.4000000000000003E-3</v>
      </c>
      <c r="EF201" s="230">
        <v>820410</v>
      </c>
      <c r="EG201" s="230">
        <v>1102162</v>
      </c>
      <c r="EH201" s="229">
        <v>-0.25559999999999999</v>
      </c>
      <c r="EI201" s="229">
        <v>0.66059999999999997</v>
      </c>
      <c r="EJ201" s="231">
        <v>168850.28</v>
      </c>
      <c r="EK201" s="231">
        <v>94143.8</v>
      </c>
      <c r="EL201" s="231">
        <v>45886.43</v>
      </c>
      <c r="EM201" s="231">
        <v>23721</v>
      </c>
      <c r="EN201" s="231">
        <v>308880.51</v>
      </c>
      <c r="EO201" s="231">
        <v>342662.35</v>
      </c>
      <c r="EP201" s="231">
        <v>-33781.839999999997</v>
      </c>
      <c r="EQ201" s="229">
        <v>-9.8599999999999993E-2</v>
      </c>
      <c r="ER201" s="231">
        <v>130753</v>
      </c>
      <c r="ES201" s="231">
        <v>79963</v>
      </c>
      <c r="ET201" s="231">
        <v>409856</v>
      </c>
      <c r="EU201" s="231">
        <v>41744334</v>
      </c>
      <c r="EV201" s="231">
        <v>620572</v>
      </c>
      <c r="EW201" s="231">
        <v>589180</v>
      </c>
      <c r="EX201" s="231">
        <v>31392</v>
      </c>
      <c r="EY201" s="229">
        <v>5.33E-2</v>
      </c>
      <c r="EZ201" s="229">
        <v>0.43009999999999998</v>
      </c>
      <c r="FA201" s="227" t="s">
        <v>237</v>
      </c>
      <c r="FB201" s="161">
        <f t="shared" si="5"/>
        <v>0</v>
      </c>
    </row>
    <row r="202" spans="1:158" ht="17.25" thickBot="1" x14ac:dyDescent="0.3">
      <c r="A202" s="226">
        <v>45936</v>
      </c>
      <c r="B202" s="227" t="s">
        <v>170</v>
      </c>
      <c r="C202" s="227" t="s">
        <v>298</v>
      </c>
      <c r="D202" s="228">
        <v>250</v>
      </c>
      <c r="E202" s="231">
        <v>3538.8</v>
      </c>
      <c r="F202" s="231">
        <v>3536.6</v>
      </c>
      <c r="G202" s="228">
        <v>2.2000000000000002</v>
      </c>
      <c r="H202" s="229">
        <v>5.9999999999999995E-4</v>
      </c>
      <c r="I202" s="231">
        <v>3526</v>
      </c>
      <c r="J202" s="231">
        <v>3514.7</v>
      </c>
      <c r="K202" s="228">
        <v>11.3</v>
      </c>
      <c r="L202" s="229">
        <v>3.2000000000000002E-3</v>
      </c>
      <c r="M202" s="231">
        <v>3538.8</v>
      </c>
      <c r="N202" s="231">
        <v>3536.6</v>
      </c>
      <c r="O202" s="228">
        <v>2.2000000000000002</v>
      </c>
      <c r="P202" s="229">
        <v>5.9999999999999995E-4</v>
      </c>
      <c r="Q202" s="231">
        <v>3559.3</v>
      </c>
      <c r="R202" s="231">
        <v>3554</v>
      </c>
      <c r="S202" s="228">
        <v>5.3</v>
      </c>
      <c r="T202" s="229">
        <v>1.5E-3</v>
      </c>
      <c r="U202" s="231">
        <v>3540</v>
      </c>
      <c r="V202" s="228">
        <v>0</v>
      </c>
      <c r="W202" s="231">
        <v>3540</v>
      </c>
      <c r="X202" s="229">
        <v>0</v>
      </c>
      <c r="Y202" s="228">
        <v>12.8</v>
      </c>
      <c r="Z202" s="228">
        <v>21.9</v>
      </c>
      <c r="AA202" s="228">
        <v>-9.1</v>
      </c>
      <c r="AB202" s="229">
        <v>3.5999999999999999E-3</v>
      </c>
      <c r="AC202" s="228">
        <v>12.8</v>
      </c>
      <c r="AD202" s="228">
        <v>21.9</v>
      </c>
      <c r="AE202" s="228">
        <v>-9.1</v>
      </c>
      <c r="AF202" s="229">
        <v>3.5999999999999999E-3</v>
      </c>
      <c r="AG202" s="228">
        <v>33.299999999999997</v>
      </c>
      <c r="AH202" s="228">
        <v>39.299999999999997</v>
      </c>
      <c r="AI202" s="228">
        <v>-6</v>
      </c>
      <c r="AJ202" s="229">
        <v>9.4000000000000004E-3</v>
      </c>
      <c r="AK202" s="228">
        <v>14</v>
      </c>
      <c r="AL202" s="228">
        <v>0</v>
      </c>
      <c r="AM202" s="228">
        <v>14</v>
      </c>
      <c r="AN202" s="229">
        <v>4.0000000000000001E-3</v>
      </c>
      <c r="AO202" s="231">
        <v>3521.78</v>
      </c>
      <c r="AP202" s="231">
        <v>3538.17</v>
      </c>
      <c r="AQ202" s="228">
        <v>0</v>
      </c>
      <c r="AR202" s="230">
        <v>325250</v>
      </c>
      <c r="AS202" s="230">
        <v>278000</v>
      </c>
      <c r="AT202" s="230">
        <v>47250</v>
      </c>
      <c r="AU202" s="229">
        <v>0.17</v>
      </c>
      <c r="AV202" s="230">
        <v>319000</v>
      </c>
      <c r="AW202" s="230">
        <v>274750</v>
      </c>
      <c r="AX202" s="230">
        <v>44250</v>
      </c>
      <c r="AY202" s="229">
        <v>0.16109999999999999</v>
      </c>
      <c r="AZ202" s="230">
        <v>6000</v>
      </c>
      <c r="BA202" s="230">
        <v>3250</v>
      </c>
      <c r="BB202" s="230">
        <v>2750</v>
      </c>
      <c r="BC202" s="229">
        <v>0.84619999999999995</v>
      </c>
      <c r="BD202" s="228">
        <v>250</v>
      </c>
      <c r="BE202" s="228">
        <v>0</v>
      </c>
      <c r="BF202" s="228">
        <v>250</v>
      </c>
      <c r="BG202" s="229">
        <v>0</v>
      </c>
      <c r="BH202" s="230">
        <v>441250</v>
      </c>
      <c r="BI202" s="230">
        <v>382000</v>
      </c>
      <c r="BJ202" s="230">
        <v>59250</v>
      </c>
      <c r="BK202" s="229">
        <v>0.15509999999999999</v>
      </c>
      <c r="BL202" s="230">
        <v>150750</v>
      </c>
      <c r="BM202" s="230">
        <v>254000</v>
      </c>
      <c r="BN202" s="230">
        <v>-103250</v>
      </c>
      <c r="BO202" s="229">
        <v>-0.40649999999999997</v>
      </c>
      <c r="BP202" s="230">
        <v>917250</v>
      </c>
      <c r="BQ202" s="230">
        <v>914000</v>
      </c>
      <c r="BR202" s="230">
        <v>3250</v>
      </c>
      <c r="BS202" s="229">
        <v>3.5999999999999999E-3</v>
      </c>
      <c r="BT202" s="230">
        <v>378112</v>
      </c>
      <c r="BU202" s="230">
        <v>384322</v>
      </c>
      <c r="BV202" s="230">
        <v>-6210</v>
      </c>
      <c r="BW202" s="229">
        <v>-1.6199999999999999E-2</v>
      </c>
      <c r="BX202" s="230">
        <v>2451000</v>
      </c>
      <c r="BY202" s="230">
        <v>2404750</v>
      </c>
      <c r="BZ202" s="230">
        <v>46250</v>
      </c>
      <c r="CA202" s="229">
        <v>1.9199999999999998E-2</v>
      </c>
      <c r="CB202" s="230">
        <v>2438000</v>
      </c>
      <c r="CC202" s="230">
        <v>2394750</v>
      </c>
      <c r="CD202" s="230">
        <v>43250</v>
      </c>
      <c r="CE202" s="229">
        <v>1.8100000000000002E-2</v>
      </c>
      <c r="CF202" s="230">
        <v>12750</v>
      </c>
      <c r="CG202" s="230">
        <v>10000</v>
      </c>
      <c r="CH202" s="230">
        <v>2750</v>
      </c>
      <c r="CI202" s="229">
        <v>0.27500000000000002</v>
      </c>
      <c r="CJ202" s="228">
        <v>250</v>
      </c>
      <c r="CK202" s="228">
        <v>0</v>
      </c>
      <c r="CL202" s="228">
        <v>250</v>
      </c>
      <c r="CM202" s="229">
        <v>0</v>
      </c>
      <c r="CN202" s="230">
        <v>498250</v>
      </c>
      <c r="CO202" s="230">
        <v>488500</v>
      </c>
      <c r="CP202" s="230">
        <v>9750</v>
      </c>
      <c r="CQ202" s="229">
        <v>0.02</v>
      </c>
      <c r="CR202" s="230">
        <v>256000</v>
      </c>
      <c r="CS202" s="230">
        <v>247500</v>
      </c>
      <c r="CT202" s="230">
        <v>8500</v>
      </c>
      <c r="CU202" s="229">
        <v>3.4299999999999997E-2</v>
      </c>
      <c r="CV202" s="230">
        <v>3205250</v>
      </c>
      <c r="CW202" s="230">
        <v>3140750</v>
      </c>
      <c r="CX202" s="230">
        <v>64500</v>
      </c>
      <c r="CY202" s="229">
        <v>2.0500000000000001E-2</v>
      </c>
      <c r="CZ202" s="228">
        <v>20.43</v>
      </c>
      <c r="DA202" s="228">
        <v>19.78</v>
      </c>
      <c r="DB202" s="228">
        <v>0.65</v>
      </c>
      <c r="DC202" s="228">
        <v>0.65</v>
      </c>
      <c r="DD202" s="228">
        <v>26.19</v>
      </c>
      <c r="DE202" s="228">
        <v>26.25</v>
      </c>
      <c r="DF202" s="228">
        <v>-5.76</v>
      </c>
      <c r="DG202" s="228">
        <v>-0.06</v>
      </c>
      <c r="DH202" s="228">
        <v>20.75</v>
      </c>
      <c r="DI202" s="228">
        <v>20.21</v>
      </c>
      <c r="DJ202" s="228">
        <v>0.54</v>
      </c>
      <c r="DK202" s="228">
        <v>0.54</v>
      </c>
      <c r="DL202" s="228">
        <v>19.5</v>
      </c>
      <c r="DM202" s="228">
        <v>19.12</v>
      </c>
      <c r="DN202" s="228">
        <v>0.38</v>
      </c>
      <c r="DO202" s="228">
        <v>0.38</v>
      </c>
      <c r="DP202" s="228">
        <v>0.51</v>
      </c>
      <c r="DQ202" s="228">
        <v>0.51</v>
      </c>
      <c r="DR202" s="228">
        <v>0</v>
      </c>
      <c r="DS202" s="229">
        <v>0</v>
      </c>
      <c r="DT202" s="231">
        <v>3600</v>
      </c>
      <c r="DU202" s="231">
        <v>3400</v>
      </c>
      <c r="DV202" s="228">
        <v>0.34</v>
      </c>
      <c r="DW202" s="228">
        <v>0.66</v>
      </c>
      <c r="DX202" s="228">
        <v>-0.32</v>
      </c>
      <c r="DY202" s="229">
        <v>-0.48480000000000001</v>
      </c>
      <c r="DZ202" s="229">
        <v>5.3E-3</v>
      </c>
      <c r="EA202" s="230">
        <v>10000</v>
      </c>
      <c r="EB202" s="229">
        <v>5.7999999999999996E-3</v>
      </c>
      <c r="EC202" s="229">
        <v>5.3E-3</v>
      </c>
      <c r="ED202" s="228">
        <v>16.39</v>
      </c>
      <c r="EE202" s="229">
        <v>4.7000000000000002E-3</v>
      </c>
      <c r="EF202" s="230">
        <v>259546</v>
      </c>
      <c r="EG202" s="230">
        <v>255224</v>
      </c>
      <c r="EH202" s="229">
        <v>1.6899999999999998E-2</v>
      </c>
      <c r="EI202" s="229">
        <v>0.68640000000000001</v>
      </c>
      <c r="EJ202" s="231">
        <v>16523.53</v>
      </c>
      <c r="EK202" s="231">
        <v>5289.01</v>
      </c>
      <c r="EL202" s="231">
        <v>11455.62</v>
      </c>
      <c r="EM202" s="231">
        <v>3211</v>
      </c>
      <c r="EN202" s="231">
        <v>33268.160000000003</v>
      </c>
      <c r="EO202" s="231">
        <v>33073.67</v>
      </c>
      <c r="EP202" s="228">
        <v>194.49</v>
      </c>
      <c r="EQ202" s="229">
        <v>5.8999999999999999E-3</v>
      </c>
      <c r="ER202" s="231">
        <v>18427</v>
      </c>
      <c r="ES202" s="231">
        <v>9071</v>
      </c>
      <c r="ET202" s="231">
        <v>86739</v>
      </c>
      <c r="EU202" s="231">
        <v>16072672</v>
      </c>
      <c r="EV202" s="231">
        <v>114237</v>
      </c>
      <c r="EW202" s="231">
        <v>111955</v>
      </c>
      <c r="EX202" s="231">
        <v>2282</v>
      </c>
      <c r="EY202" s="229">
        <v>2.0400000000000001E-2</v>
      </c>
      <c r="EZ202" s="229">
        <v>0.19939999999999999</v>
      </c>
      <c r="FA202" s="227" t="s">
        <v>555</v>
      </c>
      <c r="FB202" s="161">
        <f t="shared" si="5"/>
        <v>0</v>
      </c>
    </row>
    <row r="203" spans="1:158" ht="17.25" thickBot="1" x14ac:dyDescent="0.3">
      <c r="A203" s="226">
        <v>45936</v>
      </c>
      <c r="B203" s="227" t="s">
        <v>161</v>
      </c>
      <c r="C203" s="227" t="s">
        <v>299</v>
      </c>
      <c r="D203" s="228">
        <v>375</v>
      </c>
      <c r="E203" s="231">
        <v>1209.2</v>
      </c>
      <c r="F203" s="231">
        <v>1229</v>
      </c>
      <c r="G203" s="228">
        <v>-19.8</v>
      </c>
      <c r="H203" s="229">
        <v>-1.61E-2</v>
      </c>
      <c r="I203" s="231">
        <v>1200</v>
      </c>
      <c r="J203" s="231">
        <v>1221.0999999999999</v>
      </c>
      <c r="K203" s="228">
        <v>-21.1</v>
      </c>
      <c r="L203" s="229">
        <v>-1.7299999999999999E-2</v>
      </c>
      <c r="M203" s="231">
        <v>1209.2</v>
      </c>
      <c r="N203" s="231">
        <v>1229</v>
      </c>
      <c r="O203" s="228">
        <v>-19.8</v>
      </c>
      <c r="P203" s="229">
        <v>-1.61E-2</v>
      </c>
      <c r="Q203" s="231">
        <v>1217</v>
      </c>
      <c r="R203" s="231">
        <v>1235.4000000000001</v>
      </c>
      <c r="S203" s="228">
        <v>-18.399999999999999</v>
      </c>
      <c r="T203" s="229">
        <v>-1.49E-2</v>
      </c>
      <c r="U203" s="231">
        <v>1225</v>
      </c>
      <c r="V203" s="231">
        <v>1239.5</v>
      </c>
      <c r="W203" s="228">
        <v>-14.5</v>
      </c>
      <c r="X203" s="229">
        <v>-1.17E-2</v>
      </c>
      <c r="Y203" s="228">
        <v>9.1999999999999993</v>
      </c>
      <c r="Z203" s="228">
        <v>7.9</v>
      </c>
      <c r="AA203" s="228">
        <v>1.3</v>
      </c>
      <c r="AB203" s="229">
        <v>7.7000000000000002E-3</v>
      </c>
      <c r="AC203" s="228">
        <v>9.1999999999999993</v>
      </c>
      <c r="AD203" s="228">
        <v>7.9</v>
      </c>
      <c r="AE203" s="228">
        <v>1.3</v>
      </c>
      <c r="AF203" s="229">
        <v>7.7000000000000002E-3</v>
      </c>
      <c r="AG203" s="228">
        <v>17</v>
      </c>
      <c r="AH203" s="228">
        <v>14.3</v>
      </c>
      <c r="AI203" s="228">
        <v>2.7</v>
      </c>
      <c r="AJ203" s="229">
        <v>1.4200000000000001E-2</v>
      </c>
      <c r="AK203" s="228">
        <v>25</v>
      </c>
      <c r="AL203" s="228">
        <v>18.399999999999999</v>
      </c>
      <c r="AM203" s="228">
        <v>6.6</v>
      </c>
      <c r="AN203" s="229">
        <v>2.0799999999999999E-2</v>
      </c>
      <c r="AO203" s="231">
        <v>1208.5999999999999</v>
      </c>
      <c r="AP203" s="231">
        <v>1213.3</v>
      </c>
      <c r="AQ203" s="228">
        <v>0</v>
      </c>
      <c r="AR203" s="230">
        <v>974625</v>
      </c>
      <c r="AS203" s="230">
        <v>681000</v>
      </c>
      <c r="AT203" s="230">
        <v>293625</v>
      </c>
      <c r="AU203" s="229">
        <v>0.43120000000000003</v>
      </c>
      <c r="AV203" s="230">
        <v>912375</v>
      </c>
      <c r="AW203" s="230">
        <v>646500</v>
      </c>
      <c r="AX203" s="230">
        <v>265875</v>
      </c>
      <c r="AY203" s="229">
        <v>0.4113</v>
      </c>
      <c r="AZ203" s="230">
        <v>53625</v>
      </c>
      <c r="BA203" s="230">
        <v>34125</v>
      </c>
      <c r="BB203" s="230">
        <v>19500</v>
      </c>
      <c r="BC203" s="229">
        <v>0.57140000000000002</v>
      </c>
      <c r="BD203" s="230">
        <v>8625</v>
      </c>
      <c r="BE203" s="228">
        <v>375</v>
      </c>
      <c r="BF203" s="230">
        <v>8250</v>
      </c>
      <c r="BG203" s="229">
        <v>22</v>
      </c>
      <c r="BH203" s="230">
        <v>1768875</v>
      </c>
      <c r="BI203" s="230">
        <v>559500</v>
      </c>
      <c r="BJ203" s="230">
        <v>1209375</v>
      </c>
      <c r="BK203" s="229">
        <v>2.1615000000000002</v>
      </c>
      <c r="BL203" s="230">
        <v>656625</v>
      </c>
      <c r="BM203" s="230">
        <v>196125</v>
      </c>
      <c r="BN203" s="230">
        <v>460500</v>
      </c>
      <c r="BO203" s="229">
        <v>2.3479999999999999</v>
      </c>
      <c r="BP203" s="230">
        <v>3400125</v>
      </c>
      <c r="BQ203" s="230">
        <v>1436625</v>
      </c>
      <c r="BR203" s="230">
        <v>1963500</v>
      </c>
      <c r="BS203" s="229">
        <v>1.3667</v>
      </c>
      <c r="BT203" s="230">
        <v>2770048</v>
      </c>
      <c r="BU203" s="230">
        <v>502800</v>
      </c>
      <c r="BV203" s="230">
        <v>2267248</v>
      </c>
      <c r="BW203" s="229">
        <v>4.5091999999999999</v>
      </c>
      <c r="BX203" s="230">
        <v>4431375</v>
      </c>
      <c r="BY203" s="230">
        <v>4139625</v>
      </c>
      <c r="BZ203" s="230">
        <v>291750</v>
      </c>
      <c r="CA203" s="229">
        <v>7.0499999999999993E-2</v>
      </c>
      <c r="CB203" s="230">
        <v>4332375</v>
      </c>
      <c r="CC203" s="230">
        <v>4068375</v>
      </c>
      <c r="CD203" s="230">
        <v>264000</v>
      </c>
      <c r="CE203" s="229">
        <v>6.4899999999999999E-2</v>
      </c>
      <c r="CF203" s="230">
        <v>90375</v>
      </c>
      <c r="CG203" s="230">
        <v>70125</v>
      </c>
      <c r="CH203" s="230">
        <v>20250</v>
      </c>
      <c r="CI203" s="229">
        <v>0.2888</v>
      </c>
      <c r="CJ203" s="230">
        <v>8625</v>
      </c>
      <c r="CK203" s="230">
        <v>1125</v>
      </c>
      <c r="CL203" s="230">
        <v>7500</v>
      </c>
      <c r="CM203" s="229">
        <v>6.6666999999999996</v>
      </c>
      <c r="CN203" s="230">
        <v>1081875</v>
      </c>
      <c r="CO203" s="230">
        <v>647250</v>
      </c>
      <c r="CP203" s="230">
        <v>434625</v>
      </c>
      <c r="CQ203" s="229">
        <v>0.67149999999999999</v>
      </c>
      <c r="CR203" s="230">
        <v>563625</v>
      </c>
      <c r="CS203" s="230">
        <v>429375</v>
      </c>
      <c r="CT203" s="230">
        <v>134250</v>
      </c>
      <c r="CU203" s="229">
        <v>0.31269999999999998</v>
      </c>
      <c r="CV203" s="230">
        <v>6076875</v>
      </c>
      <c r="CW203" s="230">
        <v>5216250</v>
      </c>
      <c r="CX203" s="230">
        <v>860625</v>
      </c>
      <c r="CY203" s="229">
        <v>0.16500000000000001</v>
      </c>
      <c r="CZ203" s="228">
        <v>30.65</v>
      </c>
      <c r="DA203" s="228">
        <v>30.21</v>
      </c>
      <c r="DB203" s="228">
        <v>0.44</v>
      </c>
      <c r="DC203" s="228">
        <v>0.44</v>
      </c>
      <c r="DD203" s="228">
        <v>42.31</v>
      </c>
      <c r="DE203" s="228">
        <v>42.36</v>
      </c>
      <c r="DF203" s="228">
        <v>-11.66</v>
      </c>
      <c r="DG203" s="228">
        <v>-0.05</v>
      </c>
      <c r="DH203" s="228">
        <v>30.72</v>
      </c>
      <c r="DI203" s="228">
        <v>30.44</v>
      </c>
      <c r="DJ203" s="228">
        <v>0.28000000000000003</v>
      </c>
      <c r="DK203" s="228">
        <v>0.28000000000000003</v>
      </c>
      <c r="DL203" s="228">
        <v>30.46</v>
      </c>
      <c r="DM203" s="228">
        <v>29.56</v>
      </c>
      <c r="DN203" s="228">
        <v>0.9</v>
      </c>
      <c r="DO203" s="228">
        <v>0.9</v>
      </c>
      <c r="DP203" s="228">
        <v>0.52</v>
      </c>
      <c r="DQ203" s="228">
        <v>0.66</v>
      </c>
      <c r="DR203" s="228">
        <v>-0.14000000000000001</v>
      </c>
      <c r="DS203" s="229">
        <v>-0.21210000000000001</v>
      </c>
      <c r="DT203" s="231">
        <v>1300</v>
      </c>
      <c r="DU203" s="231">
        <v>1300</v>
      </c>
      <c r="DV203" s="228">
        <v>0.37</v>
      </c>
      <c r="DW203" s="228">
        <v>0.35</v>
      </c>
      <c r="DX203" s="228">
        <v>0.02</v>
      </c>
      <c r="DY203" s="229">
        <v>5.7099999999999998E-2</v>
      </c>
      <c r="DZ203" s="229">
        <v>2.23E-2</v>
      </c>
      <c r="EA203" s="230">
        <v>71250</v>
      </c>
      <c r="EB203" s="229">
        <v>6.4999999999999997E-3</v>
      </c>
      <c r="EC203" s="229">
        <v>2.23E-2</v>
      </c>
      <c r="ED203" s="228">
        <v>4.7</v>
      </c>
      <c r="EE203" s="229">
        <v>3.8999999999999998E-3</v>
      </c>
      <c r="EF203" s="230">
        <v>2276813</v>
      </c>
      <c r="EG203" s="230">
        <v>301311</v>
      </c>
      <c r="EH203" s="229">
        <v>6.5564</v>
      </c>
      <c r="EI203" s="229">
        <v>0.82189999999999996</v>
      </c>
      <c r="EJ203" s="231">
        <v>22597.63</v>
      </c>
      <c r="EK203" s="231">
        <v>7979.97</v>
      </c>
      <c r="EL203" s="231">
        <v>11783.02</v>
      </c>
      <c r="EM203" s="231">
        <v>4011</v>
      </c>
      <c r="EN203" s="231">
        <v>42360.62</v>
      </c>
      <c r="EO203" s="231">
        <v>18047.759999999998</v>
      </c>
      <c r="EP203" s="231">
        <v>24312.86</v>
      </c>
      <c r="EQ203" s="229">
        <v>1.3471</v>
      </c>
      <c r="ER203" s="231">
        <v>13948</v>
      </c>
      <c r="ES203" s="231">
        <v>6859</v>
      </c>
      <c r="ET203" s="231">
        <v>53593</v>
      </c>
      <c r="EU203" s="231">
        <v>24646022</v>
      </c>
      <c r="EV203" s="231">
        <v>74399</v>
      </c>
      <c r="EW203" s="231">
        <v>64656</v>
      </c>
      <c r="EX203" s="231">
        <v>9743</v>
      </c>
      <c r="EY203" s="229">
        <v>0.1507</v>
      </c>
      <c r="EZ203" s="229">
        <v>0.24660000000000001</v>
      </c>
      <c r="FA203" s="227" t="s">
        <v>567</v>
      </c>
      <c r="FB203" s="161">
        <f t="shared" si="5"/>
        <v>0</v>
      </c>
    </row>
    <row r="204" spans="1:158" ht="17.25" thickBot="1" x14ac:dyDescent="0.3">
      <c r="A204" s="226">
        <v>45936</v>
      </c>
      <c r="B204" s="227" t="s">
        <v>197</v>
      </c>
      <c r="C204" s="227" t="s">
        <v>482</v>
      </c>
      <c r="D204" s="228">
        <v>100</v>
      </c>
      <c r="E204" s="231">
        <v>4817.2</v>
      </c>
      <c r="F204" s="231">
        <v>4846.6000000000004</v>
      </c>
      <c r="G204" s="228">
        <v>-29.4</v>
      </c>
      <c r="H204" s="229">
        <v>-6.1000000000000004E-3</v>
      </c>
      <c r="I204" s="231">
        <v>4777.3</v>
      </c>
      <c r="J204" s="231">
        <v>4815.7</v>
      </c>
      <c r="K204" s="228">
        <v>-38.4</v>
      </c>
      <c r="L204" s="229">
        <v>-8.0000000000000002E-3</v>
      </c>
      <c r="M204" s="231">
        <v>4817.2</v>
      </c>
      <c r="N204" s="231">
        <v>4846.6000000000004</v>
      </c>
      <c r="O204" s="228">
        <v>-29.4</v>
      </c>
      <c r="P204" s="229">
        <v>-6.1000000000000004E-3</v>
      </c>
      <c r="Q204" s="231">
        <v>4830.7</v>
      </c>
      <c r="R204" s="231">
        <v>4873</v>
      </c>
      <c r="S204" s="228">
        <v>-42.3</v>
      </c>
      <c r="T204" s="229">
        <v>-8.6999999999999994E-3</v>
      </c>
      <c r="U204" s="231">
        <v>4856.3999999999996</v>
      </c>
      <c r="V204" s="231">
        <v>4902.3999999999996</v>
      </c>
      <c r="W204" s="228">
        <v>-46</v>
      </c>
      <c r="X204" s="229">
        <v>-9.4000000000000004E-3</v>
      </c>
      <c r="Y204" s="228">
        <v>39.9</v>
      </c>
      <c r="Z204" s="228">
        <v>30.9</v>
      </c>
      <c r="AA204" s="228">
        <v>9</v>
      </c>
      <c r="AB204" s="229">
        <v>8.3999999999999995E-3</v>
      </c>
      <c r="AC204" s="228">
        <v>39.9</v>
      </c>
      <c r="AD204" s="228">
        <v>30.9</v>
      </c>
      <c r="AE204" s="228">
        <v>9</v>
      </c>
      <c r="AF204" s="229">
        <v>8.3999999999999995E-3</v>
      </c>
      <c r="AG204" s="228">
        <v>53.4</v>
      </c>
      <c r="AH204" s="228">
        <v>57.3</v>
      </c>
      <c r="AI204" s="228">
        <v>-3.9</v>
      </c>
      <c r="AJ204" s="229">
        <v>1.12E-2</v>
      </c>
      <c r="AK204" s="228">
        <v>79.099999999999994</v>
      </c>
      <c r="AL204" s="228">
        <v>86.7</v>
      </c>
      <c r="AM204" s="228">
        <v>-7.6</v>
      </c>
      <c r="AN204" s="229">
        <v>1.66E-2</v>
      </c>
      <c r="AO204" s="231">
        <v>4822.8599999999997</v>
      </c>
      <c r="AP204" s="231">
        <v>4846.25</v>
      </c>
      <c r="AQ204" s="228">
        <v>0</v>
      </c>
      <c r="AR204" s="230">
        <v>2368100</v>
      </c>
      <c r="AS204" s="230">
        <v>1345300</v>
      </c>
      <c r="AT204" s="230">
        <v>1022800</v>
      </c>
      <c r="AU204" s="229">
        <v>0.76029999999999998</v>
      </c>
      <c r="AV204" s="230">
        <v>2236600</v>
      </c>
      <c r="AW204" s="230">
        <v>1257000</v>
      </c>
      <c r="AX204" s="230">
        <v>979600</v>
      </c>
      <c r="AY204" s="229">
        <v>0.77929999999999999</v>
      </c>
      <c r="AZ204" s="230">
        <v>114000</v>
      </c>
      <c r="BA204" s="230">
        <v>75100</v>
      </c>
      <c r="BB204" s="230">
        <v>38900</v>
      </c>
      <c r="BC204" s="229">
        <v>0.51800000000000002</v>
      </c>
      <c r="BD204" s="230">
        <v>17500</v>
      </c>
      <c r="BE204" s="230">
        <v>13200</v>
      </c>
      <c r="BF204" s="230">
        <v>4300</v>
      </c>
      <c r="BG204" s="229">
        <v>0.32579999999999998</v>
      </c>
      <c r="BH204" s="230">
        <v>9912300</v>
      </c>
      <c r="BI204" s="230">
        <v>4666900</v>
      </c>
      <c r="BJ204" s="230">
        <v>5245400</v>
      </c>
      <c r="BK204" s="229">
        <v>1.1240000000000001</v>
      </c>
      <c r="BL204" s="230">
        <v>3949500</v>
      </c>
      <c r="BM204" s="230">
        <v>2235200</v>
      </c>
      <c r="BN204" s="230">
        <v>1714300</v>
      </c>
      <c r="BO204" s="229">
        <v>0.76700000000000002</v>
      </c>
      <c r="BP204" s="230">
        <v>16229900</v>
      </c>
      <c r="BQ204" s="230">
        <v>8247400</v>
      </c>
      <c r="BR204" s="230">
        <v>7982500</v>
      </c>
      <c r="BS204" s="229">
        <v>0.96789999999999998</v>
      </c>
      <c r="BT204" s="230">
        <v>1103991</v>
      </c>
      <c r="BU204" s="230">
        <v>1142508</v>
      </c>
      <c r="BV204" s="230">
        <v>-38517</v>
      </c>
      <c r="BW204" s="229">
        <v>-3.3700000000000001E-2</v>
      </c>
      <c r="BX204" s="230">
        <v>8518300</v>
      </c>
      <c r="BY204" s="230">
        <v>8102800</v>
      </c>
      <c r="BZ204" s="230">
        <v>415500</v>
      </c>
      <c r="CA204" s="229">
        <v>5.1299999999999998E-2</v>
      </c>
      <c r="CB204" s="230">
        <v>8153500</v>
      </c>
      <c r="CC204" s="230">
        <v>7769100</v>
      </c>
      <c r="CD204" s="230">
        <v>384400</v>
      </c>
      <c r="CE204" s="229">
        <v>4.9500000000000002E-2</v>
      </c>
      <c r="CF204" s="230">
        <v>344800</v>
      </c>
      <c r="CG204" s="230">
        <v>323900</v>
      </c>
      <c r="CH204" s="230">
        <v>20900</v>
      </c>
      <c r="CI204" s="229">
        <v>6.4500000000000002E-2</v>
      </c>
      <c r="CJ204" s="230">
        <v>20000</v>
      </c>
      <c r="CK204" s="230">
        <v>9800</v>
      </c>
      <c r="CL204" s="230">
        <v>10200</v>
      </c>
      <c r="CM204" s="229">
        <v>1.0407999999999999</v>
      </c>
      <c r="CN204" s="230">
        <v>4817400</v>
      </c>
      <c r="CO204" s="230">
        <v>3416100</v>
      </c>
      <c r="CP204" s="230">
        <v>1401300</v>
      </c>
      <c r="CQ204" s="229">
        <v>0.41020000000000001</v>
      </c>
      <c r="CR204" s="230">
        <v>2472100</v>
      </c>
      <c r="CS204" s="230">
        <v>2233500</v>
      </c>
      <c r="CT204" s="230">
        <v>238600</v>
      </c>
      <c r="CU204" s="229">
        <v>0.10680000000000001</v>
      </c>
      <c r="CV204" s="230">
        <v>15807800</v>
      </c>
      <c r="CW204" s="230">
        <v>13752400</v>
      </c>
      <c r="CX204" s="230">
        <v>2055400</v>
      </c>
      <c r="CY204" s="229">
        <v>0.14949999999999999</v>
      </c>
      <c r="CZ204" s="228">
        <v>35.68</v>
      </c>
      <c r="DA204" s="228">
        <v>32.18</v>
      </c>
      <c r="DB204" s="228">
        <v>3.5</v>
      </c>
      <c r="DC204" s="228">
        <v>3.5</v>
      </c>
      <c r="DD204" s="228">
        <v>45.63</v>
      </c>
      <c r="DE204" s="228">
        <v>45.73</v>
      </c>
      <c r="DF204" s="228">
        <v>-9.9499999999999993</v>
      </c>
      <c r="DG204" s="228">
        <v>-0.1</v>
      </c>
      <c r="DH204" s="228">
        <v>35.409999999999997</v>
      </c>
      <c r="DI204" s="228">
        <v>32.19</v>
      </c>
      <c r="DJ204" s="228">
        <v>3.22</v>
      </c>
      <c r="DK204" s="228">
        <v>3.22</v>
      </c>
      <c r="DL204" s="228">
        <v>36.369999999999997</v>
      </c>
      <c r="DM204" s="228">
        <v>32.17</v>
      </c>
      <c r="DN204" s="228">
        <v>4.2</v>
      </c>
      <c r="DO204" s="228">
        <v>4.2</v>
      </c>
      <c r="DP204" s="228">
        <v>0.51</v>
      </c>
      <c r="DQ204" s="228">
        <v>0.65</v>
      </c>
      <c r="DR204" s="228">
        <v>-0.14000000000000001</v>
      </c>
      <c r="DS204" s="229">
        <v>-0.21540000000000001</v>
      </c>
      <c r="DT204" s="231">
        <v>5500</v>
      </c>
      <c r="DU204" s="231">
        <v>4800</v>
      </c>
      <c r="DV204" s="228">
        <v>0.4</v>
      </c>
      <c r="DW204" s="228">
        <v>0.48</v>
      </c>
      <c r="DX204" s="228">
        <v>-0.08</v>
      </c>
      <c r="DY204" s="229">
        <v>-0.16669999999999999</v>
      </c>
      <c r="DZ204" s="229">
        <v>4.2799999999999998E-2</v>
      </c>
      <c r="EA204" s="230">
        <v>333700</v>
      </c>
      <c r="EB204" s="229">
        <v>2.8E-3</v>
      </c>
      <c r="EC204" s="229">
        <v>4.2799999999999998E-2</v>
      </c>
      <c r="ED204" s="228">
        <v>23.39</v>
      </c>
      <c r="EE204" s="229">
        <v>4.7999999999999996E-3</v>
      </c>
      <c r="EF204" s="230">
        <v>539855</v>
      </c>
      <c r="EG204" s="230">
        <v>592133</v>
      </c>
      <c r="EH204" s="229">
        <v>-8.8300000000000003E-2</v>
      </c>
      <c r="EI204" s="229">
        <v>0.48899999999999999</v>
      </c>
      <c r="EJ204" s="231">
        <v>514457.61</v>
      </c>
      <c r="EK204" s="231">
        <v>186241.78</v>
      </c>
      <c r="EL204" s="231">
        <v>114245.08</v>
      </c>
      <c r="EM204" s="231">
        <v>26954</v>
      </c>
      <c r="EN204" s="231">
        <v>814944.47</v>
      </c>
      <c r="EO204" s="231">
        <v>411908.93</v>
      </c>
      <c r="EP204" s="231">
        <v>403035.54</v>
      </c>
      <c r="EQ204" s="229">
        <v>0.97850000000000004</v>
      </c>
      <c r="ER204" s="231">
        <v>250115</v>
      </c>
      <c r="ES204" s="231">
        <v>117581</v>
      </c>
      <c r="ET204" s="231">
        <v>410398</v>
      </c>
      <c r="EU204" s="231">
        <v>33590487</v>
      </c>
      <c r="EV204" s="231">
        <v>778095</v>
      </c>
      <c r="EW204" s="231">
        <v>676543</v>
      </c>
      <c r="EX204" s="231">
        <v>101552</v>
      </c>
      <c r="EY204" s="229">
        <v>0.15010000000000001</v>
      </c>
      <c r="EZ204" s="229">
        <v>0.47060000000000002</v>
      </c>
      <c r="FA204" s="227" t="s">
        <v>567</v>
      </c>
      <c r="FB204" s="161">
        <f t="shared" si="5"/>
        <v>0</v>
      </c>
    </row>
    <row r="205" spans="1:158" ht="17.25" thickBot="1" x14ac:dyDescent="0.3">
      <c r="A205" s="226">
        <v>45936</v>
      </c>
      <c r="B205" s="227" t="s">
        <v>162</v>
      </c>
      <c r="C205" s="227" t="s">
        <v>300</v>
      </c>
      <c r="D205" s="228">
        <v>350</v>
      </c>
      <c r="E205" s="231">
        <v>3523</v>
      </c>
      <c r="F205" s="231">
        <v>3468.2</v>
      </c>
      <c r="G205" s="228">
        <v>54.8</v>
      </c>
      <c r="H205" s="229">
        <v>1.5800000000000002E-2</v>
      </c>
      <c r="I205" s="231">
        <v>3510.9</v>
      </c>
      <c r="J205" s="231">
        <v>3456.1</v>
      </c>
      <c r="K205" s="228">
        <v>54.8</v>
      </c>
      <c r="L205" s="229">
        <v>1.5900000000000001E-2</v>
      </c>
      <c r="M205" s="231">
        <v>3523</v>
      </c>
      <c r="N205" s="231">
        <v>3468.2</v>
      </c>
      <c r="O205" s="228">
        <v>54.8</v>
      </c>
      <c r="P205" s="229">
        <v>1.5800000000000002E-2</v>
      </c>
      <c r="Q205" s="231">
        <v>3538</v>
      </c>
      <c r="R205" s="231">
        <v>3484</v>
      </c>
      <c r="S205" s="228">
        <v>54</v>
      </c>
      <c r="T205" s="229">
        <v>1.55E-2</v>
      </c>
      <c r="U205" s="231">
        <v>3555</v>
      </c>
      <c r="V205" s="231">
        <v>3498</v>
      </c>
      <c r="W205" s="228">
        <v>57</v>
      </c>
      <c r="X205" s="229">
        <v>1.6299999999999999E-2</v>
      </c>
      <c r="Y205" s="228">
        <v>12.1</v>
      </c>
      <c r="Z205" s="228">
        <v>12.1</v>
      </c>
      <c r="AA205" s="228">
        <v>0</v>
      </c>
      <c r="AB205" s="229">
        <v>3.3999999999999998E-3</v>
      </c>
      <c r="AC205" s="228">
        <v>12.1</v>
      </c>
      <c r="AD205" s="228">
        <v>12.1</v>
      </c>
      <c r="AE205" s="228">
        <v>0</v>
      </c>
      <c r="AF205" s="229">
        <v>3.3999999999999998E-3</v>
      </c>
      <c r="AG205" s="228">
        <v>27.1</v>
      </c>
      <c r="AH205" s="228">
        <v>27.9</v>
      </c>
      <c r="AI205" s="228">
        <v>-0.8</v>
      </c>
      <c r="AJ205" s="229">
        <v>7.7000000000000002E-3</v>
      </c>
      <c r="AK205" s="228">
        <v>44.1</v>
      </c>
      <c r="AL205" s="228">
        <v>41.9</v>
      </c>
      <c r="AM205" s="228">
        <v>2.2000000000000002</v>
      </c>
      <c r="AN205" s="229">
        <v>1.26E-2</v>
      </c>
      <c r="AO205" s="231">
        <v>3508.44</v>
      </c>
      <c r="AP205" s="231">
        <v>3523.71</v>
      </c>
      <c r="AQ205" s="228">
        <v>0</v>
      </c>
      <c r="AR205" s="230">
        <v>1197700</v>
      </c>
      <c r="AS205" s="230">
        <v>1136100</v>
      </c>
      <c r="AT205" s="230">
        <v>61600</v>
      </c>
      <c r="AU205" s="229">
        <v>5.4199999999999998E-2</v>
      </c>
      <c r="AV205" s="230">
        <v>1139250</v>
      </c>
      <c r="AW205" s="230">
        <v>1097250</v>
      </c>
      <c r="AX205" s="230">
        <v>42000</v>
      </c>
      <c r="AY205" s="229">
        <v>3.8300000000000001E-2</v>
      </c>
      <c r="AZ205" s="230">
        <v>49350</v>
      </c>
      <c r="BA205" s="230">
        <v>33600</v>
      </c>
      <c r="BB205" s="230">
        <v>15750</v>
      </c>
      <c r="BC205" s="229">
        <v>0.46879999999999999</v>
      </c>
      <c r="BD205" s="230">
        <v>9100</v>
      </c>
      <c r="BE205" s="230">
        <v>5250</v>
      </c>
      <c r="BF205" s="230">
        <v>3850</v>
      </c>
      <c r="BG205" s="229">
        <v>0.73329999999999995</v>
      </c>
      <c r="BH205" s="230">
        <v>4550700</v>
      </c>
      <c r="BI205" s="230">
        <v>3680600</v>
      </c>
      <c r="BJ205" s="230">
        <v>870100</v>
      </c>
      <c r="BK205" s="229">
        <v>0.2364</v>
      </c>
      <c r="BL205" s="230">
        <v>1691550</v>
      </c>
      <c r="BM205" s="230">
        <v>2298100</v>
      </c>
      <c r="BN205" s="230">
        <v>-606550</v>
      </c>
      <c r="BO205" s="229">
        <v>-0.26390000000000002</v>
      </c>
      <c r="BP205" s="230">
        <v>7439950</v>
      </c>
      <c r="BQ205" s="230">
        <v>7114800</v>
      </c>
      <c r="BR205" s="230">
        <v>325150</v>
      </c>
      <c r="BS205" s="229">
        <v>4.5699999999999998E-2</v>
      </c>
      <c r="BT205" s="230">
        <v>834615</v>
      </c>
      <c r="BU205" s="230">
        <v>528213</v>
      </c>
      <c r="BV205" s="230">
        <v>306402</v>
      </c>
      <c r="BW205" s="229">
        <v>0.58009999999999995</v>
      </c>
      <c r="BX205" s="230">
        <v>9716700</v>
      </c>
      <c r="BY205" s="230">
        <v>9787400</v>
      </c>
      <c r="BZ205" s="230">
        <v>-70700</v>
      </c>
      <c r="CA205" s="229">
        <v>-7.1999999999999998E-3</v>
      </c>
      <c r="CB205" s="230">
        <v>9609950</v>
      </c>
      <c r="CC205" s="230">
        <v>9691850</v>
      </c>
      <c r="CD205" s="230">
        <v>-81900</v>
      </c>
      <c r="CE205" s="229">
        <v>-8.5000000000000006E-3</v>
      </c>
      <c r="CF205" s="230">
        <v>95200</v>
      </c>
      <c r="CG205" s="230">
        <v>92050</v>
      </c>
      <c r="CH205" s="230">
        <v>3150</v>
      </c>
      <c r="CI205" s="229">
        <v>3.4200000000000001E-2</v>
      </c>
      <c r="CJ205" s="230">
        <v>11550</v>
      </c>
      <c r="CK205" s="230">
        <v>3500</v>
      </c>
      <c r="CL205" s="230">
        <v>8050</v>
      </c>
      <c r="CM205" s="229">
        <v>2.2999999999999998</v>
      </c>
      <c r="CN205" s="230">
        <v>1901550</v>
      </c>
      <c r="CO205" s="230">
        <v>2154600</v>
      </c>
      <c r="CP205" s="230">
        <v>-253050</v>
      </c>
      <c r="CQ205" s="229">
        <v>-0.1174</v>
      </c>
      <c r="CR205" s="230">
        <v>1377250</v>
      </c>
      <c r="CS205" s="230">
        <v>1409100</v>
      </c>
      <c r="CT205" s="230">
        <v>-31850</v>
      </c>
      <c r="CU205" s="229">
        <v>-2.2599999999999999E-2</v>
      </c>
      <c r="CV205" s="230">
        <v>12995500</v>
      </c>
      <c r="CW205" s="230">
        <v>13351100</v>
      </c>
      <c r="CX205" s="230">
        <v>-355600</v>
      </c>
      <c r="CY205" s="229">
        <v>-2.6599999999999999E-2</v>
      </c>
      <c r="CZ205" s="228">
        <v>26.19</v>
      </c>
      <c r="DA205" s="228">
        <v>26.52</v>
      </c>
      <c r="DB205" s="228">
        <v>-0.33</v>
      </c>
      <c r="DC205" s="228">
        <v>-0.33</v>
      </c>
      <c r="DD205" s="228">
        <v>31.63</v>
      </c>
      <c r="DE205" s="228">
        <v>31.64</v>
      </c>
      <c r="DF205" s="228">
        <v>-5.44</v>
      </c>
      <c r="DG205" s="228">
        <v>-0.01</v>
      </c>
      <c r="DH205" s="228">
        <v>25.89</v>
      </c>
      <c r="DI205" s="228">
        <v>26.33</v>
      </c>
      <c r="DJ205" s="228">
        <v>-0.44</v>
      </c>
      <c r="DK205" s="228">
        <v>-0.44</v>
      </c>
      <c r="DL205" s="228">
        <v>26.99</v>
      </c>
      <c r="DM205" s="228">
        <v>26.83</v>
      </c>
      <c r="DN205" s="228">
        <v>0.16</v>
      </c>
      <c r="DO205" s="228">
        <v>0.16</v>
      </c>
      <c r="DP205" s="228">
        <v>0.72</v>
      </c>
      <c r="DQ205" s="228">
        <v>0.65</v>
      </c>
      <c r="DR205" s="228">
        <v>7.0000000000000007E-2</v>
      </c>
      <c r="DS205" s="229">
        <v>0.1077</v>
      </c>
      <c r="DT205" s="231">
        <v>3500</v>
      </c>
      <c r="DU205" s="231">
        <v>3400</v>
      </c>
      <c r="DV205" s="228">
        <v>0.37</v>
      </c>
      <c r="DW205" s="228">
        <v>0.62</v>
      </c>
      <c r="DX205" s="228">
        <v>-0.25</v>
      </c>
      <c r="DY205" s="229">
        <v>-0.4032</v>
      </c>
      <c r="DZ205" s="229">
        <v>1.0999999999999999E-2</v>
      </c>
      <c r="EA205" s="230">
        <v>95550</v>
      </c>
      <c r="EB205" s="229">
        <v>4.3E-3</v>
      </c>
      <c r="EC205" s="229">
        <v>1.0999999999999999E-2</v>
      </c>
      <c r="ED205" s="228">
        <v>15.27</v>
      </c>
      <c r="EE205" s="229">
        <v>4.4000000000000003E-3</v>
      </c>
      <c r="EF205" s="230">
        <v>505327</v>
      </c>
      <c r="EG205" s="230">
        <v>232669</v>
      </c>
      <c r="EH205" s="229">
        <v>1.1718999999999999</v>
      </c>
      <c r="EI205" s="229">
        <v>0.60550000000000004</v>
      </c>
      <c r="EJ205" s="231">
        <v>166768.46</v>
      </c>
      <c r="EK205" s="231">
        <v>57241.05</v>
      </c>
      <c r="EL205" s="231">
        <v>42031.81</v>
      </c>
      <c r="EM205" s="231">
        <v>8484</v>
      </c>
      <c r="EN205" s="231">
        <v>266041.32</v>
      </c>
      <c r="EO205" s="231">
        <v>249873.43</v>
      </c>
      <c r="EP205" s="231">
        <v>16167.89</v>
      </c>
      <c r="EQ205" s="229">
        <v>6.4699999999999994E-2</v>
      </c>
      <c r="ER205" s="231">
        <v>68516</v>
      </c>
      <c r="ES205" s="231">
        <v>45601</v>
      </c>
      <c r="ET205" s="231">
        <v>342337</v>
      </c>
      <c r="EU205" s="231">
        <v>35369445</v>
      </c>
      <c r="EV205" s="231">
        <v>456455</v>
      </c>
      <c r="EW205" s="231">
        <v>463402</v>
      </c>
      <c r="EX205" s="231">
        <v>-6947</v>
      </c>
      <c r="EY205" s="229">
        <v>-1.4999999999999999E-2</v>
      </c>
      <c r="EZ205" s="229">
        <v>0.3674</v>
      </c>
      <c r="FA205" s="227" t="s">
        <v>556</v>
      </c>
      <c r="FB205" s="161">
        <f t="shared" si="5"/>
        <v>0</v>
      </c>
    </row>
    <row r="206" spans="1:158" ht="17.25" thickBot="1" x14ac:dyDescent="0.3">
      <c r="A206" s="226">
        <v>45936</v>
      </c>
      <c r="B206" s="227" t="s">
        <v>157</v>
      </c>
      <c r="C206" s="227" t="s">
        <v>302</v>
      </c>
      <c r="D206" s="228">
        <v>50</v>
      </c>
      <c r="E206" s="231">
        <v>12097</v>
      </c>
      <c r="F206" s="231">
        <v>12096</v>
      </c>
      <c r="G206" s="228">
        <v>1</v>
      </c>
      <c r="H206" s="229">
        <v>1E-4</v>
      </c>
      <c r="I206" s="231">
        <v>12055</v>
      </c>
      <c r="J206" s="231">
        <v>12019</v>
      </c>
      <c r="K206" s="228">
        <v>36</v>
      </c>
      <c r="L206" s="229">
        <v>3.0000000000000001E-3</v>
      </c>
      <c r="M206" s="231">
        <v>12097</v>
      </c>
      <c r="N206" s="231">
        <v>12096</v>
      </c>
      <c r="O206" s="228">
        <v>1</v>
      </c>
      <c r="P206" s="229">
        <v>1E-4</v>
      </c>
      <c r="Q206" s="231">
        <v>12173</v>
      </c>
      <c r="R206" s="231">
        <v>12155</v>
      </c>
      <c r="S206" s="228">
        <v>18</v>
      </c>
      <c r="T206" s="229">
        <v>1.5E-3</v>
      </c>
      <c r="U206" s="231">
        <v>12250</v>
      </c>
      <c r="V206" s="231">
        <v>12228</v>
      </c>
      <c r="W206" s="228">
        <v>22</v>
      </c>
      <c r="X206" s="229">
        <v>1.8E-3</v>
      </c>
      <c r="Y206" s="228">
        <v>42</v>
      </c>
      <c r="Z206" s="228">
        <v>77</v>
      </c>
      <c r="AA206" s="228">
        <v>-35</v>
      </c>
      <c r="AB206" s="229">
        <v>3.5000000000000001E-3</v>
      </c>
      <c r="AC206" s="228">
        <v>42</v>
      </c>
      <c r="AD206" s="228">
        <v>77</v>
      </c>
      <c r="AE206" s="228">
        <v>-35</v>
      </c>
      <c r="AF206" s="229">
        <v>3.5000000000000001E-3</v>
      </c>
      <c r="AG206" s="228">
        <v>118</v>
      </c>
      <c r="AH206" s="228">
        <v>136</v>
      </c>
      <c r="AI206" s="228">
        <v>-18</v>
      </c>
      <c r="AJ206" s="229">
        <v>9.7999999999999997E-3</v>
      </c>
      <c r="AK206" s="228">
        <v>195</v>
      </c>
      <c r="AL206" s="228">
        <v>209</v>
      </c>
      <c r="AM206" s="228">
        <v>-14</v>
      </c>
      <c r="AN206" s="229">
        <v>1.6199999999999999E-2</v>
      </c>
      <c r="AO206" s="231">
        <v>12105.84</v>
      </c>
      <c r="AP206" s="231">
        <v>12167.33</v>
      </c>
      <c r="AQ206" s="228">
        <v>0</v>
      </c>
      <c r="AR206" s="230">
        <v>167250</v>
      </c>
      <c r="AS206" s="230">
        <v>269650</v>
      </c>
      <c r="AT206" s="230">
        <v>-102400</v>
      </c>
      <c r="AU206" s="229">
        <v>-0.37980000000000003</v>
      </c>
      <c r="AV206" s="230">
        <v>164100</v>
      </c>
      <c r="AW206" s="230">
        <v>261300</v>
      </c>
      <c r="AX206" s="230">
        <v>-97200</v>
      </c>
      <c r="AY206" s="229">
        <v>-0.372</v>
      </c>
      <c r="AZ206" s="230">
        <v>3000</v>
      </c>
      <c r="BA206" s="230">
        <v>7550</v>
      </c>
      <c r="BB206" s="230">
        <v>-4550</v>
      </c>
      <c r="BC206" s="229">
        <v>-0.60260000000000002</v>
      </c>
      <c r="BD206" s="228">
        <v>150</v>
      </c>
      <c r="BE206" s="228">
        <v>800</v>
      </c>
      <c r="BF206" s="228">
        <v>-650</v>
      </c>
      <c r="BG206" s="229">
        <v>-0.8125</v>
      </c>
      <c r="BH206" s="230">
        <v>674300</v>
      </c>
      <c r="BI206" s="230">
        <v>804300</v>
      </c>
      <c r="BJ206" s="230">
        <v>-130000</v>
      </c>
      <c r="BK206" s="229">
        <v>-0.16159999999999999</v>
      </c>
      <c r="BL206" s="230">
        <v>291050</v>
      </c>
      <c r="BM206" s="230">
        <v>487600</v>
      </c>
      <c r="BN206" s="230">
        <v>-196550</v>
      </c>
      <c r="BO206" s="229">
        <v>-0.40310000000000001</v>
      </c>
      <c r="BP206" s="230">
        <v>1132600</v>
      </c>
      <c r="BQ206" s="230">
        <v>1561550</v>
      </c>
      <c r="BR206" s="230">
        <v>-428950</v>
      </c>
      <c r="BS206" s="229">
        <v>-0.2747</v>
      </c>
      <c r="BT206" s="230">
        <v>109091</v>
      </c>
      <c r="BU206" s="230">
        <v>263963</v>
      </c>
      <c r="BV206" s="230">
        <v>-154872</v>
      </c>
      <c r="BW206" s="229">
        <v>-0.5867</v>
      </c>
      <c r="BX206" s="230">
        <v>2444300</v>
      </c>
      <c r="BY206" s="230">
        <v>2465450</v>
      </c>
      <c r="BZ206" s="230">
        <v>-21150</v>
      </c>
      <c r="CA206" s="229">
        <v>-8.6E-3</v>
      </c>
      <c r="CB206" s="230">
        <v>2425950</v>
      </c>
      <c r="CC206" s="230">
        <v>2447100</v>
      </c>
      <c r="CD206" s="230">
        <v>-21150</v>
      </c>
      <c r="CE206" s="229">
        <v>-8.6E-3</v>
      </c>
      <c r="CF206" s="230">
        <v>17450</v>
      </c>
      <c r="CG206" s="230">
        <v>17550</v>
      </c>
      <c r="CH206" s="228">
        <v>-100</v>
      </c>
      <c r="CI206" s="229">
        <v>-5.7000000000000002E-3</v>
      </c>
      <c r="CJ206" s="228">
        <v>900</v>
      </c>
      <c r="CK206" s="228">
        <v>800</v>
      </c>
      <c r="CL206" s="228">
        <v>100</v>
      </c>
      <c r="CM206" s="229">
        <v>0.125</v>
      </c>
      <c r="CN206" s="230">
        <v>608900</v>
      </c>
      <c r="CO206" s="230">
        <v>554750</v>
      </c>
      <c r="CP206" s="230">
        <v>54150</v>
      </c>
      <c r="CQ206" s="229">
        <v>9.7600000000000006E-2</v>
      </c>
      <c r="CR206" s="230">
        <v>358600</v>
      </c>
      <c r="CS206" s="230">
        <v>347900</v>
      </c>
      <c r="CT206" s="230">
        <v>10700</v>
      </c>
      <c r="CU206" s="229">
        <v>3.0800000000000001E-2</v>
      </c>
      <c r="CV206" s="230">
        <v>3411800</v>
      </c>
      <c r="CW206" s="230">
        <v>3368100</v>
      </c>
      <c r="CX206" s="230">
        <v>43700</v>
      </c>
      <c r="CY206" s="229">
        <v>1.2999999999999999E-2</v>
      </c>
      <c r="CZ206" s="228">
        <v>21.13</v>
      </c>
      <c r="DA206" s="228">
        <v>20.8</v>
      </c>
      <c r="DB206" s="228">
        <v>0.33</v>
      </c>
      <c r="DC206" s="228">
        <v>0.33</v>
      </c>
      <c r="DD206" s="228">
        <v>25.49</v>
      </c>
      <c r="DE206" s="228">
        <v>25.56</v>
      </c>
      <c r="DF206" s="228">
        <v>-4.3600000000000003</v>
      </c>
      <c r="DG206" s="228">
        <v>-7.0000000000000007E-2</v>
      </c>
      <c r="DH206" s="228">
        <v>21.31</v>
      </c>
      <c r="DI206" s="228">
        <v>20.71</v>
      </c>
      <c r="DJ206" s="228">
        <v>0.6</v>
      </c>
      <c r="DK206" s="228">
        <v>0.6</v>
      </c>
      <c r="DL206" s="228">
        <v>20.7</v>
      </c>
      <c r="DM206" s="228">
        <v>20.95</v>
      </c>
      <c r="DN206" s="228">
        <v>-0.25</v>
      </c>
      <c r="DO206" s="228">
        <v>-0.25</v>
      </c>
      <c r="DP206" s="228">
        <v>0.59</v>
      </c>
      <c r="DQ206" s="228">
        <v>0.63</v>
      </c>
      <c r="DR206" s="228">
        <v>-0.04</v>
      </c>
      <c r="DS206" s="229">
        <v>-6.3500000000000001E-2</v>
      </c>
      <c r="DT206" s="231">
        <v>13000</v>
      </c>
      <c r="DU206" s="231">
        <v>12000</v>
      </c>
      <c r="DV206" s="228">
        <v>0.43</v>
      </c>
      <c r="DW206" s="228">
        <v>0.61</v>
      </c>
      <c r="DX206" s="228">
        <v>-0.18</v>
      </c>
      <c r="DY206" s="229">
        <v>-0.29509999999999997</v>
      </c>
      <c r="DZ206" s="229">
        <v>7.4999999999999997E-3</v>
      </c>
      <c r="EA206" s="230">
        <v>18350</v>
      </c>
      <c r="EB206" s="229">
        <v>6.3E-3</v>
      </c>
      <c r="EC206" s="229">
        <v>7.4999999999999997E-3</v>
      </c>
      <c r="ED206" s="228">
        <v>61.49</v>
      </c>
      <c r="EE206" s="229">
        <v>5.1000000000000004E-3</v>
      </c>
      <c r="EF206" s="230">
        <v>64144</v>
      </c>
      <c r="EG206" s="230">
        <v>187463</v>
      </c>
      <c r="EH206" s="229">
        <v>-0.65780000000000005</v>
      </c>
      <c r="EI206" s="229">
        <v>0.58799999999999997</v>
      </c>
      <c r="EJ206" s="231">
        <v>84876.160000000003</v>
      </c>
      <c r="EK206" s="231">
        <v>35156.5</v>
      </c>
      <c r="EL206" s="231">
        <v>20249.05</v>
      </c>
      <c r="EM206" s="231">
        <v>12621</v>
      </c>
      <c r="EN206" s="231">
        <v>140281.71</v>
      </c>
      <c r="EO206" s="231">
        <v>191653.77</v>
      </c>
      <c r="EP206" s="231">
        <v>-51372.06</v>
      </c>
      <c r="EQ206" s="229">
        <v>-0.26800000000000002</v>
      </c>
      <c r="ER206" s="231">
        <v>77540</v>
      </c>
      <c r="ES206" s="231">
        <v>42207</v>
      </c>
      <c r="ET206" s="231">
        <v>295702</v>
      </c>
      <c r="EU206" s="231">
        <v>11962066</v>
      </c>
      <c r="EV206" s="231">
        <v>415448</v>
      </c>
      <c r="EW206" s="231">
        <v>409877</v>
      </c>
      <c r="EX206" s="231">
        <v>5571</v>
      </c>
      <c r="EY206" s="229">
        <v>1.3599999999999999E-2</v>
      </c>
      <c r="EZ206" s="229">
        <v>0.28520000000000001</v>
      </c>
      <c r="FA206" s="227" t="s">
        <v>556</v>
      </c>
      <c r="FB206" s="161">
        <f t="shared" si="5"/>
        <v>0</v>
      </c>
    </row>
    <row r="207" spans="1:158" ht="17.25" thickBot="1" x14ac:dyDescent="0.3">
      <c r="A207" s="226">
        <v>45936</v>
      </c>
      <c r="B207" s="227" t="s">
        <v>172</v>
      </c>
      <c r="C207" s="227" t="s">
        <v>594</v>
      </c>
      <c r="D207" s="228">
        <v>4425</v>
      </c>
      <c r="E207" s="228">
        <v>137.21</v>
      </c>
      <c r="F207" s="228">
        <v>138.25</v>
      </c>
      <c r="G207" s="228">
        <v>-1.04</v>
      </c>
      <c r="H207" s="229">
        <v>-7.4999999999999997E-3</v>
      </c>
      <c r="I207" s="228">
        <v>136.68</v>
      </c>
      <c r="J207" s="228">
        <v>137.71</v>
      </c>
      <c r="K207" s="228">
        <v>-1.03</v>
      </c>
      <c r="L207" s="229">
        <v>-7.4999999999999997E-3</v>
      </c>
      <c r="M207" s="228">
        <v>137.21</v>
      </c>
      <c r="N207" s="228">
        <v>138.25</v>
      </c>
      <c r="O207" s="228">
        <v>-1.04</v>
      </c>
      <c r="P207" s="229">
        <v>-7.4999999999999997E-3</v>
      </c>
      <c r="Q207" s="228">
        <v>137.9</v>
      </c>
      <c r="R207" s="228">
        <v>139</v>
      </c>
      <c r="S207" s="228">
        <v>-1.1000000000000001</v>
      </c>
      <c r="T207" s="229">
        <v>-7.9000000000000008E-3</v>
      </c>
      <c r="U207" s="228">
        <v>138.82</v>
      </c>
      <c r="V207" s="228">
        <v>139.80000000000001</v>
      </c>
      <c r="W207" s="228">
        <v>-0.98</v>
      </c>
      <c r="X207" s="229">
        <v>-7.0000000000000001E-3</v>
      </c>
      <c r="Y207" s="228">
        <v>0.53</v>
      </c>
      <c r="Z207" s="228">
        <v>0.54</v>
      </c>
      <c r="AA207" s="228">
        <v>-0.01</v>
      </c>
      <c r="AB207" s="229">
        <v>3.8999999999999998E-3</v>
      </c>
      <c r="AC207" s="228">
        <v>0.53</v>
      </c>
      <c r="AD207" s="228">
        <v>0.54</v>
      </c>
      <c r="AE207" s="228">
        <v>-0.01</v>
      </c>
      <c r="AF207" s="229">
        <v>3.8999999999999998E-3</v>
      </c>
      <c r="AG207" s="228">
        <v>1.22</v>
      </c>
      <c r="AH207" s="228">
        <v>1.29</v>
      </c>
      <c r="AI207" s="228">
        <v>-7.0000000000000007E-2</v>
      </c>
      <c r="AJ207" s="229">
        <v>8.8999999999999999E-3</v>
      </c>
      <c r="AK207" s="228">
        <v>2.14</v>
      </c>
      <c r="AL207" s="228">
        <v>2.09</v>
      </c>
      <c r="AM207" s="228">
        <v>0.05</v>
      </c>
      <c r="AN207" s="229">
        <v>1.5699999999999999E-2</v>
      </c>
      <c r="AO207" s="228">
        <v>136.88999999999999</v>
      </c>
      <c r="AP207" s="228">
        <v>137.91</v>
      </c>
      <c r="AQ207" s="228">
        <v>0</v>
      </c>
      <c r="AR207" s="230">
        <v>19182375</v>
      </c>
      <c r="AS207" s="230">
        <v>28895250</v>
      </c>
      <c r="AT207" s="230">
        <v>-9712875</v>
      </c>
      <c r="AU207" s="229">
        <v>-0.33610000000000001</v>
      </c>
      <c r="AV207" s="230">
        <v>18027450</v>
      </c>
      <c r="AW207" s="230">
        <v>27284550</v>
      </c>
      <c r="AX207" s="230">
        <v>-9257100</v>
      </c>
      <c r="AY207" s="229">
        <v>-0.33929999999999999</v>
      </c>
      <c r="AZ207" s="230">
        <v>1092975</v>
      </c>
      <c r="BA207" s="230">
        <v>1473525</v>
      </c>
      <c r="BB207" s="230">
        <v>-380550</v>
      </c>
      <c r="BC207" s="229">
        <v>-0.25829999999999997</v>
      </c>
      <c r="BD207" s="230">
        <v>61950</v>
      </c>
      <c r="BE207" s="230">
        <v>137175</v>
      </c>
      <c r="BF207" s="230">
        <v>-75225</v>
      </c>
      <c r="BG207" s="229">
        <v>-0.5484</v>
      </c>
      <c r="BH207" s="230">
        <v>29877600</v>
      </c>
      <c r="BI207" s="230">
        <v>52042425</v>
      </c>
      <c r="BJ207" s="230">
        <v>-22164825</v>
      </c>
      <c r="BK207" s="229">
        <v>-0.4259</v>
      </c>
      <c r="BL207" s="230">
        <v>11425350</v>
      </c>
      <c r="BM207" s="230">
        <v>26005725</v>
      </c>
      <c r="BN207" s="230">
        <v>-14580375</v>
      </c>
      <c r="BO207" s="229">
        <v>-0.56069999999999998</v>
      </c>
      <c r="BP207" s="230">
        <v>60485325</v>
      </c>
      <c r="BQ207" s="230">
        <v>106943400</v>
      </c>
      <c r="BR207" s="230">
        <v>-46458075</v>
      </c>
      <c r="BS207" s="229">
        <v>-0.43440000000000001</v>
      </c>
      <c r="BT207" s="230">
        <v>10523361</v>
      </c>
      <c r="BU207" s="230">
        <v>12799213</v>
      </c>
      <c r="BV207" s="230">
        <v>-2275852</v>
      </c>
      <c r="BW207" s="229">
        <v>-0.17780000000000001</v>
      </c>
      <c r="BX207" s="230">
        <v>91155000</v>
      </c>
      <c r="BY207" s="230">
        <v>90566475</v>
      </c>
      <c r="BZ207" s="230">
        <v>588525</v>
      </c>
      <c r="CA207" s="229">
        <v>6.4999999999999997E-3</v>
      </c>
      <c r="CB207" s="230">
        <v>88278750</v>
      </c>
      <c r="CC207" s="230">
        <v>87933600</v>
      </c>
      <c r="CD207" s="230">
        <v>345150</v>
      </c>
      <c r="CE207" s="229">
        <v>3.8999999999999998E-3</v>
      </c>
      <c r="CF207" s="230">
        <v>2650575</v>
      </c>
      <c r="CG207" s="230">
        <v>2455875</v>
      </c>
      <c r="CH207" s="230">
        <v>194700</v>
      </c>
      <c r="CI207" s="229">
        <v>7.9299999999999995E-2</v>
      </c>
      <c r="CJ207" s="230">
        <v>225675</v>
      </c>
      <c r="CK207" s="230">
        <v>177000</v>
      </c>
      <c r="CL207" s="230">
        <v>48675</v>
      </c>
      <c r="CM207" s="229">
        <v>0.27500000000000002</v>
      </c>
      <c r="CN207" s="230">
        <v>24762300</v>
      </c>
      <c r="CO207" s="230">
        <v>22580775</v>
      </c>
      <c r="CP207" s="230">
        <v>2181525</v>
      </c>
      <c r="CQ207" s="229">
        <v>9.6600000000000005E-2</v>
      </c>
      <c r="CR207" s="230">
        <v>16022925</v>
      </c>
      <c r="CS207" s="230">
        <v>15217575</v>
      </c>
      <c r="CT207" s="230">
        <v>805350</v>
      </c>
      <c r="CU207" s="229">
        <v>5.2900000000000003E-2</v>
      </c>
      <c r="CV207" s="230">
        <v>131940225</v>
      </c>
      <c r="CW207" s="230">
        <v>128364825</v>
      </c>
      <c r="CX207" s="230">
        <v>3575400</v>
      </c>
      <c r="CY207" s="229">
        <v>2.7900000000000001E-2</v>
      </c>
      <c r="CZ207" s="228">
        <v>32.43</v>
      </c>
      <c r="DA207" s="228">
        <v>31.25</v>
      </c>
      <c r="DB207" s="228">
        <v>1.18</v>
      </c>
      <c r="DC207" s="228">
        <v>1.18</v>
      </c>
      <c r="DD207" s="228">
        <v>43.06</v>
      </c>
      <c r="DE207" s="228">
        <v>43.16</v>
      </c>
      <c r="DF207" s="228">
        <v>-10.63</v>
      </c>
      <c r="DG207" s="228">
        <v>-0.1</v>
      </c>
      <c r="DH207" s="228">
        <v>32.58</v>
      </c>
      <c r="DI207" s="228">
        <v>31.39</v>
      </c>
      <c r="DJ207" s="228">
        <v>1.19</v>
      </c>
      <c r="DK207" s="228">
        <v>1.19</v>
      </c>
      <c r="DL207" s="228">
        <v>32.04</v>
      </c>
      <c r="DM207" s="228">
        <v>30.98</v>
      </c>
      <c r="DN207" s="228">
        <v>1.06</v>
      </c>
      <c r="DO207" s="228">
        <v>1.06</v>
      </c>
      <c r="DP207" s="228">
        <v>0.65</v>
      </c>
      <c r="DQ207" s="228">
        <v>0.67</v>
      </c>
      <c r="DR207" s="228">
        <v>-0.02</v>
      </c>
      <c r="DS207" s="229">
        <v>-2.9899999999999999E-2</v>
      </c>
      <c r="DT207" s="228">
        <v>140</v>
      </c>
      <c r="DU207" s="228">
        <v>140</v>
      </c>
      <c r="DV207" s="228">
        <v>0.38</v>
      </c>
      <c r="DW207" s="228">
        <v>0.5</v>
      </c>
      <c r="DX207" s="228">
        <v>-0.12</v>
      </c>
      <c r="DY207" s="229">
        <v>-0.24</v>
      </c>
      <c r="DZ207" s="229">
        <v>3.1600000000000003E-2</v>
      </c>
      <c r="EA207" s="230">
        <v>2632875</v>
      </c>
      <c r="EB207" s="229">
        <v>5.0000000000000001E-3</v>
      </c>
      <c r="EC207" s="229">
        <v>3.1600000000000003E-2</v>
      </c>
      <c r="ED207" s="228">
        <v>1.02</v>
      </c>
      <c r="EE207" s="229">
        <v>7.4999999999999997E-3</v>
      </c>
      <c r="EF207" s="230">
        <v>3804021</v>
      </c>
      <c r="EG207" s="230">
        <v>3796416</v>
      </c>
      <c r="EH207" s="229">
        <v>2E-3</v>
      </c>
      <c r="EI207" s="229">
        <v>0.36149999999999999</v>
      </c>
      <c r="EJ207" s="231">
        <v>43138.82</v>
      </c>
      <c r="EK207" s="231">
        <v>15843.88</v>
      </c>
      <c r="EL207" s="231">
        <v>26270.6</v>
      </c>
      <c r="EM207" s="231">
        <v>8765</v>
      </c>
      <c r="EN207" s="231">
        <v>85253.3</v>
      </c>
      <c r="EO207" s="231">
        <v>151926.65</v>
      </c>
      <c r="EP207" s="231">
        <v>-66673.350000000006</v>
      </c>
      <c r="EQ207" s="229">
        <v>-0.43890000000000001</v>
      </c>
      <c r="ER207" s="231">
        <v>35529</v>
      </c>
      <c r="ES207" s="231">
        <v>21625</v>
      </c>
      <c r="ET207" s="231">
        <v>125096</v>
      </c>
      <c r="EU207" s="231">
        <v>289041713</v>
      </c>
      <c r="EV207" s="231">
        <v>182250</v>
      </c>
      <c r="EW207" s="231">
        <v>178228</v>
      </c>
      <c r="EX207" s="231">
        <v>4022</v>
      </c>
      <c r="EY207" s="229">
        <v>2.2599999999999999E-2</v>
      </c>
      <c r="EZ207" s="229">
        <v>0.45650000000000002</v>
      </c>
      <c r="FA207" s="227" t="s">
        <v>567</v>
      </c>
      <c r="FB207" s="161">
        <f t="shared" si="5"/>
        <v>0</v>
      </c>
    </row>
    <row r="208" spans="1:158" ht="17.25" thickBot="1" x14ac:dyDescent="0.3">
      <c r="A208" s="226">
        <v>45936</v>
      </c>
      <c r="B208" s="227" t="s">
        <v>168</v>
      </c>
      <c r="C208" s="227" t="s">
        <v>569</v>
      </c>
      <c r="D208" s="228">
        <v>400</v>
      </c>
      <c r="E208" s="231">
        <v>1366.6</v>
      </c>
      <c r="F208" s="231">
        <v>1369.5</v>
      </c>
      <c r="G208" s="228">
        <v>-2.9</v>
      </c>
      <c r="H208" s="229">
        <v>-2.0999999999999999E-3</v>
      </c>
      <c r="I208" s="231">
        <v>1361</v>
      </c>
      <c r="J208" s="231">
        <v>1362.6</v>
      </c>
      <c r="K208" s="228">
        <v>-1.6</v>
      </c>
      <c r="L208" s="229">
        <v>-1.1999999999999999E-3</v>
      </c>
      <c r="M208" s="231">
        <v>1366.6</v>
      </c>
      <c r="N208" s="231">
        <v>1369.5</v>
      </c>
      <c r="O208" s="228">
        <v>-2.9</v>
      </c>
      <c r="P208" s="229">
        <v>-2.0999999999999999E-3</v>
      </c>
      <c r="Q208" s="231">
        <v>1374.7</v>
      </c>
      <c r="R208" s="231">
        <v>1376.7</v>
      </c>
      <c r="S208" s="228">
        <v>-2</v>
      </c>
      <c r="T208" s="229">
        <v>-1.5E-3</v>
      </c>
      <c r="U208" s="231">
        <v>1382</v>
      </c>
      <c r="V208" s="231">
        <v>1383.6</v>
      </c>
      <c r="W208" s="228">
        <v>-1.6</v>
      </c>
      <c r="X208" s="229">
        <v>-1.1999999999999999E-3</v>
      </c>
      <c r="Y208" s="228">
        <v>5.6</v>
      </c>
      <c r="Z208" s="228">
        <v>6.9</v>
      </c>
      <c r="AA208" s="228">
        <v>-1.3</v>
      </c>
      <c r="AB208" s="229">
        <v>4.1000000000000003E-3</v>
      </c>
      <c r="AC208" s="228">
        <v>5.6</v>
      </c>
      <c r="AD208" s="228">
        <v>6.9</v>
      </c>
      <c r="AE208" s="228">
        <v>-1.3</v>
      </c>
      <c r="AF208" s="229">
        <v>4.1000000000000003E-3</v>
      </c>
      <c r="AG208" s="228">
        <v>13.7</v>
      </c>
      <c r="AH208" s="228">
        <v>14.1</v>
      </c>
      <c r="AI208" s="228">
        <v>-0.4</v>
      </c>
      <c r="AJ208" s="229">
        <v>1.01E-2</v>
      </c>
      <c r="AK208" s="228">
        <v>21</v>
      </c>
      <c r="AL208" s="228">
        <v>21</v>
      </c>
      <c r="AM208" s="228">
        <v>0</v>
      </c>
      <c r="AN208" s="229">
        <v>1.54E-2</v>
      </c>
      <c r="AO208" s="231">
        <v>1361.17</v>
      </c>
      <c r="AP208" s="231">
        <v>1369.74</v>
      </c>
      <c r="AQ208" s="228">
        <v>0</v>
      </c>
      <c r="AR208" s="230">
        <v>1039200</v>
      </c>
      <c r="AS208" s="230">
        <v>1419200</v>
      </c>
      <c r="AT208" s="230">
        <v>-380000</v>
      </c>
      <c r="AU208" s="229">
        <v>-0.26779999999999998</v>
      </c>
      <c r="AV208" s="230">
        <v>955200</v>
      </c>
      <c r="AW208" s="230">
        <v>1340400</v>
      </c>
      <c r="AX208" s="230">
        <v>-385200</v>
      </c>
      <c r="AY208" s="229">
        <v>-0.28739999999999999</v>
      </c>
      <c r="AZ208" s="230">
        <v>79600</v>
      </c>
      <c r="BA208" s="230">
        <v>74400</v>
      </c>
      <c r="BB208" s="230">
        <v>5200</v>
      </c>
      <c r="BC208" s="229">
        <v>6.9900000000000004E-2</v>
      </c>
      <c r="BD208" s="230">
        <v>4400</v>
      </c>
      <c r="BE208" s="230">
        <v>4400</v>
      </c>
      <c r="BF208" s="228">
        <v>0</v>
      </c>
      <c r="BG208" s="229">
        <v>0</v>
      </c>
      <c r="BH208" s="230">
        <v>3040000</v>
      </c>
      <c r="BI208" s="230">
        <v>4838800</v>
      </c>
      <c r="BJ208" s="230">
        <v>-1798800</v>
      </c>
      <c r="BK208" s="229">
        <v>-0.37169999999999997</v>
      </c>
      <c r="BL208" s="230">
        <v>907600</v>
      </c>
      <c r="BM208" s="230">
        <v>1122000</v>
      </c>
      <c r="BN208" s="230">
        <v>-214400</v>
      </c>
      <c r="BO208" s="229">
        <v>-0.19109999999999999</v>
      </c>
      <c r="BP208" s="230">
        <v>4986800</v>
      </c>
      <c r="BQ208" s="230">
        <v>7380000</v>
      </c>
      <c r="BR208" s="230">
        <v>-2393200</v>
      </c>
      <c r="BS208" s="229">
        <v>-0.32429999999999998</v>
      </c>
      <c r="BT208" s="230">
        <v>440040</v>
      </c>
      <c r="BU208" s="230">
        <v>1087554</v>
      </c>
      <c r="BV208" s="230">
        <v>-647514</v>
      </c>
      <c r="BW208" s="229">
        <v>-0.59540000000000004</v>
      </c>
      <c r="BX208" s="230">
        <v>13796000</v>
      </c>
      <c r="BY208" s="230">
        <v>13859600</v>
      </c>
      <c r="BZ208" s="230">
        <v>-63600</v>
      </c>
      <c r="CA208" s="229">
        <v>-4.5999999999999999E-3</v>
      </c>
      <c r="CB208" s="230">
        <v>13498400</v>
      </c>
      <c r="CC208" s="230">
        <v>13592400</v>
      </c>
      <c r="CD208" s="230">
        <v>-94000</v>
      </c>
      <c r="CE208" s="229">
        <v>-6.8999999999999999E-3</v>
      </c>
      <c r="CF208" s="230">
        <v>286400</v>
      </c>
      <c r="CG208" s="230">
        <v>258400</v>
      </c>
      <c r="CH208" s="230">
        <v>28000</v>
      </c>
      <c r="CI208" s="229">
        <v>0.1084</v>
      </c>
      <c r="CJ208" s="230">
        <v>11200</v>
      </c>
      <c r="CK208" s="230">
        <v>8800</v>
      </c>
      <c r="CL208" s="230">
        <v>2400</v>
      </c>
      <c r="CM208" s="229">
        <v>0.2727</v>
      </c>
      <c r="CN208" s="230">
        <v>3712400</v>
      </c>
      <c r="CO208" s="230">
        <v>3326400</v>
      </c>
      <c r="CP208" s="230">
        <v>386000</v>
      </c>
      <c r="CQ208" s="229">
        <v>0.11600000000000001</v>
      </c>
      <c r="CR208" s="230">
        <v>2192400</v>
      </c>
      <c r="CS208" s="230">
        <v>2089200</v>
      </c>
      <c r="CT208" s="230">
        <v>103200</v>
      </c>
      <c r="CU208" s="229">
        <v>4.9399999999999999E-2</v>
      </c>
      <c r="CV208" s="230">
        <v>19700800</v>
      </c>
      <c r="CW208" s="230">
        <v>19275200</v>
      </c>
      <c r="CX208" s="230">
        <v>425600</v>
      </c>
      <c r="CY208" s="229">
        <v>2.2100000000000002E-2</v>
      </c>
      <c r="CZ208" s="228">
        <v>23.63</v>
      </c>
      <c r="DA208" s="228">
        <v>23.18</v>
      </c>
      <c r="DB208" s="228">
        <v>0.45</v>
      </c>
      <c r="DC208" s="228">
        <v>0.45</v>
      </c>
      <c r="DD208" s="228">
        <v>28.38</v>
      </c>
      <c r="DE208" s="228">
        <v>28.45</v>
      </c>
      <c r="DF208" s="228">
        <v>-4.75</v>
      </c>
      <c r="DG208" s="228">
        <v>-7.0000000000000007E-2</v>
      </c>
      <c r="DH208" s="228">
        <v>23.81</v>
      </c>
      <c r="DI208" s="228">
        <v>23.29</v>
      </c>
      <c r="DJ208" s="228">
        <v>0.52</v>
      </c>
      <c r="DK208" s="228">
        <v>0.52</v>
      </c>
      <c r="DL208" s="228">
        <v>23.04</v>
      </c>
      <c r="DM208" s="228">
        <v>22.69</v>
      </c>
      <c r="DN208" s="228">
        <v>0.35</v>
      </c>
      <c r="DO208" s="228">
        <v>0.35</v>
      </c>
      <c r="DP208" s="228">
        <v>0.59</v>
      </c>
      <c r="DQ208" s="228">
        <v>0.63</v>
      </c>
      <c r="DR208" s="228">
        <v>-0.04</v>
      </c>
      <c r="DS208" s="229">
        <v>-6.3500000000000001E-2</v>
      </c>
      <c r="DT208" s="231">
        <v>1520</v>
      </c>
      <c r="DU208" s="231">
        <v>1300</v>
      </c>
      <c r="DV208" s="228">
        <v>0.3</v>
      </c>
      <c r="DW208" s="228">
        <v>0.23</v>
      </c>
      <c r="DX208" s="228">
        <v>7.0000000000000007E-2</v>
      </c>
      <c r="DY208" s="229">
        <v>0.30430000000000001</v>
      </c>
      <c r="DZ208" s="229">
        <v>2.1600000000000001E-2</v>
      </c>
      <c r="EA208" s="230">
        <v>267200</v>
      </c>
      <c r="EB208" s="229">
        <v>5.8999999999999999E-3</v>
      </c>
      <c r="EC208" s="229">
        <v>2.1600000000000001E-2</v>
      </c>
      <c r="ED208" s="228">
        <v>8.57</v>
      </c>
      <c r="EE208" s="229">
        <v>6.3E-3</v>
      </c>
      <c r="EF208" s="230">
        <v>200432</v>
      </c>
      <c r="EG208" s="230">
        <v>705093</v>
      </c>
      <c r="EH208" s="229">
        <v>-0.7157</v>
      </c>
      <c r="EI208" s="229">
        <v>0.45550000000000002</v>
      </c>
      <c r="EJ208" s="231">
        <v>43524.25</v>
      </c>
      <c r="EK208" s="231">
        <v>12160.23</v>
      </c>
      <c r="EL208" s="231">
        <v>14152.76</v>
      </c>
      <c r="EM208" s="231">
        <v>10398</v>
      </c>
      <c r="EN208" s="231">
        <v>69837.240000000005</v>
      </c>
      <c r="EO208" s="231">
        <v>103674.96</v>
      </c>
      <c r="EP208" s="231">
        <v>-33837.72</v>
      </c>
      <c r="EQ208" s="229">
        <v>-0.32640000000000002</v>
      </c>
      <c r="ER208" s="231">
        <v>52890</v>
      </c>
      <c r="ES208" s="231">
        <v>29707</v>
      </c>
      <c r="ET208" s="231">
        <v>188561</v>
      </c>
      <c r="EU208" s="231">
        <v>47269416</v>
      </c>
      <c r="EV208" s="231">
        <v>271159</v>
      </c>
      <c r="EW208" s="231">
        <v>265430</v>
      </c>
      <c r="EX208" s="231">
        <v>5729</v>
      </c>
      <c r="EY208" s="229">
        <v>2.1600000000000001E-2</v>
      </c>
      <c r="EZ208" s="229">
        <v>0.4168</v>
      </c>
      <c r="FA208" s="227" t="s">
        <v>568</v>
      </c>
      <c r="FB208" s="161">
        <f t="shared" si="5"/>
        <v>0</v>
      </c>
    </row>
    <row r="209" spans="1:158" ht="17.25" thickBot="1" x14ac:dyDescent="0.3">
      <c r="A209" s="226">
        <v>45936</v>
      </c>
      <c r="B209" s="227" t="s">
        <v>162</v>
      </c>
      <c r="C209" s="227" t="s">
        <v>676</v>
      </c>
      <c r="D209" s="228">
        <v>550</v>
      </c>
      <c r="E209" s="231">
        <v>1332.6</v>
      </c>
      <c r="F209" s="231">
        <v>1314.8</v>
      </c>
      <c r="G209" s="228">
        <v>17.8</v>
      </c>
      <c r="H209" s="229">
        <v>1.35E-2</v>
      </c>
      <c r="I209" s="231">
        <v>1335.9</v>
      </c>
      <c r="J209" s="231">
        <v>1316</v>
      </c>
      <c r="K209" s="228">
        <v>19.899999999999999</v>
      </c>
      <c r="L209" s="229">
        <v>1.5100000000000001E-2</v>
      </c>
      <c r="M209" s="231">
        <v>1332.6</v>
      </c>
      <c r="N209" s="231">
        <v>1314.8</v>
      </c>
      <c r="O209" s="228">
        <v>17.8</v>
      </c>
      <c r="P209" s="229">
        <v>1.35E-2</v>
      </c>
      <c r="Q209" s="231">
        <v>1336.6</v>
      </c>
      <c r="R209" s="231">
        <v>1315.4</v>
      </c>
      <c r="S209" s="228">
        <v>21.2</v>
      </c>
      <c r="T209" s="229">
        <v>1.61E-2</v>
      </c>
      <c r="U209" s="231">
        <v>1316</v>
      </c>
      <c r="V209" s="231">
        <v>1316</v>
      </c>
      <c r="W209" s="228">
        <v>0</v>
      </c>
      <c r="X209" s="229">
        <v>0</v>
      </c>
      <c r="Y209" s="228">
        <v>-3.3</v>
      </c>
      <c r="Z209" s="228">
        <v>-1.2</v>
      </c>
      <c r="AA209" s="228">
        <v>-2.1</v>
      </c>
      <c r="AB209" s="229">
        <v>-2.5000000000000001E-3</v>
      </c>
      <c r="AC209" s="228">
        <v>-3.3</v>
      </c>
      <c r="AD209" s="228">
        <v>-1.2</v>
      </c>
      <c r="AE209" s="228">
        <v>-2.1</v>
      </c>
      <c r="AF209" s="229">
        <v>-2.5000000000000001E-3</v>
      </c>
      <c r="AG209" s="228">
        <v>0.7</v>
      </c>
      <c r="AH209" s="228">
        <v>-0.6</v>
      </c>
      <c r="AI209" s="228">
        <v>1.3</v>
      </c>
      <c r="AJ209" s="229">
        <v>5.0000000000000001E-4</v>
      </c>
      <c r="AK209" s="228">
        <v>-19.899999999999999</v>
      </c>
      <c r="AL209" s="228">
        <v>0</v>
      </c>
      <c r="AM209" s="228">
        <v>-19.899999999999999</v>
      </c>
      <c r="AN209" s="229">
        <v>-1.49E-2</v>
      </c>
      <c r="AO209" s="231">
        <v>1327.05</v>
      </c>
      <c r="AP209" s="231">
        <v>1327.16</v>
      </c>
      <c r="AQ209" s="228">
        <v>0</v>
      </c>
      <c r="AR209" s="230">
        <v>495000</v>
      </c>
      <c r="AS209" s="230">
        <v>496650</v>
      </c>
      <c r="AT209" s="230">
        <v>-1650</v>
      </c>
      <c r="AU209" s="229">
        <v>-3.3E-3</v>
      </c>
      <c r="AV209" s="230">
        <v>469150</v>
      </c>
      <c r="AW209" s="230">
        <v>454850</v>
      </c>
      <c r="AX209" s="230">
        <v>14300</v>
      </c>
      <c r="AY209" s="229">
        <v>3.1399999999999997E-2</v>
      </c>
      <c r="AZ209" s="230">
        <v>25850</v>
      </c>
      <c r="BA209" s="230">
        <v>37400</v>
      </c>
      <c r="BB209" s="230">
        <v>-11550</v>
      </c>
      <c r="BC209" s="229">
        <v>-0.30880000000000002</v>
      </c>
      <c r="BD209" s="228">
        <v>0</v>
      </c>
      <c r="BE209" s="230">
        <v>4400</v>
      </c>
      <c r="BF209" s="230">
        <v>-4400</v>
      </c>
      <c r="BG209" s="229">
        <v>-1</v>
      </c>
      <c r="BH209" s="230">
        <v>1309000</v>
      </c>
      <c r="BI209" s="230">
        <v>607750</v>
      </c>
      <c r="BJ209" s="230">
        <v>701250</v>
      </c>
      <c r="BK209" s="229">
        <v>1.1537999999999999</v>
      </c>
      <c r="BL209" s="230">
        <v>242000</v>
      </c>
      <c r="BM209" s="230">
        <v>292050</v>
      </c>
      <c r="BN209" s="230">
        <v>-50050</v>
      </c>
      <c r="BO209" s="229">
        <v>-0.1714</v>
      </c>
      <c r="BP209" s="230">
        <v>2046000</v>
      </c>
      <c r="BQ209" s="230">
        <v>1396450</v>
      </c>
      <c r="BR209" s="230">
        <v>649550</v>
      </c>
      <c r="BS209" s="229">
        <v>0.46510000000000001</v>
      </c>
      <c r="BT209" s="230">
        <v>828068</v>
      </c>
      <c r="BU209" s="230">
        <v>656410</v>
      </c>
      <c r="BV209" s="230">
        <v>171658</v>
      </c>
      <c r="BW209" s="229">
        <v>0.26150000000000001</v>
      </c>
      <c r="BX209" s="230">
        <v>2902900</v>
      </c>
      <c r="BY209" s="230">
        <v>2939750</v>
      </c>
      <c r="BZ209" s="230">
        <v>-36850</v>
      </c>
      <c r="CA209" s="229">
        <v>-1.2500000000000001E-2</v>
      </c>
      <c r="CB209" s="230">
        <v>2828100</v>
      </c>
      <c r="CC209" s="230">
        <v>2873200</v>
      </c>
      <c r="CD209" s="230">
        <v>-45100</v>
      </c>
      <c r="CE209" s="229">
        <v>-1.5699999999999999E-2</v>
      </c>
      <c r="CF209" s="230">
        <v>68750</v>
      </c>
      <c r="CG209" s="230">
        <v>60500</v>
      </c>
      <c r="CH209" s="230">
        <v>8250</v>
      </c>
      <c r="CI209" s="229">
        <v>0.13639999999999999</v>
      </c>
      <c r="CJ209" s="230">
        <v>6050</v>
      </c>
      <c r="CK209" s="230">
        <v>6050</v>
      </c>
      <c r="CL209" s="228">
        <v>0</v>
      </c>
      <c r="CM209" s="229">
        <v>0</v>
      </c>
      <c r="CN209" s="230">
        <v>695200</v>
      </c>
      <c r="CO209" s="230">
        <v>630850</v>
      </c>
      <c r="CP209" s="230">
        <v>64350</v>
      </c>
      <c r="CQ209" s="229">
        <v>0.10199999999999999</v>
      </c>
      <c r="CR209" s="230">
        <v>519200</v>
      </c>
      <c r="CS209" s="230">
        <v>519750</v>
      </c>
      <c r="CT209" s="228">
        <v>-550</v>
      </c>
      <c r="CU209" s="229">
        <v>-1.1000000000000001E-3</v>
      </c>
      <c r="CV209" s="230">
        <v>4117300</v>
      </c>
      <c r="CW209" s="230">
        <v>4090350</v>
      </c>
      <c r="CX209" s="230">
        <v>26950</v>
      </c>
      <c r="CY209" s="229">
        <v>6.6E-3</v>
      </c>
      <c r="CZ209" s="228">
        <v>28.51</v>
      </c>
      <c r="DA209" s="228">
        <v>26.57</v>
      </c>
      <c r="DB209" s="228">
        <v>1.94</v>
      </c>
      <c r="DC209" s="228">
        <v>1.94</v>
      </c>
      <c r="DD209" s="228">
        <v>41.87</v>
      </c>
      <c r="DE209" s="228">
        <v>41.94</v>
      </c>
      <c r="DF209" s="228">
        <v>-13.36</v>
      </c>
      <c r="DG209" s="228">
        <v>-7.0000000000000007E-2</v>
      </c>
      <c r="DH209" s="228">
        <v>28.51</v>
      </c>
      <c r="DI209" s="228">
        <v>26.47</v>
      </c>
      <c r="DJ209" s="228">
        <v>2.04</v>
      </c>
      <c r="DK209" s="228">
        <v>2.04</v>
      </c>
      <c r="DL209" s="228">
        <v>28.5</v>
      </c>
      <c r="DM209" s="228">
        <v>26.77</v>
      </c>
      <c r="DN209" s="228">
        <v>1.73</v>
      </c>
      <c r="DO209" s="228">
        <v>1.73</v>
      </c>
      <c r="DP209" s="228">
        <v>0.75</v>
      </c>
      <c r="DQ209" s="228">
        <v>0.82</v>
      </c>
      <c r="DR209" s="228">
        <v>-7.0000000000000007E-2</v>
      </c>
      <c r="DS209" s="229">
        <v>-8.5400000000000004E-2</v>
      </c>
      <c r="DT209" s="231">
        <v>1340</v>
      </c>
      <c r="DU209" s="231">
        <v>1200</v>
      </c>
      <c r="DV209" s="228">
        <v>0.18</v>
      </c>
      <c r="DW209" s="228">
        <v>0.48</v>
      </c>
      <c r="DX209" s="228">
        <v>-0.3</v>
      </c>
      <c r="DY209" s="229">
        <v>-0.625</v>
      </c>
      <c r="DZ209" s="229">
        <v>2.58E-2</v>
      </c>
      <c r="EA209" s="230">
        <v>66550</v>
      </c>
      <c r="EB209" s="229">
        <v>3.0000000000000001E-3</v>
      </c>
      <c r="EC209" s="229">
        <v>2.58E-2</v>
      </c>
      <c r="ED209" s="228">
        <v>0.11</v>
      </c>
      <c r="EE209" s="229">
        <v>1E-4</v>
      </c>
      <c r="EF209" s="230">
        <v>504820</v>
      </c>
      <c r="EG209" s="230">
        <v>412736</v>
      </c>
      <c r="EH209" s="229">
        <v>0.22309999999999999</v>
      </c>
      <c r="EI209" s="229">
        <v>0.60960000000000003</v>
      </c>
      <c r="EJ209" s="231">
        <v>18130</v>
      </c>
      <c r="EK209" s="231">
        <v>3171.6</v>
      </c>
      <c r="EL209" s="231">
        <v>6568.94</v>
      </c>
      <c r="EM209" s="231">
        <v>2885</v>
      </c>
      <c r="EN209" s="231">
        <v>27870.54</v>
      </c>
      <c r="EO209" s="231">
        <v>18668.23</v>
      </c>
      <c r="EP209" s="231">
        <v>9202.31</v>
      </c>
      <c r="EQ209" s="229">
        <v>0.4929</v>
      </c>
      <c r="ER209" s="231">
        <v>9391</v>
      </c>
      <c r="ES209" s="231">
        <v>6524</v>
      </c>
      <c r="ET209" s="231">
        <v>38686</v>
      </c>
      <c r="EU209" s="231">
        <v>22813802</v>
      </c>
      <c r="EV209" s="231">
        <v>54602</v>
      </c>
      <c r="EW209" s="231">
        <v>53646</v>
      </c>
      <c r="EX209" s="228">
        <v>956</v>
      </c>
      <c r="EY209" s="229">
        <v>1.78E-2</v>
      </c>
      <c r="EZ209" s="229">
        <v>0.18049999999999999</v>
      </c>
      <c r="FA209" s="227" t="s">
        <v>556</v>
      </c>
      <c r="FB209" s="161">
        <f t="shared" si="5"/>
        <v>0</v>
      </c>
    </row>
    <row r="210" spans="1:158" ht="17.25" thickBot="1" x14ac:dyDescent="0.3">
      <c r="A210" s="226">
        <v>45936</v>
      </c>
      <c r="B210" s="227" t="s">
        <v>498</v>
      </c>
      <c r="C210" s="227" t="s">
        <v>303</v>
      </c>
      <c r="D210" s="228">
        <v>1355</v>
      </c>
      <c r="E210" s="228">
        <v>683.7</v>
      </c>
      <c r="F210" s="228">
        <v>677.45</v>
      </c>
      <c r="G210" s="228">
        <v>6.25</v>
      </c>
      <c r="H210" s="229">
        <v>9.1999999999999998E-3</v>
      </c>
      <c r="I210" s="228">
        <v>681.35</v>
      </c>
      <c r="J210" s="228">
        <v>674</v>
      </c>
      <c r="K210" s="228">
        <v>7.35</v>
      </c>
      <c r="L210" s="229">
        <v>1.09E-2</v>
      </c>
      <c r="M210" s="228">
        <v>683.7</v>
      </c>
      <c r="N210" s="228">
        <v>677.45</v>
      </c>
      <c r="O210" s="228">
        <v>6.25</v>
      </c>
      <c r="P210" s="229">
        <v>9.1999999999999998E-3</v>
      </c>
      <c r="Q210" s="228">
        <v>687</v>
      </c>
      <c r="R210" s="228">
        <v>680.9</v>
      </c>
      <c r="S210" s="228">
        <v>6.1</v>
      </c>
      <c r="T210" s="229">
        <v>8.9999999999999993E-3</v>
      </c>
      <c r="U210" s="228">
        <v>691.6</v>
      </c>
      <c r="V210" s="228">
        <v>684</v>
      </c>
      <c r="W210" s="228">
        <v>7.6</v>
      </c>
      <c r="X210" s="229">
        <v>1.11E-2</v>
      </c>
      <c r="Y210" s="228">
        <v>2.35</v>
      </c>
      <c r="Z210" s="228">
        <v>3.45</v>
      </c>
      <c r="AA210" s="228">
        <v>-1.1000000000000001</v>
      </c>
      <c r="AB210" s="229">
        <v>3.3999999999999998E-3</v>
      </c>
      <c r="AC210" s="228">
        <v>2.35</v>
      </c>
      <c r="AD210" s="228">
        <v>3.45</v>
      </c>
      <c r="AE210" s="228">
        <v>-1.1000000000000001</v>
      </c>
      <c r="AF210" s="229">
        <v>3.3999999999999998E-3</v>
      </c>
      <c r="AG210" s="228">
        <v>5.65</v>
      </c>
      <c r="AH210" s="228">
        <v>6.9</v>
      </c>
      <c r="AI210" s="228">
        <v>-1.25</v>
      </c>
      <c r="AJ210" s="229">
        <v>8.3000000000000001E-3</v>
      </c>
      <c r="AK210" s="228">
        <v>10.25</v>
      </c>
      <c r="AL210" s="228">
        <v>10</v>
      </c>
      <c r="AM210" s="228">
        <v>0.25</v>
      </c>
      <c r="AN210" s="229">
        <v>1.4999999999999999E-2</v>
      </c>
      <c r="AO210" s="228">
        <v>680.18</v>
      </c>
      <c r="AP210" s="228">
        <v>683.13</v>
      </c>
      <c r="AQ210" s="228">
        <v>0</v>
      </c>
      <c r="AR210" s="230">
        <v>3395630</v>
      </c>
      <c r="AS210" s="230">
        <v>7178790</v>
      </c>
      <c r="AT210" s="230">
        <v>-3783160</v>
      </c>
      <c r="AU210" s="229">
        <v>-0.52700000000000002</v>
      </c>
      <c r="AV210" s="230">
        <v>3216770</v>
      </c>
      <c r="AW210" s="230">
        <v>6822425</v>
      </c>
      <c r="AX210" s="230">
        <v>-3605655</v>
      </c>
      <c r="AY210" s="229">
        <v>-0.52849999999999997</v>
      </c>
      <c r="AZ210" s="230">
        <v>163955</v>
      </c>
      <c r="BA210" s="230">
        <v>304875</v>
      </c>
      <c r="BB210" s="230">
        <v>-140920</v>
      </c>
      <c r="BC210" s="229">
        <v>-0.4622</v>
      </c>
      <c r="BD210" s="230">
        <v>14905</v>
      </c>
      <c r="BE210" s="230">
        <v>51490</v>
      </c>
      <c r="BF210" s="230">
        <v>-36585</v>
      </c>
      <c r="BG210" s="229">
        <v>-0.71050000000000002</v>
      </c>
      <c r="BH210" s="230">
        <v>9199095</v>
      </c>
      <c r="BI210" s="230">
        <v>21982165</v>
      </c>
      <c r="BJ210" s="230">
        <v>-12783070</v>
      </c>
      <c r="BK210" s="229">
        <v>-0.58150000000000002</v>
      </c>
      <c r="BL210" s="230">
        <v>3768255</v>
      </c>
      <c r="BM210" s="230">
        <v>7384750</v>
      </c>
      <c r="BN210" s="230">
        <v>-3616495</v>
      </c>
      <c r="BO210" s="229">
        <v>-0.48970000000000002</v>
      </c>
      <c r="BP210" s="230">
        <v>16362980</v>
      </c>
      <c r="BQ210" s="230">
        <v>36545705</v>
      </c>
      <c r="BR210" s="230">
        <v>-20182725</v>
      </c>
      <c r="BS210" s="229">
        <v>-0.55230000000000001</v>
      </c>
      <c r="BT210" s="230">
        <v>915680</v>
      </c>
      <c r="BU210" s="230">
        <v>3832562</v>
      </c>
      <c r="BV210" s="230">
        <v>-2916882</v>
      </c>
      <c r="BW210" s="229">
        <v>-0.7611</v>
      </c>
      <c r="BX210" s="230">
        <v>33727305</v>
      </c>
      <c r="BY210" s="230">
        <v>34063345</v>
      </c>
      <c r="BZ210" s="230">
        <v>-336040</v>
      </c>
      <c r="CA210" s="229">
        <v>-9.9000000000000008E-3</v>
      </c>
      <c r="CB210" s="230">
        <v>33015930</v>
      </c>
      <c r="CC210" s="230">
        <v>33337065</v>
      </c>
      <c r="CD210" s="230">
        <v>-321135</v>
      </c>
      <c r="CE210" s="229">
        <v>-9.5999999999999992E-3</v>
      </c>
      <c r="CF210" s="230">
        <v>655820</v>
      </c>
      <c r="CG210" s="230">
        <v>678855</v>
      </c>
      <c r="CH210" s="230">
        <v>-23035</v>
      </c>
      <c r="CI210" s="229">
        <v>-3.39E-2</v>
      </c>
      <c r="CJ210" s="230">
        <v>55555</v>
      </c>
      <c r="CK210" s="230">
        <v>47425</v>
      </c>
      <c r="CL210" s="230">
        <v>8130</v>
      </c>
      <c r="CM210" s="229">
        <v>0.1714</v>
      </c>
      <c r="CN210" s="230">
        <v>6776355</v>
      </c>
      <c r="CO210" s="230">
        <v>6695055</v>
      </c>
      <c r="CP210" s="230">
        <v>81300</v>
      </c>
      <c r="CQ210" s="229">
        <v>1.21E-2</v>
      </c>
      <c r="CR210" s="230">
        <v>4569060</v>
      </c>
      <c r="CS210" s="230">
        <v>4574480</v>
      </c>
      <c r="CT210" s="230">
        <v>-5420</v>
      </c>
      <c r="CU210" s="229">
        <v>-1.1999999999999999E-3</v>
      </c>
      <c r="CV210" s="230">
        <v>45072720</v>
      </c>
      <c r="CW210" s="230">
        <v>45332880</v>
      </c>
      <c r="CX210" s="230">
        <v>-260160</v>
      </c>
      <c r="CY210" s="229">
        <v>-5.7000000000000002E-3</v>
      </c>
      <c r="CZ210" s="228">
        <v>24.98</v>
      </c>
      <c r="DA210" s="228">
        <v>24.37</v>
      </c>
      <c r="DB210" s="228">
        <v>0.61</v>
      </c>
      <c r="DC210" s="228">
        <v>0.61</v>
      </c>
      <c r="DD210" s="228">
        <v>34.409999999999997</v>
      </c>
      <c r="DE210" s="228">
        <v>34.479999999999997</v>
      </c>
      <c r="DF210" s="228">
        <v>-9.43</v>
      </c>
      <c r="DG210" s="228">
        <v>-7.0000000000000007E-2</v>
      </c>
      <c r="DH210" s="228">
        <v>24.74</v>
      </c>
      <c r="DI210" s="228">
        <v>24.22</v>
      </c>
      <c r="DJ210" s="228">
        <v>0.52</v>
      </c>
      <c r="DK210" s="228">
        <v>0.52</v>
      </c>
      <c r="DL210" s="228">
        <v>25.57</v>
      </c>
      <c r="DM210" s="228">
        <v>24.81</v>
      </c>
      <c r="DN210" s="228">
        <v>0.76</v>
      </c>
      <c r="DO210" s="228">
        <v>0.76</v>
      </c>
      <c r="DP210" s="228">
        <v>0.67</v>
      </c>
      <c r="DQ210" s="228">
        <v>0.68</v>
      </c>
      <c r="DR210" s="228">
        <v>-0.01</v>
      </c>
      <c r="DS210" s="229">
        <v>-1.47E-2</v>
      </c>
      <c r="DT210" s="228">
        <v>700</v>
      </c>
      <c r="DU210" s="228">
        <v>680</v>
      </c>
      <c r="DV210" s="228">
        <v>0.41</v>
      </c>
      <c r="DW210" s="228">
        <v>0.34</v>
      </c>
      <c r="DX210" s="228">
        <v>7.0000000000000007E-2</v>
      </c>
      <c r="DY210" s="229">
        <v>0.2059</v>
      </c>
      <c r="DZ210" s="229">
        <v>2.1100000000000001E-2</v>
      </c>
      <c r="EA210" s="230">
        <v>726280</v>
      </c>
      <c r="EB210" s="229">
        <v>4.7999999999999996E-3</v>
      </c>
      <c r="EC210" s="229">
        <v>2.1100000000000001E-2</v>
      </c>
      <c r="ED210" s="228">
        <v>2.95</v>
      </c>
      <c r="EE210" s="229">
        <v>4.3E-3</v>
      </c>
      <c r="EF210" s="230">
        <v>503425</v>
      </c>
      <c r="EG210" s="230">
        <v>2116433</v>
      </c>
      <c r="EH210" s="229">
        <v>-0.7621</v>
      </c>
      <c r="EI210" s="229">
        <v>0.54979999999999996</v>
      </c>
      <c r="EJ210" s="231">
        <v>65244.53</v>
      </c>
      <c r="EK210" s="231">
        <v>25137.67</v>
      </c>
      <c r="EL210" s="231">
        <v>23101.64</v>
      </c>
      <c r="EM210" s="231">
        <v>10507</v>
      </c>
      <c r="EN210" s="231">
        <v>113483.84</v>
      </c>
      <c r="EO210" s="231">
        <v>253064.92</v>
      </c>
      <c r="EP210" s="231">
        <v>-139581.07999999999</v>
      </c>
      <c r="EQ210" s="229">
        <v>-0.55159999999999998</v>
      </c>
      <c r="ER210" s="231">
        <v>47444</v>
      </c>
      <c r="ES210" s="231">
        <v>30051</v>
      </c>
      <c r="ET210" s="231">
        <v>230620</v>
      </c>
      <c r="EU210" s="231">
        <v>82588393</v>
      </c>
      <c r="EV210" s="231">
        <v>308114</v>
      </c>
      <c r="EW210" s="231">
        <v>307604</v>
      </c>
      <c r="EX210" s="228">
        <v>510</v>
      </c>
      <c r="EY210" s="229">
        <v>1.6999999999999999E-3</v>
      </c>
      <c r="EZ210" s="229">
        <v>0.54579999999999995</v>
      </c>
      <c r="FA210" s="227" t="s">
        <v>556</v>
      </c>
      <c r="FB210" s="161">
        <f t="shared" si="5"/>
        <v>0</v>
      </c>
    </row>
    <row r="211" spans="1:158" ht="17.25" thickBot="1" x14ac:dyDescent="0.3">
      <c r="A211" s="226">
        <v>45936</v>
      </c>
      <c r="B211" s="227" t="s">
        <v>168</v>
      </c>
      <c r="C211" s="227" t="s">
        <v>587</v>
      </c>
      <c r="D211" s="228">
        <v>1025</v>
      </c>
      <c r="E211" s="228">
        <v>441.6</v>
      </c>
      <c r="F211" s="228">
        <v>445.4</v>
      </c>
      <c r="G211" s="228">
        <v>-3.8</v>
      </c>
      <c r="H211" s="229">
        <v>-8.5000000000000006E-3</v>
      </c>
      <c r="I211" s="228">
        <v>438.95</v>
      </c>
      <c r="J211" s="228">
        <v>443.45</v>
      </c>
      <c r="K211" s="228">
        <v>-4.5</v>
      </c>
      <c r="L211" s="229">
        <v>-1.01E-2</v>
      </c>
      <c r="M211" s="228">
        <v>441.6</v>
      </c>
      <c r="N211" s="228">
        <v>445.4</v>
      </c>
      <c r="O211" s="228">
        <v>-3.8</v>
      </c>
      <c r="P211" s="229">
        <v>-8.5000000000000006E-3</v>
      </c>
      <c r="Q211" s="228">
        <v>444.05</v>
      </c>
      <c r="R211" s="228">
        <v>447.95</v>
      </c>
      <c r="S211" s="228">
        <v>-3.9</v>
      </c>
      <c r="T211" s="229">
        <v>-8.6999999999999994E-3</v>
      </c>
      <c r="U211" s="228">
        <v>446.75</v>
      </c>
      <c r="V211" s="228">
        <v>450.65</v>
      </c>
      <c r="W211" s="228">
        <v>-3.9</v>
      </c>
      <c r="X211" s="229">
        <v>-8.6999999999999994E-3</v>
      </c>
      <c r="Y211" s="228">
        <v>2.65</v>
      </c>
      <c r="Z211" s="228">
        <v>1.95</v>
      </c>
      <c r="AA211" s="228">
        <v>0.7</v>
      </c>
      <c r="AB211" s="229">
        <v>6.0000000000000001E-3</v>
      </c>
      <c r="AC211" s="228">
        <v>2.65</v>
      </c>
      <c r="AD211" s="228">
        <v>1.95</v>
      </c>
      <c r="AE211" s="228">
        <v>0.7</v>
      </c>
      <c r="AF211" s="229">
        <v>6.0000000000000001E-3</v>
      </c>
      <c r="AG211" s="228">
        <v>5.0999999999999996</v>
      </c>
      <c r="AH211" s="228">
        <v>4.5</v>
      </c>
      <c r="AI211" s="228">
        <v>0.6</v>
      </c>
      <c r="AJ211" s="229">
        <v>1.1599999999999999E-2</v>
      </c>
      <c r="AK211" s="228">
        <v>7.8</v>
      </c>
      <c r="AL211" s="228">
        <v>7.2</v>
      </c>
      <c r="AM211" s="228">
        <v>0.6</v>
      </c>
      <c r="AN211" s="229">
        <v>1.78E-2</v>
      </c>
      <c r="AO211" s="228">
        <v>441.79</v>
      </c>
      <c r="AP211" s="228">
        <v>444.39</v>
      </c>
      <c r="AQ211" s="228">
        <v>0</v>
      </c>
      <c r="AR211" s="230">
        <v>2543025</v>
      </c>
      <c r="AS211" s="230">
        <v>3577250</v>
      </c>
      <c r="AT211" s="230">
        <v>-1034225</v>
      </c>
      <c r="AU211" s="229">
        <v>-0.28910000000000002</v>
      </c>
      <c r="AV211" s="230">
        <v>2339050</v>
      </c>
      <c r="AW211" s="230">
        <v>3314850</v>
      </c>
      <c r="AX211" s="230">
        <v>-975800</v>
      </c>
      <c r="AY211" s="229">
        <v>-0.2944</v>
      </c>
      <c r="AZ211" s="230">
        <v>168100</v>
      </c>
      <c r="BA211" s="230">
        <v>209100</v>
      </c>
      <c r="BB211" s="230">
        <v>-41000</v>
      </c>
      <c r="BC211" s="229">
        <v>-0.1961</v>
      </c>
      <c r="BD211" s="230">
        <v>35875</v>
      </c>
      <c r="BE211" s="230">
        <v>53300</v>
      </c>
      <c r="BF211" s="230">
        <v>-17425</v>
      </c>
      <c r="BG211" s="229">
        <v>-0.32690000000000002</v>
      </c>
      <c r="BH211" s="230">
        <v>6596900</v>
      </c>
      <c r="BI211" s="230">
        <v>6576400</v>
      </c>
      <c r="BJ211" s="230">
        <v>20500</v>
      </c>
      <c r="BK211" s="229">
        <v>3.0999999999999999E-3</v>
      </c>
      <c r="BL211" s="230">
        <v>1502650</v>
      </c>
      <c r="BM211" s="230">
        <v>2558400</v>
      </c>
      <c r="BN211" s="230">
        <v>-1055750</v>
      </c>
      <c r="BO211" s="229">
        <v>-0.41270000000000001</v>
      </c>
      <c r="BP211" s="230">
        <v>10642575</v>
      </c>
      <c r="BQ211" s="230">
        <v>12712050</v>
      </c>
      <c r="BR211" s="230">
        <v>-2069475</v>
      </c>
      <c r="BS211" s="229">
        <v>-0.1628</v>
      </c>
      <c r="BT211" s="230">
        <v>2979625</v>
      </c>
      <c r="BU211" s="230">
        <v>5492554</v>
      </c>
      <c r="BV211" s="230">
        <v>-2512929</v>
      </c>
      <c r="BW211" s="229">
        <v>-0.45750000000000002</v>
      </c>
      <c r="BX211" s="230">
        <v>40755025</v>
      </c>
      <c r="BY211" s="230">
        <v>40021125</v>
      </c>
      <c r="BZ211" s="230">
        <v>733900</v>
      </c>
      <c r="CA211" s="229">
        <v>1.83E-2</v>
      </c>
      <c r="CB211" s="230">
        <v>39662375</v>
      </c>
      <c r="CC211" s="230">
        <v>39022775</v>
      </c>
      <c r="CD211" s="230">
        <v>639600</v>
      </c>
      <c r="CE211" s="229">
        <v>1.6400000000000001E-2</v>
      </c>
      <c r="CF211" s="230">
        <v>1014750</v>
      </c>
      <c r="CG211" s="230">
        <v>944025</v>
      </c>
      <c r="CH211" s="230">
        <v>70725</v>
      </c>
      <c r="CI211" s="229">
        <v>7.4899999999999994E-2</v>
      </c>
      <c r="CJ211" s="230">
        <v>77900</v>
      </c>
      <c r="CK211" s="230">
        <v>54325</v>
      </c>
      <c r="CL211" s="230">
        <v>23575</v>
      </c>
      <c r="CM211" s="229">
        <v>0.434</v>
      </c>
      <c r="CN211" s="230">
        <v>9374650</v>
      </c>
      <c r="CO211" s="230">
        <v>8006275</v>
      </c>
      <c r="CP211" s="230">
        <v>1368375</v>
      </c>
      <c r="CQ211" s="229">
        <v>0.1709</v>
      </c>
      <c r="CR211" s="230">
        <v>5638525</v>
      </c>
      <c r="CS211" s="230">
        <v>5403800</v>
      </c>
      <c r="CT211" s="230">
        <v>234725</v>
      </c>
      <c r="CU211" s="229">
        <v>4.3400000000000001E-2</v>
      </c>
      <c r="CV211" s="230">
        <v>55768200</v>
      </c>
      <c r="CW211" s="230">
        <v>53431200</v>
      </c>
      <c r="CX211" s="230">
        <v>2337000</v>
      </c>
      <c r="CY211" s="229">
        <v>4.3700000000000003E-2</v>
      </c>
      <c r="CZ211" s="228">
        <v>29.59</v>
      </c>
      <c r="DA211" s="228">
        <v>28.24</v>
      </c>
      <c r="DB211" s="228">
        <v>1.35</v>
      </c>
      <c r="DC211" s="228">
        <v>1.35</v>
      </c>
      <c r="DD211" s="228">
        <v>38.68</v>
      </c>
      <c r="DE211" s="228">
        <v>38.76</v>
      </c>
      <c r="DF211" s="228">
        <v>-9.09</v>
      </c>
      <c r="DG211" s="228">
        <v>-0.08</v>
      </c>
      <c r="DH211" s="228">
        <v>29.76</v>
      </c>
      <c r="DI211" s="228">
        <v>28.49</v>
      </c>
      <c r="DJ211" s="228">
        <v>1.27</v>
      </c>
      <c r="DK211" s="228">
        <v>1.27</v>
      </c>
      <c r="DL211" s="228">
        <v>28.83</v>
      </c>
      <c r="DM211" s="228">
        <v>27.6</v>
      </c>
      <c r="DN211" s="228">
        <v>1.23</v>
      </c>
      <c r="DO211" s="228">
        <v>1.23</v>
      </c>
      <c r="DP211" s="228">
        <v>0.6</v>
      </c>
      <c r="DQ211" s="228">
        <v>0.67</v>
      </c>
      <c r="DR211" s="228">
        <v>-7.0000000000000007E-2</v>
      </c>
      <c r="DS211" s="229">
        <v>-0.1045</v>
      </c>
      <c r="DT211" s="228">
        <v>500</v>
      </c>
      <c r="DU211" s="228">
        <v>450</v>
      </c>
      <c r="DV211" s="228">
        <v>0.23</v>
      </c>
      <c r="DW211" s="228">
        <v>0.39</v>
      </c>
      <c r="DX211" s="228">
        <v>-0.16</v>
      </c>
      <c r="DY211" s="229">
        <v>-0.4103</v>
      </c>
      <c r="DZ211" s="229">
        <v>2.6800000000000001E-2</v>
      </c>
      <c r="EA211" s="230">
        <v>998350</v>
      </c>
      <c r="EB211" s="229">
        <v>5.4999999999999997E-3</v>
      </c>
      <c r="EC211" s="229">
        <v>2.6800000000000001E-2</v>
      </c>
      <c r="ED211" s="228">
        <v>2.6</v>
      </c>
      <c r="EE211" s="229">
        <v>5.8999999999999999E-3</v>
      </c>
      <c r="EF211" s="230">
        <v>1824801</v>
      </c>
      <c r="EG211" s="230">
        <v>3658714</v>
      </c>
      <c r="EH211" s="229">
        <v>-0.50119999999999998</v>
      </c>
      <c r="EI211" s="229">
        <v>0.61240000000000006</v>
      </c>
      <c r="EJ211" s="231">
        <v>30855.37</v>
      </c>
      <c r="EK211" s="231">
        <v>6658.64</v>
      </c>
      <c r="EL211" s="231">
        <v>11241.12</v>
      </c>
      <c r="EM211" s="231">
        <v>10550</v>
      </c>
      <c r="EN211" s="231">
        <v>48755.13</v>
      </c>
      <c r="EO211" s="231">
        <v>58189.37</v>
      </c>
      <c r="EP211" s="231">
        <v>-9434.24</v>
      </c>
      <c r="EQ211" s="229">
        <v>-0.16209999999999999</v>
      </c>
      <c r="ER211" s="231">
        <v>44729</v>
      </c>
      <c r="ES211" s="231">
        <v>24978</v>
      </c>
      <c r="ET211" s="231">
        <v>180003</v>
      </c>
      <c r="EU211" s="231">
        <v>203804339</v>
      </c>
      <c r="EV211" s="231">
        <v>249710</v>
      </c>
      <c r="EW211" s="231">
        <v>240659</v>
      </c>
      <c r="EX211" s="231">
        <v>9051</v>
      </c>
      <c r="EY211" s="229">
        <v>3.7600000000000001E-2</v>
      </c>
      <c r="EZ211" s="229">
        <v>0.27360000000000001</v>
      </c>
      <c r="FA211" s="227" t="s">
        <v>567</v>
      </c>
      <c r="FB211" s="161">
        <f t="shared" si="5"/>
        <v>0</v>
      </c>
    </row>
    <row r="212" spans="1:158" ht="17.25" thickBot="1" x14ac:dyDescent="0.3">
      <c r="A212" s="226">
        <v>45936</v>
      </c>
      <c r="B212" s="227" t="s">
        <v>227</v>
      </c>
      <c r="C212" s="227" t="s">
        <v>304</v>
      </c>
      <c r="D212" s="228">
        <v>1150</v>
      </c>
      <c r="E212" s="228">
        <v>473.25</v>
      </c>
      <c r="F212" s="228">
        <v>474.1</v>
      </c>
      <c r="G212" s="228">
        <v>-0.85</v>
      </c>
      <c r="H212" s="229">
        <v>-1.8E-3</v>
      </c>
      <c r="I212" s="228">
        <v>470.8</v>
      </c>
      <c r="J212" s="228">
        <v>470.95</v>
      </c>
      <c r="K212" s="228">
        <v>-0.15</v>
      </c>
      <c r="L212" s="229">
        <v>-2.9999999999999997E-4</v>
      </c>
      <c r="M212" s="228">
        <v>473.25</v>
      </c>
      <c r="N212" s="228">
        <v>474.1</v>
      </c>
      <c r="O212" s="228">
        <v>-0.85</v>
      </c>
      <c r="P212" s="229">
        <v>-1.8E-3</v>
      </c>
      <c r="Q212" s="228">
        <v>475.75</v>
      </c>
      <c r="R212" s="228">
        <v>476.5</v>
      </c>
      <c r="S212" s="228">
        <v>-0.75</v>
      </c>
      <c r="T212" s="229">
        <v>-1.6000000000000001E-3</v>
      </c>
      <c r="U212" s="228">
        <v>478.25</v>
      </c>
      <c r="V212" s="228">
        <v>478.85</v>
      </c>
      <c r="W212" s="228">
        <v>-0.6</v>
      </c>
      <c r="X212" s="229">
        <v>-1.2999999999999999E-3</v>
      </c>
      <c r="Y212" s="228">
        <v>2.4500000000000002</v>
      </c>
      <c r="Z212" s="228">
        <v>3.15</v>
      </c>
      <c r="AA212" s="228">
        <v>-0.7</v>
      </c>
      <c r="AB212" s="229">
        <v>5.1999999999999998E-3</v>
      </c>
      <c r="AC212" s="228">
        <v>2.4500000000000002</v>
      </c>
      <c r="AD212" s="228">
        <v>3.15</v>
      </c>
      <c r="AE212" s="228">
        <v>-0.7</v>
      </c>
      <c r="AF212" s="229">
        <v>5.1999999999999998E-3</v>
      </c>
      <c r="AG212" s="228">
        <v>4.95</v>
      </c>
      <c r="AH212" s="228">
        <v>5.55</v>
      </c>
      <c r="AI212" s="228">
        <v>-0.6</v>
      </c>
      <c r="AJ212" s="229">
        <v>1.0500000000000001E-2</v>
      </c>
      <c r="AK212" s="228">
        <v>7.45</v>
      </c>
      <c r="AL212" s="228">
        <v>7.9</v>
      </c>
      <c r="AM212" s="228">
        <v>-0.45</v>
      </c>
      <c r="AN212" s="229">
        <v>1.5800000000000002E-2</v>
      </c>
      <c r="AO212" s="228">
        <v>473.83</v>
      </c>
      <c r="AP212" s="228">
        <v>475.78</v>
      </c>
      <c r="AQ212" s="228">
        <v>0</v>
      </c>
      <c r="AR212" s="230">
        <v>12207250</v>
      </c>
      <c r="AS212" s="230">
        <v>20839150</v>
      </c>
      <c r="AT212" s="230">
        <v>-8631900</v>
      </c>
      <c r="AU212" s="229">
        <v>-0.41420000000000001</v>
      </c>
      <c r="AV212" s="230">
        <v>11583950</v>
      </c>
      <c r="AW212" s="230">
        <v>19639700</v>
      </c>
      <c r="AX212" s="230">
        <v>-8055750</v>
      </c>
      <c r="AY212" s="229">
        <v>-0.41020000000000001</v>
      </c>
      <c r="AZ212" s="230">
        <v>488750</v>
      </c>
      <c r="BA212" s="230">
        <v>1044200</v>
      </c>
      <c r="BB212" s="230">
        <v>-555450</v>
      </c>
      <c r="BC212" s="229">
        <v>-0.53190000000000004</v>
      </c>
      <c r="BD212" s="230">
        <v>134550</v>
      </c>
      <c r="BE212" s="230">
        <v>155250</v>
      </c>
      <c r="BF212" s="230">
        <v>-20700</v>
      </c>
      <c r="BG212" s="229">
        <v>-0.1333</v>
      </c>
      <c r="BH212" s="230">
        <v>31523800</v>
      </c>
      <c r="BI212" s="230">
        <v>70523750</v>
      </c>
      <c r="BJ212" s="230">
        <v>-38999950</v>
      </c>
      <c r="BK212" s="229">
        <v>-0.55300000000000005</v>
      </c>
      <c r="BL212" s="230">
        <v>14331300</v>
      </c>
      <c r="BM212" s="230">
        <v>33670850</v>
      </c>
      <c r="BN212" s="230">
        <v>-19339550</v>
      </c>
      <c r="BO212" s="229">
        <v>-0.57440000000000002</v>
      </c>
      <c r="BP212" s="230">
        <v>58062350</v>
      </c>
      <c r="BQ212" s="230">
        <v>125033750</v>
      </c>
      <c r="BR212" s="230">
        <v>-66971400</v>
      </c>
      <c r="BS212" s="229">
        <v>-0.53559999999999997</v>
      </c>
      <c r="BT212" s="230">
        <v>9637606</v>
      </c>
      <c r="BU212" s="230">
        <v>22267648</v>
      </c>
      <c r="BV212" s="230">
        <v>-12630042</v>
      </c>
      <c r="BW212" s="229">
        <v>-0.56720000000000004</v>
      </c>
      <c r="BX212" s="230">
        <v>96099750</v>
      </c>
      <c r="BY212" s="230">
        <v>95622500</v>
      </c>
      <c r="BZ212" s="230">
        <v>477250</v>
      </c>
      <c r="CA212" s="229">
        <v>5.0000000000000001E-3</v>
      </c>
      <c r="CB212" s="230">
        <v>94681800</v>
      </c>
      <c r="CC212" s="230">
        <v>94314950</v>
      </c>
      <c r="CD212" s="230">
        <v>366850</v>
      </c>
      <c r="CE212" s="229">
        <v>3.8999999999999998E-3</v>
      </c>
      <c r="CF212" s="230">
        <v>1284550</v>
      </c>
      <c r="CG212" s="230">
        <v>1240850</v>
      </c>
      <c r="CH212" s="230">
        <v>43700</v>
      </c>
      <c r="CI212" s="229">
        <v>3.5200000000000002E-2</v>
      </c>
      <c r="CJ212" s="230">
        <v>133400</v>
      </c>
      <c r="CK212" s="230">
        <v>66700</v>
      </c>
      <c r="CL212" s="230">
        <v>66700</v>
      </c>
      <c r="CM212" s="229">
        <v>1</v>
      </c>
      <c r="CN212" s="230">
        <v>26277500</v>
      </c>
      <c r="CO212" s="230">
        <v>25903750</v>
      </c>
      <c r="CP212" s="230">
        <v>373750</v>
      </c>
      <c r="CQ212" s="229">
        <v>1.44E-2</v>
      </c>
      <c r="CR212" s="230">
        <v>20253800</v>
      </c>
      <c r="CS212" s="230">
        <v>19265950</v>
      </c>
      <c r="CT212" s="230">
        <v>987850</v>
      </c>
      <c r="CU212" s="229">
        <v>5.1299999999999998E-2</v>
      </c>
      <c r="CV212" s="230">
        <v>142631050</v>
      </c>
      <c r="CW212" s="230">
        <v>140792200</v>
      </c>
      <c r="CX212" s="230">
        <v>1838850</v>
      </c>
      <c r="CY212" s="229">
        <v>1.3100000000000001E-2</v>
      </c>
      <c r="CZ212" s="228">
        <v>31.58</v>
      </c>
      <c r="DA212" s="228">
        <v>31.3</v>
      </c>
      <c r="DB212" s="228">
        <v>0.28000000000000003</v>
      </c>
      <c r="DC212" s="228">
        <v>0.28000000000000003</v>
      </c>
      <c r="DD212" s="228">
        <v>38.83</v>
      </c>
      <c r="DE212" s="228">
        <v>38.93</v>
      </c>
      <c r="DF212" s="228">
        <v>-7.25</v>
      </c>
      <c r="DG212" s="228">
        <v>-0.1</v>
      </c>
      <c r="DH212" s="228">
        <v>31.78</v>
      </c>
      <c r="DI212" s="228">
        <v>31.38</v>
      </c>
      <c r="DJ212" s="228">
        <v>0.4</v>
      </c>
      <c r="DK212" s="228">
        <v>0.4</v>
      </c>
      <c r="DL212" s="228">
        <v>31.14</v>
      </c>
      <c r="DM212" s="228">
        <v>31.12</v>
      </c>
      <c r="DN212" s="228">
        <v>0.02</v>
      </c>
      <c r="DO212" s="228">
        <v>0.02</v>
      </c>
      <c r="DP212" s="228">
        <v>0.77</v>
      </c>
      <c r="DQ212" s="228">
        <v>0.74</v>
      </c>
      <c r="DR212" s="228">
        <v>0.03</v>
      </c>
      <c r="DS212" s="229">
        <v>4.0500000000000001E-2</v>
      </c>
      <c r="DT212" s="228">
        <v>500</v>
      </c>
      <c r="DU212" s="228">
        <v>450</v>
      </c>
      <c r="DV212" s="228">
        <v>0.45</v>
      </c>
      <c r="DW212" s="228">
        <v>0.48</v>
      </c>
      <c r="DX212" s="228">
        <v>-0.03</v>
      </c>
      <c r="DY212" s="229">
        <v>-6.25E-2</v>
      </c>
      <c r="DZ212" s="229">
        <v>1.4800000000000001E-2</v>
      </c>
      <c r="EA212" s="230">
        <v>1307550</v>
      </c>
      <c r="EB212" s="229">
        <v>5.3E-3</v>
      </c>
      <c r="EC212" s="229">
        <v>1.4800000000000001E-2</v>
      </c>
      <c r="ED212" s="228">
        <v>1.95</v>
      </c>
      <c r="EE212" s="229">
        <v>4.1000000000000003E-3</v>
      </c>
      <c r="EF212" s="230">
        <v>4195336</v>
      </c>
      <c r="EG212" s="230">
        <v>10305892</v>
      </c>
      <c r="EH212" s="229">
        <v>-0.59289999999999998</v>
      </c>
      <c r="EI212" s="229">
        <v>0.43530000000000002</v>
      </c>
      <c r="EJ212" s="231">
        <v>157308.94</v>
      </c>
      <c r="EK212" s="231">
        <v>67065.06</v>
      </c>
      <c r="EL212" s="231">
        <v>57857.11</v>
      </c>
      <c r="EM212" s="231">
        <v>26831</v>
      </c>
      <c r="EN212" s="231">
        <v>282231.11</v>
      </c>
      <c r="EO212" s="231">
        <v>609249.07999999996</v>
      </c>
      <c r="EP212" s="231">
        <v>-327017.96999999997</v>
      </c>
      <c r="EQ212" s="229">
        <v>-0.53680000000000005</v>
      </c>
      <c r="ER212" s="231">
        <v>127836</v>
      </c>
      <c r="ES212" s="231">
        <v>90580</v>
      </c>
      <c r="ET212" s="231">
        <v>454831</v>
      </c>
      <c r="EU212" s="231">
        <v>255091106</v>
      </c>
      <c r="EV212" s="231">
        <v>673246</v>
      </c>
      <c r="EW212" s="231">
        <v>665492</v>
      </c>
      <c r="EX212" s="231">
        <v>7754</v>
      </c>
      <c r="EY212" s="229">
        <v>1.17E-2</v>
      </c>
      <c r="EZ212" s="229">
        <v>0.55910000000000004</v>
      </c>
      <c r="FA212" s="227" t="s">
        <v>567</v>
      </c>
      <c r="FB212" s="161">
        <f t="shared" si="5"/>
        <v>0</v>
      </c>
    </row>
    <row r="213" spans="1:158" ht="17.25" thickBot="1" x14ac:dyDescent="0.3">
      <c r="A213" s="226">
        <v>45936</v>
      </c>
      <c r="B213" s="227" t="s">
        <v>184</v>
      </c>
      <c r="C213" s="227" t="s">
        <v>305</v>
      </c>
      <c r="D213" s="228">
        <v>375</v>
      </c>
      <c r="E213" s="231">
        <v>1347.8</v>
      </c>
      <c r="F213" s="231">
        <v>1353.1</v>
      </c>
      <c r="G213" s="228">
        <v>-5.3</v>
      </c>
      <c r="H213" s="229">
        <v>-3.8999999999999998E-3</v>
      </c>
      <c r="I213" s="231">
        <v>1366.7</v>
      </c>
      <c r="J213" s="231">
        <v>1360.4</v>
      </c>
      <c r="K213" s="228">
        <v>6.3</v>
      </c>
      <c r="L213" s="229">
        <v>4.5999999999999999E-3</v>
      </c>
      <c r="M213" s="231">
        <v>1347.8</v>
      </c>
      <c r="N213" s="231">
        <v>1353.1</v>
      </c>
      <c r="O213" s="228">
        <v>-5.3</v>
      </c>
      <c r="P213" s="229">
        <v>-3.8999999999999998E-3</v>
      </c>
      <c r="Q213" s="231">
        <v>1331.8</v>
      </c>
      <c r="R213" s="231">
        <v>1339.9</v>
      </c>
      <c r="S213" s="228">
        <v>-8.1</v>
      </c>
      <c r="T213" s="229">
        <v>-6.0000000000000001E-3</v>
      </c>
      <c r="U213" s="231">
        <v>1319</v>
      </c>
      <c r="V213" s="231">
        <v>1322.2</v>
      </c>
      <c r="W213" s="228">
        <v>-3.2</v>
      </c>
      <c r="X213" s="229">
        <v>-2.3999999999999998E-3</v>
      </c>
      <c r="Y213" s="228">
        <v>-18.899999999999999</v>
      </c>
      <c r="Z213" s="228">
        <v>-7.3</v>
      </c>
      <c r="AA213" s="228">
        <v>-11.6</v>
      </c>
      <c r="AB213" s="229">
        <v>-1.38E-2</v>
      </c>
      <c r="AC213" s="228">
        <v>-18.899999999999999</v>
      </c>
      <c r="AD213" s="228">
        <v>-7.3</v>
      </c>
      <c r="AE213" s="228">
        <v>-11.6</v>
      </c>
      <c r="AF213" s="229">
        <v>-1.38E-2</v>
      </c>
      <c r="AG213" s="228">
        <v>-34.9</v>
      </c>
      <c r="AH213" s="228">
        <v>-20.5</v>
      </c>
      <c r="AI213" s="228">
        <v>-14.4</v>
      </c>
      <c r="AJ213" s="229">
        <v>-2.5499999999999998E-2</v>
      </c>
      <c r="AK213" s="228">
        <v>-47.7</v>
      </c>
      <c r="AL213" s="228">
        <v>-38.200000000000003</v>
      </c>
      <c r="AM213" s="228">
        <v>-9.5</v>
      </c>
      <c r="AN213" s="229">
        <v>-3.49E-2</v>
      </c>
      <c r="AO213" s="231">
        <v>1341.94</v>
      </c>
      <c r="AP213" s="231">
        <v>1324.89</v>
      </c>
      <c r="AQ213" s="228">
        <v>0</v>
      </c>
      <c r="AR213" s="230">
        <v>1708125</v>
      </c>
      <c r="AS213" s="230">
        <v>729375</v>
      </c>
      <c r="AT213" s="230">
        <v>978750</v>
      </c>
      <c r="AU213" s="229">
        <v>1.3419000000000001</v>
      </c>
      <c r="AV213" s="230">
        <v>1557750</v>
      </c>
      <c r="AW213" s="230">
        <v>664125</v>
      </c>
      <c r="AX213" s="230">
        <v>893625</v>
      </c>
      <c r="AY213" s="229">
        <v>1.3455999999999999</v>
      </c>
      <c r="AZ213" s="230">
        <v>139500</v>
      </c>
      <c r="BA213" s="230">
        <v>64875</v>
      </c>
      <c r="BB213" s="230">
        <v>74625</v>
      </c>
      <c r="BC213" s="229">
        <v>1.1503000000000001</v>
      </c>
      <c r="BD213" s="230">
        <v>10875</v>
      </c>
      <c r="BE213" s="228">
        <v>375</v>
      </c>
      <c r="BF213" s="230">
        <v>10500</v>
      </c>
      <c r="BG213" s="229">
        <v>28</v>
      </c>
      <c r="BH213" s="230">
        <v>3826125</v>
      </c>
      <c r="BI213" s="230">
        <v>1607250</v>
      </c>
      <c r="BJ213" s="230">
        <v>2218875</v>
      </c>
      <c r="BK213" s="229">
        <v>1.3805000000000001</v>
      </c>
      <c r="BL213" s="230">
        <v>2155125</v>
      </c>
      <c r="BM213" s="230">
        <v>755625</v>
      </c>
      <c r="BN213" s="230">
        <v>1399500</v>
      </c>
      <c r="BO213" s="229">
        <v>1.8521000000000001</v>
      </c>
      <c r="BP213" s="230">
        <v>7689375</v>
      </c>
      <c r="BQ213" s="230">
        <v>3092250</v>
      </c>
      <c r="BR213" s="230">
        <v>4597125</v>
      </c>
      <c r="BS213" s="229">
        <v>1.4866999999999999</v>
      </c>
      <c r="BT213" s="230">
        <v>1079724</v>
      </c>
      <c r="BU213" s="230">
        <v>898421</v>
      </c>
      <c r="BV213" s="230">
        <v>181303</v>
      </c>
      <c r="BW213" s="229">
        <v>0.20180000000000001</v>
      </c>
      <c r="BX213" s="230">
        <v>12529125</v>
      </c>
      <c r="BY213" s="230">
        <v>11974500</v>
      </c>
      <c r="BZ213" s="230">
        <v>554625</v>
      </c>
      <c r="CA213" s="229">
        <v>4.6300000000000001E-2</v>
      </c>
      <c r="CB213" s="230">
        <v>12253875</v>
      </c>
      <c r="CC213" s="230">
        <v>11743875</v>
      </c>
      <c r="CD213" s="230">
        <v>510000</v>
      </c>
      <c r="CE213" s="229">
        <v>4.3400000000000001E-2</v>
      </c>
      <c r="CF213" s="230">
        <v>258750</v>
      </c>
      <c r="CG213" s="230">
        <v>222375</v>
      </c>
      <c r="CH213" s="230">
        <v>36375</v>
      </c>
      <c r="CI213" s="229">
        <v>0.1636</v>
      </c>
      <c r="CJ213" s="230">
        <v>16500</v>
      </c>
      <c r="CK213" s="230">
        <v>8250</v>
      </c>
      <c r="CL213" s="230">
        <v>8250</v>
      </c>
      <c r="CM213" s="229">
        <v>1</v>
      </c>
      <c r="CN213" s="230">
        <v>2254875</v>
      </c>
      <c r="CO213" s="230">
        <v>1909125</v>
      </c>
      <c r="CP213" s="230">
        <v>345750</v>
      </c>
      <c r="CQ213" s="229">
        <v>0.18110000000000001</v>
      </c>
      <c r="CR213" s="230">
        <v>1778625</v>
      </c>
      <c r="CS213" s="230">
        <v>1589250</v>
      </c>
      <c r="CT213" s="230">
        <v>189375</v>
      </c>
      <c r="CU213" s="229">
        <v>0.1192</v>
      </c>
      <c r="CV213" s="230">
        <v>16562625</v>
      </c>
      <c r="CW213" s="230">
        <v>15472875</v>
      </c>
      <c r="CX213" s="230">
        <v>1089750</v>
      </c>
      <c r="CY213" s="229">
        <v>7.0400000000000004E-2</v>
      </c>
      <c r="CZ213" s="228">
        <v>27.47</v>
      </c>
      <c r="DA213" s="228">
        <v>27.02</v>
      </c>
      <c r="DB213" s="228">
        <v>0.45</v>
      </c>
      <c r="DC213" s="228">
        <v>0.45</v>
      </c>
      <c r="DD213" s="228">
        <v>38.25</v>
      </c>
      <c r="DE213" s="228">
        <v>38.340000000000003</v>
      </c>
      <c r="DF213" s="228">
        <v>-10.78</v>
      </c>
      <c r="DG213" s="228">
        <v>-0.09</v>
      </c>
      <c r="DH213" s="228">
        <v>27.94</v>
      </c>
      <c r="DI213" s="228">
        <v>27.31</v>
      </c>
      <c r="DJ213" s="228">
        <v>0.63</v>
      </c>
      <c r="DK213" s="228">
        <v>0.63</v>
      </c>
      <c r="DL213" s="228">
        <v>26.63</v>
      </c>
      <c r="DM213" s="228">
        <v>26.4</v>
      </c>
      <c r="DN213" s="228">
        <v>0.23</v>
      </c>
      <c r="DO213" s="228">
        <v>0.23</v>
      </c>
      <c r="DP213" s="228">
        <v>0.79</v>
      </c>
      <c r="DQ213" s="228">
        <v>0.83</v>
      </c>
      <c r="DR213" s="228">
        <v>-0.04</v>
      </c>
      <c r="DS213" s="229">
        <v>-4.82E-2</v>
      </c>
      <c r="DT213" s="231">
        <v>1400</v>
      </c>
      <c r="DU213" s="231">
        <v>1260</v>
      </c>
      <c r="DV213" s="228">
        <v>0.56000000000000005</v>
      </c>
      <c r="DW213" s="228">
        <v>0.47</v>
      </c>
      <c r="DX213" s="228">
        <v>0.09</v>
      </c>
      <c r="DY213" s="229">
        <v>0.1915</v>
      </c>
      <c r="DZ213" s="229">
        <v>2.1999999999999999E-2</v>
      </c>
      <c r="EA213" s="230">
        <v>230625</v>
      </c>
      <c r="EB213" s="229">
        <v>-1.1900000000000001E-2</v>
      </c>
      <c r="EC213" s="229">
        <v>2.1999999999999999E-2</v>
      </c>
      <c r="ED213" s="228">
        <v>-17.05</v>
      </c>
      <c r="EE213" s="229">
        <v>-1.2699999999999999E-2</v>
      </c>
      <c r="EF213" s="230">
        <v>606528</v>
      </c>
      <c r="EG213" s="230">
        <v>641453</v>
      </c>
      <c r="EH213" s="229">
        <v>-5.4399999999999997E-2</v>
      </c>
      <c r="EI213" s="229">
        <v>0.56169999999999998</v>
      </c>
      <c r="EJ213" s="231">
        <v>54101.58</v>
      </c>
      <c r="EK213" s="231">
        <v>29364.59</v>
      </c>
      <c r="EL213" s="231">
        <v>22895.58</v>
      </c>
      <c r="EM213" s="231">
        <v>10352</v>
      </c>
      <c r="EN213" s="231">
        <v>106361.75</v>
      </c>
      <c r="EO213" s="231">
        <v>43017.43</v>
      </c>
      <c r="EP213" s="231">
        <v>63344.32</v>
      </c>
      <c r="EQ213" s="229">
        <v>1.4724999999999999</v>
      </c>
      <c r="ER213" s="231">
        <v>31904</v>
      </c>
      <c r="ES213" s="231">
        <v>23332</v>
      </c>
      <c r="ET213" s="231">
        <v>168821</v>
      </c>
      <c r="EU213" s="231">
        <v>34594689</v>
      </c>
      <c r="EV213" s="231">
        <v>224057</v>
      </c>
      <c r="EW213" s="231">
        <v>209978</v>
      </c>
      <c r="EX213" s="231">
        <v>14079</v>
      </c>
      <c r="EY213" s="229">
        <v>6.7000000000000004E-2</v>
      </c>
      <c r="EZ213" s="229">
        <v>0.4788</v>
      </c>
      <c r="FA213" s="227" t="s">
        <v>567</v>
      </c>
      <c r="FB213" s="161">
        <f t="shared" si="5"/>
        <v>0</v>
      </c>
    </row>
    <row r="214" spans="1:158" ht="17.25" thickBot="1" x14ac:dyDescent="0.3">
      <c r="A214" s="226">
        <v>45936</v>
      </c>
      <c r="B214" s="227" t="s">
        <v>221</v>
      </c>
      <c r="C214" s="227" t="s">
        <v>306</v>
      </c>
      <c r="D214" s="228">
        <v>3000</v>
      </c>
      <c r="E214" s="228">
        <v>241.76</v>
      </c>
      <c r="F214" s="228">
        <v>239.03</v>
      </c>
      <c r="G214" s="228">
        <v>2.73</v>
      </c>
      <c r="H214" s="229">
        <v>1.14E-2</v>
      </c>
      <c r="I214" s="228">
        <v>242.13</v>
      </c>
      <c r="J214" s="228">
        <v>240.98</v>
      </c>
      <c r="K214" s="228">
        <v>1.1499999999999999</v>
      </c>
      <c r="L214" s="229">
        <v>4.7999999999999996E-3</v>
      </c>
      <c r="M214" s="228">
        <v>241.76</v>
      </c>
      <c r="N214" s="228">
        <v>239.03</v>
      </c>
      <c r="O214" s="228">
        <v>2.73</v>
      </c>
      <c r="P214" s="229">
        <v>1.14E-2</v>
      </c>
      <c r="Q214" s="228">
        <v>241.06</v>
      </c>
      <c r="R214" s="228">
        <v>238.24</v>
      </c>
      <c r="S214" s="228">
        <v>2.82</v>
      </c>
      <c r="T214" s="229">
        <v>1.18E-2</v>
      </c>
      <c r="U214" s="228">
        <v>240.39</v>
      </c>
      <c r="V214" s="228">
        <v>237.49</v>
      </c>
      <c r="W214" s="228">
        <v>2.9</v>
      </c>
      <c r="X214" s="229">
        <v>1.2200000000000001E-2</v>
      </c>
      <c r="Y214" s="228">
        <v>-0.37</v>
      </c>
      <c r="Z214" s="228">
        <v>-1.95</v>
      </c>
      <c r="AA214" s="228">
        <v>1.58</v>
      </c>
      <c r="AB214" s="229">
        <v>-1.5E-3</v>
      </c>
      <c r="AC214" s="228">
        <v>-0.37</v>
      </c>
      <c r="AD214" s="228">
        <v>-1.95</v>
      </c>
      <c r="AE214" s="228">
        <v>1.58</v>
      </c>
      <c r="AF214" s="229">
        <v>-1.5E-3</v>
      </c>
      <c r="AG214" s="228">
        <v>-1.07</v>
      </c>
      <c r="AH214" s="228">
        <v>-2.74</v>
      </c>
      <c r="AI214" s="228">
        <v>1.67</v>
      </c>
      <c r="AJ214" s="229">
        <v>-4.4000000000000003E-3</v>
      </c>
      <c r="AK214" s="228">
        <v>-1.74</v>
      </c>
      <c r="AL214" s="228">
        <v>-3.49</v>
      </c>
      <c r="AM214" s="228">
        <v>1.75</v>
      </c>
      <c r="AN214" s="229">
        <v>-7.1999999999999998E-3</v>
      </c>
      <c r="AO214" s="228">
        <v>240.35</v>
      </c>
      <c r="AP214" s="228">
        <v>239.48</v>
      </c>
      <c r="AQ214" s="228">
        <v>0</v>
      </c>
      <c r="AR214" s="230">
        <v>18135000</v>
      </c>
      <c r="AS214" s="230">
        <v>27195000</v>
      </c>
      <c r="AT214" s="230">
        <v>-9060000</v>
      </c>
      <c r="AU214" s="229">
        <v>-0.33310000000000001</v>
      </c>
      <c r="AV214" s="230">
        <v>15963000</v>
      </c>
      <c r="AW214" s="230">
        <v>24465000</v>
      </c>
      <c r="AX214" s="230">
        <v>-8502000</v>
      </c>
      <c r="AY214" s="229">
        <v>-0.34749999999999998</v>
      </c>
      <c r="AZ214" s="230">
        <v>1953000</v>
      </c>
      <c r="BA214" s="230">
        <v>2595000</v>
      </c>
      <c r="BB214" s="230">
        <v>-642000</v>
      </c>
      <c r="BC214" s="229">
        <v>-0.24740000000000001</v>
      </c>
      <c r="BD214" s="230">
        <v>219000</v>
      </c>
      <c r="BE214" s="230">
        <v>135000</v>
      </c>
      <c r="BF214" s="230">
        <v>84000</v>
      </c>
      <c r="BG214" s="229">
        <v>0.62219999999999998</v>
      </c>
      <c r="BH214" s="230">
        <v>43002000</v>
      </c>
      <c r="BI214" s="230">
        <v>47172000</v>
      </c>
      <c r="BJ214" s="230">
        <v>-4170000</v>
      </c>
      <c r="BK214" s="229">
        <v>-8.8400000000000006E-2</v>
      </c>
      <c r="BL214" s="230">
        <v>17778000</v>
      </c>
      <c r="BM214" s="230">
        <v>26892000</v>
      </c>
      <c r="BN214" s="230">
        <v>-9114000</v>
      </c>
      <c r="BO214" s="229">
        <v>-0.33889999999999998</v>
      </c>
      <c r="BP214" s="230">
        <v>78915000</v>
      </c>
      <c r="BQ214" s="230">
        <v>101259000</v>
      </c>
      <c r="BR214" s="230">
        <v>-22344000</v>
      </c>
      <c r="BS214" s="229">
        <v>-0.22070000000000001</v>
      </c>
      <c r="BT214" s="230">
        <v>6493881</v>
      </c>
      <c r="BU214" s="230">
        <v>11208968</v>
      </c>
      <c r="BV214" s="230">
        <v>-4715087</v>
      </c>
      <c r="BW214" s="229">
        <v>-0.42070000000000002</v>
      </c>
      <c r="BX214" s="230">
        <v>138207000</v>
      </c>
      <c r="BY214" s="230">
        <v>137100000</v>
      </c>
      <c r="BZ214" s="230">
        <v>1107000</v>
      </c>
      <c r="CA214" s="229">
        <v>8.0999999999999996E-3</v>
      </c>
      <c r="CB214" s="230">
        <v>132444000</v>
      </c>
      <c r="CC214" s="230">
        <v>131769000</v>
      </c>
      <c r="CD214" s="230">
        <v>675000</v>
      </c>
      <c r="CE214" s="229">
        <v>5.1000000000000004E-3</v>
      </c>
      <c r="CF214" s="230">
        <v>5541000</v>
      </c>
      <c r="CG214" s="230">
        <v>5193000</v>
      </c>
      <c r="CH214" s="230">
        <v>348000</v>
      </c>
      <c r="CI214" s="229">
        <v>6.7000000000000004E-2</v>
      </c>
      <c r="CJ214" s="230">
        <v>222000</v>
      </c>
      <c r="CK214" s="230">
        <v>138000</v>
      </c>
      <c r="CL214" s="230">
        <v>84000</v>
      </c>
      <c r="CM214" s="229">
        <v>0.60870000000000002</v>
      </c>
      <c r="CN214" s="230">
        <v>36450000</v>
      </c>
      <c r="CO214" s="230">
        <v>34107000</v>
      </c>
      <c r="CP214" s="230">
        <v>2343000</v>
      </c>
      <c r="CQ214" s="229">
        <v>6.8699999999999997E-2</v>
      </c>
      <c r="CR214" s="230">
        <v>30045000</v>
      </c>
      <c r="CS214" s="230">
        <v>28836000</v>
      </c>
      <c r="CT214" s="230">
        <v>1209000</v>
      </c>
      <c r="CU214" s="229">
        <v>4.19E-2</v>
      </c>
      <c r="CV214" s="230">
        <v>204702000</v>
      </c>
      <c r="CW214" s="230">
        <v>200043000</v>
      </c>
      <c r="CX214" s="230">
        <v>4659000</v>
      </c>
      <c r="CY214" s="229">
        <v>2.3300000000000001E-2</v>
      </c>
      <c r="CZ214" s="228">
        <v>28.86</v>
      </c>
      <c r="DA214" s="228">
        <v>28.16</v>
      </c>
      <c r="DB214" s="228">
        <v>0.7</v>
      </c>
      <c r="DC214" s="228">
        <v>0.7</v>
      </c>
      <c r="DD214" s="228">
        <v>30.86</v>
      </c>
      <c r="DE214" s="228">
        <v>30.94</v>
      </c>
      <c r="DF214" s="228">
        <v>-2</v>
      </c>
      <c r="DG214" s="228">
        <v>-0.08</v>
      </c>
      <c r="DH214" s="228">
        <v>28.68</v>
      </c>
      <c r="DI214" s="228">
        <v>28.1</v>
      </c>
      <c r="DJ214" s="228">
        <v>0.57999999999999996</v>
      </c>
      <c r="DK214" s="228">
        <v>0.57999999999999996</v>
      </c>
      <c r="DL214" s="228">
        <v>29.29</v>
      </c>
      <c r="DM214" s="228">
        <v>28.26</v>
      </c>
      <c r="DN214" s="228">
        <v>1.03</v>
      </c>
      <c r="DO214" s="228">
        <v>1.03</v>
      </c>
      <c r="DP214" s="228">
        <v>0.82</v>
      </c>
      <c r="DQ214" s="228">
        <v>0.85</v>
      </c>
      <c r="DR214" s="228">
        <v>-0.03</v>
      </c>
      <c r="DS214" s="229">
        <v>-3.5299999999999998E-2</v>
      </c>
      <c r="DT214" s="228">
        <v>250</v>
      </c>
      <c r="DU214" s="228">
        <v>240</v>
      </c>
      <c r="DV214" s="228">
        <v>0.41</v>
      </c>
      <c r="DW214" s="228">
        <v>0.56999999999999995</v>
      </c>
      <c r="DX214" s="228">
        <v>-0.16</v>
      </c>
      <c r="DY214" s="229">
        <v>-0.28070000000000001</v>
      </c>
      <c r="DZ214" s="229">
        <v>4.1700000000000001E-2</v>
      </c>
      <c r="EA214" s="230">
        <v>5331000</v>
      </c>
      <c r="EB214" s="229">
        <v>-2.8999999999999998E-3</v>
      </c>
      <c r="EC214" s="229">
        <v>4.1700000000000001E-2</v>
      </c>
      <c r="ED214" s="228">
        <v>-0.87</v>
      </c>
      <c r="EE214" s="229">
        <v>-3.5999999999999999E-3</v>
      </c>
      <c r="EF214" s="230">
        <v>2816855</v>
      </c>
      <c r="EG214" s="230">
        <v>6515459</v>
      </c>
      <c r="EH214" s="229">
        <v>-0.56769999999999998</v>
      </c>
      <c r="EI214" s="229">
        <v>0.43380000000000002</v>
      </c>
      <c r="EJ214" s="231">
        <v>108781.21</v>
      </c>
      <c r="EK214" s="231">
        <v>42730.23</v>
      </c>
      <c r="EL214" s="231">
        <v>43567.76</v>
      </c>
      <c r="EM214" s="231">
        <v>14605</v>
      </c>
      <c r="EN214" s="231">
        <v>195079.2</v>
      </c>
      <c r="EO214" s="231">
        <v>247390.15</v>
      </c>
      <c r="EP214" s="231">
        <v>-52310.95</v>
      </c>
      <c r="EQ214" s="229">
        <v>-0.21149999999999999</v>
      </c>
      <c r="ER214" s="231">
        <v>92897</v>
      </c>
      <c r="ES214" s="231">
        <v>70726</v>
      </c>
      <c r="ET214" s="231">
        <v>334087</v>
      </c>
      <c r="EU214" s="231">
        <v>292948819</v>
      </c>
      <c r="EV214" s="231">
        <v>497710</v>
      </c>
      <c r="EW214" s="231">
        <v>482414</v>
      </c>
      <c r="EX214" s="231">
        <v>15296</v>
      </c>
      <c r="EY214" s="229">
        <v>3.1699999999999999E-2</v>
      </c>
      <c r="EZ214" s="229">
        <v>0.69879999999999998</v>
      </c>
      <c r="FA214" s="227" t="s">
        <v>555</v>
      </c>
      <c r="FB214" s="161">
        <f t="shared" si="5"/>
        <v>0</v>
      </c>
    </row>
    <row r="215" spans="1:158" ht="17.25" thickBot="1" x14ac:dyDescent="0.3">
      <c r="A215" s="226">
        <v>45936</v>
      </c>
      <c r="B215" s="227" t="s">
        <v>172</v>
      </c>
      <c r="C215" s="227" t="s">
        <v>591</v>
      </c>
      <c r="D215" s="228">
        <v>31100</v>
      </c>
      <c r="E215" s="228">
        <v>22.06</v>
      </c>
      <c r="F215" s="228">
        <v>21.99</v>
      </c>
      <c r="G215" s="228">
        <v>7.0000000000000007E-2</v>
      </c>
      <c r="H215" s="229">
        <v>3.2000000000000002E-3</v>
      </c>
      <c r="I215" s="228">
        <v>21.93</v>
      </c>
      <c r="J215" s="228">
        <v>21.85</v>
      </c>
      <c r="K215" s="228">
        <v>0.08</v>
      </c>
      <c r="L215" s="229">
        <v>3.7000000000000002E-3</v>
      </c>
      <c r="M215" s="228">
        <v>22.06</v>
      </c>
      <c r="N215" s="228">
        <v>21.99</v>
      </c>
      <c r="O215" s="228">
        <v>7.0000000000000007E-2</v>
      </c>
      <c r="P215" s="229">
        <v>3.2000000000000002E-3</v>
      </c>
      <c r="Q215" s="228">
        <v>22.19</v>
      </c>
      <c r="R215" s="228">
        <v>22.11</v>
      </c>
      <c r="S215" s="228">
        <v>0.08</v>
      </c>
      <c r="T215" s="229">
        <v>3.5999999999999999E-3</v>
      </c>
      <c r="U215" s="228">
        <v>22.3</v>
      </c>
      <c r="V215" s="228">
        <v>22.22</v>
      </c>
      <c r="W215" s="228">
        <v>0.08</v>
      </c>
      <c r="X215" s="229">
        <v>3.5999999999999999E-3</v>
      </c>
      <c r="Y215" s="228">
        <v>0.13</v>
      </c>
      <c r="Z215" s="228">
        <v>0.14000000000000001</v>
      </c>
      <c r="AA215" s="228">
        <v>-0.01</v>
      </c>
      <c r="AB215" s="229">
        <v>5.8999999999999999E-3</v>
      </c>
      <c r="AC215" s="228">
        <v>0.13</v>
      </c>
      <c r="AD215" s="228">
        <v>0.14000000000000001</v>
      </c>
      <c r="AE215" s="228">
        <v>-0.01</v>
      </c>
      <c r="AF215" s="229">
        <v>5.8999999999999999E-3</v>
      </c>
      <c r="AG215" s="228">
        <v>0.26</v>
      </c>
      <c r="AH215" s="228">
        <v>0.26</v>
      </c>
      <c r="AI215" s="228">
        <v>0</v>
      </c>
      <c r="AJ215" s="229">
        <v>1.1900000000000001E-2</v>
      </c>
      <c r="AK215" s="228">
        <v>0.37</v>
      </c>
      <c r="AL215" s="228">
        <v>0.37</v>
      </c>
      <c r="AM215" s="228">
        <v>0</v>
      </c>
      <c r="AN215" s="229">
        <v>1.6899999999999998E-2</v>
      </c>
      <c r="AO215" s="228">
        <v>22.1</v>
      </c>
      <c r="AP215" s="228">
        <v>22.24</v>
      </c>
      <c r="AQ215" s="228">
        <v>0</v>
      </c>
      <c r="AR215" s="230">
        <v>138115100</v>
      </c>
      <c r="AS215" s="230">
        <v>117993400</v>
      </c>
      <c r="AT215" s="230">
        <v>20121700</v>
      </c>
      <c r="AU215" s="229">
        <v>0.17050000000000001</v>
      </c>
      <c r="AV215" s="230">
        <v>119859400</v>
      </c>
      <c r="AW215" s="230">
        <v>106082100</v>
      </c>
      <c r="AX215" s="230">
        <v>13777300</v>
      </c>
      <c r="AY215" s="229">
        <v>0.12989999999999999</v>
      </c>
      <c r="AZ215" s="230">
        <v>15176800</v>
      </c>
      <c r="BA215" s="230">
        <v>9641000</v>
      </c>
      <c r="BB215" s="230">
        <v>5535800</v>
      </c>
      <c r="BC215" s="229">
        <v>0.57420000000000004</v>
      </c>
      <c r="BD215" s="230">
        <v>3078900</v>
      </c>
      <c r="BE215" s="230">
        <v>2270300</v>
      </c>
      <c r="BF215" s="230">
        <v>808600</v>
      </c>
      <c r="BG215" s="229">
        <v>0.35620000000000002</v>
      </c>
      <c r="BH215" s="230">
        <v>171516500</v>
      </c>
      <c r="BI215" s="230">
        <v>168219900</v>
      </c>
      <c r="BJ215" s="230">
        <v>3296600</v>
      </c>
      <c r="BK215" s="229">
        <v>1.9599999999999999E-2</v>
      </c>
      <c r="BL215" s="230">
        <v>85369500</v>
      </c>
      <c r="BM215" s="230">
        <v>42016100</v>
      </c>
      <c r="BN215" s="230">
        <v>43353400</v>
      </c>
      <c r="BO215" s="229">
        <v>1.0318000000000001</v>
      </c>
      <c r="BP215" s="230">
        <v>395001100</v>
      </c>
      <c r="BQ215" s="230">
        <v>328229400</v>
      </c>
      <c r="BR215" s="230">
        <v>66771700</v>
      </c>
      <c r="BS215" s="229">
        <v>0.2034</v>
      </c>
      <c r="BT215" s="230">
        <v>117719200</v>
      </c>
      <c r="BU215" s="230">
        <v>119727477</v>
      </c>
      <c r="BV215" s="230">
        <v>-2008277</v>
      </c>
      <c r="BW215" s="229">
        <v>-1.6799999999999999E-2</v>
      </c>
      <c r="BX215" s="230">
        <v>889646600</v>
      </c>
      <c r="BY215" s="230">
        <v>873225800</v>
      </c>
      <c r="BZ215" s="230">
        <v>16420800</v>
      </c>
      <c r="CA215" s="229">
        <v>1.8800000000000001E-2</v>
      </c>
      <c r="CB215" s="230">
        <v>825487300</v>
      </c>
      <c r="CC215" s="230">
        <v>815877400</v>
      </c>
      <c r="CD215" s="230">
        <v>9609900</v>
      </c>
      <c r="CE215" s="229">
        <v>1.18E-2</v>
      </c>
      <c r="CF215" s="230">
        <v>59587600</v>
      </c>
      <c r="CG215" s="230">
        <v>54487200</v>
      </c>
      <c r="CH215" s="230">
        <v>5100400</v>
      </c>
      <c r="CI215" s="229">
        <v>9.3600000000000003E-2</v>
      </c>
      <c r="CJ215" s="230">
        <v>4571700</v>
      </c>
      <c r="CK215" s="230">
        <v>2861200</v>
      </c>
      <c r="CL215" s="230">
        <v>1710500</v>
      </c>
      <c r="CM215" s="229">
        <v>0.5978</v>
      </c>
      <c r="CN215" s="230">
        <v>192820000</v>
      </c>
      <c r="CO215" s="230">
        <v>187750700</v>
      </c>
      <c r="CP215" s="230">
        <v>5069300</v>
      </c>
      <c r="CQ215" s="229">
        <v>2.7E-2</v>
      </c>
      <c r="CR215" s="230">
        <v>95259300</v>
      </c>
      <c r="CS215" s="230">
        <v>92833500</v>
      </c>
      <c r="CT215" s="230">
        <v>2425800</v>
      </c>
      <c r="CU215" s="229">
        <v>2.6100000000000002E-2</v>
      </c>
      <c r="CV215" s="230">
        <v>1177725900</v>
      </c>
      <c r="CW215" s="230">
        <v>1153810000</v>
      </c>
      <c r="CX215" s="230">
        <v>23915900</v>
      </c>
      <c r="CY215" s="229">
        <v>2.07E-2</v>
      </c>
      <c r="CZ215" s="228">
        <v>32.19</v>
      </c>
      <c r="DA215" s="228">
        <v>32.11</v>
      </c>
      <c r="DB215" s="228">
        <v>0.08</v>
      </c>
      <c r="DC215" s="228">
        <v>0.08</v>
      </c>
      <c r="DD215" s="228">
        <v>41.36</v>
      </c>
      <c r="DE215" s="228">
        <v>41.46</v>
      </c>
      <c r="DF215" s="228">
        <v>-9.17</v>
      </c>
      <c r="DG215" s="228">
        <v>-0.1</v>
      </c>
      <c r="DH215" s="228">
        <v>32.700000000000003</v>
      </c>
      <c r="DI215" s="228">
        <v>32.4</v>
      </c>
      <c r="DJ215" s="228">
        <v>0.3</v>
      </c>
      <c r="DK215" s="228">
        <v>0.3</v>
      </c>
      <c r="DL215" s="228">
        <v>31.15</v>
      </c>
      <c r="DM215" s="228">
        <v>30.93</v>
      </c>
      <c r="DN215" s="228">
        <v>0.22</v>
      </c>
      <c r="DO215" s="228">
        <v>0.22</v>
      </c>
      <c r="DP215" s="228">
        <v>0.49</v>
      </c>
      <c r="DQ215" s="228">
        <v>0.49</v>
      </c>
      <c r="DR215" s="228">
        <v>0</v>
      </c>
      <c r="DS215" s="229">
        <v>0</v>
      </c>
      <c r="DT215" s="228">
        <v>24</v>
      </c>
      <c r="DU215" s="228">
        <v>21</v>
      </c>
      <c r="DV215" s="228">
        <v>0.5</v>
      </c>
      <c r="DW215" s="228">
        <v>0.25</v>
      </c>
      <c r="DX215" s="228">
        <v>0.25</v>
      </c>
      <c r="DY215" s="229">
        <v>1</v>
      </c>
      <c r="DZ215" s="229">
        <v>7.2099999999999997E-2</v>
      </c>
      <c r="EA215" s="230">
        <v>57348400</v>
      </c>
      <c r="EB215" s="229">
        <v>5.8999999999999999E-3</v>
      </c>
      <c r="EC215" s="229">
        <v>7.2099999999999997E-2</v>
      </c>
      <c r="ED215" s="228">
        <v>0.14000000000000001</v>
      </c>
      <c r="EE215" s="229">
        <v>6.3E-3</v>
      </c>
      <c r="EF215" s="230">
        <v>56988298</v>
      </c>
      <c r="EG215" s="230">
        <v>59965754</v>
      </c>
      <c r="EH215" s="229">
        <v>-4.9700000000000001E-2</v>
      </c>
      <c r="EI215" s="229">
        <v>0.48409999999999997</v>
      </c>
      <c r="EJ215" s="231">
        <v>39687.85</v>
      </c>
      <c r="EK215" s="231">
        <v>18294.490000000002</v>
      </c>
      <c r="EL215" s="231">
        <v>30552.15</v>
      </c>
      <c r="EM215" s="231">
        <v>10334</v>
      </c>
      <c r="EN215" s="231">
        <v>88534.49</v>
      </c>
      <c r="EO215" s="231">
        <v>74267.8</v>
      </c>
      <c r="EP215" s="231">
        <v>14266.69</v>
      </c>
      <c r="EQ215" s="229">
        <v>0.19209999999999999</v>
      </c>
      <c r="ER215" s="231">
        <v>43883</v>
      </c>
      <c r="ES215" s="231">
        <v>19853</v>
      </c>
      <c r="ET215" s="231">
        <v>196344</v>
      </c>
      <c r="EU215" s="231">
        <v>3136562346</v>
      </c>
      <c r="EV215" s="231">
        <v>260081</v>
      </c>
      <c r="EW215" s="231">
        <v>253996</v>
      </c>
      <c r="EX215" s="231">
        <v>6085</v>
      </c>
      <c r="EY215" s="229">
        <v>2.4E-2</v>
      </c>
      <c r="EZ215" s="229">
        <v>0.3755</v>
      </c>
      <c r="FA215" s="227" t="s">
        <v>555</v>
      </c>
      <c r="FB215" s="161">
        <f t="shared" si="5"/>
        <v>0</v>
      </c>
    </row>
    <row r="216" spans="1:158" ht="17.25" thickBot="1" x14ac:dyDescent="0.3">
      <c r="A216" s="226">
        <v>45936</v>
      </c>
      <c r="B216" s="227" t="s">
        <v>170</v>
      </c>
      <c r="C216" s="227" t="s">
        <v>557</v>
      </c>
      <c r="D216" s="228">
        <v>900</v>
      </c>
      <c r="E216" s="228">
        <v>998.35</v>
      </c>
      <c r="F216" s="228">
        <v>994.45</v>
      </c>
      <c r="G216" s="228">
        <v>3.9</v>
      </c>
      <c r="H216" s="229">
        <v>3.8999999999999998E-3</v>
      </c>
      <c r="I216" s="228">
        <v>994.65</v>
      </c>
      <c r="J216" s="228">
        <v>988.3</v>
      </c>
      <c r="K216" s="228">
        <v>6.35</v>
      </c>
      <c r="L216" s="229">
        <v>6.4000000000000003E-3</v>
      </c>
      <c r="M216" s="228">
        <v>998.35</v>
      </c>
      <c r="N216" s="228">
        <v>994.45</v>
      </c>
      <c r="O216" s="228">
        <v>3.9</v>
      </c>
      <c r="P216" s="229">
        <v>3.8999999999999998E-3</v>
      </c>
      <c r="Q216" s="231">
        <v>1004.35</v>
      </c>
      <c r="R216" s="231">
        <v>1000.2</v>
      </c>
      <c r="S216" s="228">
        <v>4.1500000000000004</v>
      </c>
      <c r="T216" s="229">
        <v>4.1000000000000003E-3</v>
      </c>
      <c r="U216" s="231">
        <v>1007.3</v>
      </c>
      <c r="V216" s="228">
        <v>0</v>
      </c>
      <c r="W216" s="231">
        <v>1007.3</v>
      </c>
      <c r="X216" s="229">
        <v>0</v>
      </c>
      <c r="Y216" s="228">
        <v>3.7</v>
      </c>
      <c r="Z216" s="228">
        <v>6.15</v>
      </c>
      <c r="AA216" s="228">
        <v>-2.4500000000000002</v>
      </c>
      <c r="AB216" s="229">
        <v>3.7000000000000002E-3</v>
      </c>
      <c r="AC216" s="228">
        <v>3.7</v>
      </c>
      <c r="AD216" s="228">
        <v>6.15</v>
      </c>
      <c r="AE216" s="228">
        <v>-2.4500000000000002</v>
      </c>
      <c r="AF216" s="229">
        <v>3.7000000000000002E-3</v>
      </c>
      <c r="AG216" s="228">
        <v>9.6999999999999993</v>
      </c>
      <c r="AH216" s="228">
        <v>11.9</v>
      </c>
      <c r="AI216" s="228">
        <v>-2.2000000000000002</v>
      </c>
      <c r="AJ216" s="229">
        <v>9.7999999999999997E-3</v>
      </c>
      <c r="AK216" s="228">
        <v>12.65</v>
      </c>
      <c r="AL216" s="228">
        <v>0</v>
      </c>
      <c r="AM216" s="228">
        <v>12.65</v>
      </c>
      <c r="AN216" s="229">
        <v>1.2699999999999999E-2</v>
      </c>
      <c r="AO216" s="228">
        <v>992.31</v>
      </c>
      <c r="AP216" s="228">
        <v>992.76</v>
      </c>
      <c r="AQ216" s="228">
        <v>0</v>
      </c>
      <c r="AR216" s="230">
        <v>756900</v>
      </c>
      <c r="AS216" s="230">
        <v>996300</v>
      </c>
      <c r="AT216" s="230">
        <v>-239400</v>
      </c>
      <c r="AU216" s="229">
        <v>-0.24030000000000001</v>
      </c>
      <c r="AV216" s="230">
        <v>722700</v>
      </c>
      <c r="AW216" s="230">
        <v>958500</v>
      </c>
      <c r="AX216" s="230">
        <v>-235800</v>
      </c>
      <c r="AY216" s="229">
        <v>-0.246</v>
      </c>
      <c r="AZ216" s="230">
        <v>33300</v>
      </c>
      <c r="BA216" s="230">
        <v>37800</v>
      </c>
      <c r="BB216" s="230">
        <v>-4500</v>
      </c>
      <c r="BC216" s="229">
        <v>-0.11899999999999999</v>
      </c>
      <c r="BD216" s="228">
        <v>900</v>
      </c>
      <c r="BE216" s="228">
        <v>0</v>
      </c>
      <c r="BF216" s="228">
        <v>900</v>
      </c>
      <c r="BG216" s="229">
        <v>0</v>
      </c>
      <c r="BH216" s="230">
        <v>1862100</v>
      </c>
      <c r="BI216" s="230">
        <v>1084500</v>
      </c>
      <c r="BJ216" s="230">
        <v>777600</v>
      </c>
      <c r="BK216" s="229">
        <v>0.71699999999999997</v>
      </c>
      <c r="BL216" s="230">
        <v>700200</v>
      </c>
      <c r="BM216" s="230">
        <v>898200</v>
      </c>
      <c r="BN216" s="230">
        <v>-198000</v>
      </c>
      <c r="BO216" s="229">
        <v>-0.22040000000000001</v>
      </c>
      <c r="BP216" s="230">
        <v>3319200</v>
      </c>
      <c r="BQ216" s="230">
        <v>2979000</v>
      </c>
      <c r="BR216" s="230">
        <v>340200</v>
      </c>
      <c r="BS216" s="229">
        <v>0.1142</v>
      </c>
      <c r="BT216" s="230">
        <v>384531</v>
      </c>
      <c r="BU216" s="230">
        <v>599734</v>
      </c>
      <c r="BV216" s="230">
        <v>-215203</v>
      </c>
      <c r="BW216" s="229">
        <v>-0.35880000000000001</v>
      </c>
      <c r="BX216" s="230">
        <v>8186400</v>
      </c>
      <c r="BY216" s="230">
        <v>8154900</v>
      </c>
      <c r="BZ216" s="230">
        <v>31500</v>
      </c>
      <c r="CA216" s="229">
        <v>3.8999999999999998E-3</v>
      </c>
      <c r="CB216" s="230">
        <v>8064900</v>
      </c>
      <c r="CC216" s="230">
        <v>8030700</v>
      </c>
      <c r="CD216" s="230">
        <v>34200</v>
      </c>
      <c r="CE216" s="229">
        <v>4.3E-3</v>
      </c>
      <c r="CF216" s="230">
        <v>120600</v>
      </c>
      <c r="CG216" s="230">
        <v>124200</v>
      </c>
      <c r="CH216" s="230">
        <v>-3600</v>
      </c>
      <c r="CI216" s="229">
        <v>-2.9000000000000001E-2</v>
      </c>
      <c r="CJ216" s="228">
        <v>900</v>
      </c>
      <c r="CK216" s="228">
        <v>0</v>
      </c>
      <c r="CL216" s="228">
        <v>900</v>
      </c>
      <c r="CM216" s="229">
        <v>0</v>
      </c>
      <c r="CN216" s="230">
        <v>2220300</v>
      </c>
      <c r="CO216" s="230">
        <v>1908000</v>
      </c>
      <c r="CP216" s="230">
        <v>312300</v>
      </c>
      <c r="CQ216" s="229">
        <v>0.16370000000000001</v>
      </c>
      <c r="CR216" s="230">
        <v>1547100</v>
      </c>
      <c r="CS216" s="230">
        <v>1550700</v>
      </c>
      <c r="CT216" s="230">
        <v>-3600</v>
      </c>
      <c r="CU216" s="229">
        <v>-2.3E-3</v>
      </c>
      <c r="CV216" s="230">
        <v>11953800</v>
      </c>
      <c r="CW216" s="230">
        <v>11613600</v>
      </c>
      <c r="CX216" s="230">
        <v>340200</v>
      </c>
      <c r="CY216" s="229">
        <v>2.93E-2</v>
      </c>
      <c r="CZ216" s="228">
        <v>23.05</v>
      </c>
      <c r="DA216" s="228">
        <v>23.65</v>
      </c>
      <c r="DB216" s="228">
        <v>-0.6</v>
      </c>
      <c r="DC216" s="228">
        <v>-0.6</v>
      </c>
      <c r="DD216" s="228">
        <v>30.36</v>
      </c>
      <c r="DE216" s="228">
        <v>30.43</v>
      </c>
      <c r="DF216" s="228">
        <v>-7.31</v>
      </c>
      <c r="DG216" s="228">
        <v>-7.0000000000000007E-2</v>
      </c>
      <c r="DH216" s="228">
        <v>22.75</v>
      </c>
      <c r="DI216" s="228">
        <v>22.84</v>
      </c>
      <c r="DJ216" s="228">
        <v>-0.09</v>
      </c>
      <c r="DK216" s="228">
        <v>-0.09</v>
      </c>
      <c r="DL216" s="228">
        <v>23.88</v>
      </c>
      <c r="DM216" s="228">
        <v>24.62</v>
      </c>
      <c r="DN216" s="228">
        <v>-0.74</v>
      </c>
      <c r="DO216" s="228">
        <v>-0.74</v>
      </c>
      <c r="DP216" s="228">
        <v>0.7</v>
      </c>
      <c r="DQ216" s="228">
        <v>0.81</v>
      </c>
      <c r="DR216" s="228">
        <v>-0.11</v>
      </c>
      <c r="DS216" s="229">
        <v>-0.1358</v>
      </c>
      <c r="DT216" s="231">
        <v>1100</v>
      </c>
      <c r="DU216" s="228">
        <v>880</v>
      </c>
      <c r="DV216" s="228">
        <v>0.38</v>
      </c>
      <c r="DW216" s="228">
        <v>0.83</v>
      </c>
      <c r="DX216" s="228">
        <v>-0.45</v>
      </c>
      <c r="DY216" s="229">
        <v>-0.54220000000000002</v>
      </c>
      <c r="DZ216" s="229">
        <v>1.4800000000000001E-2</v>
      </c>
      <c r="EA216" s="230">
        <v>124200</v>
      </c>
      <c r="EB216" s="229">
        <v>6.0000000000000001E-3</v>
      </c>
      <c r="EC216" s="229">
        <v>1.4800000000000001E-2</v>
      </c>
      <c r="ED216" s="228">
        <v>0.45</v>
      </c>
      <c r="EE216" s="229">
        <v>5.0000000000000001E-4</v>
      </c>
      <c r="EF216" s="230">
        <v>206700</v>
      </c>
      <c r="EG216" s="230">
        <v>331238</v>
      </c>
      <c r="EH216" s="229">
        <v>-0.376</v>
      </c>
      <c r="EI216" s="229">
        <v>0.53749999999999998</v>
      </c>
      <c r="EJ216" s="231">
        <v>19366.14</v>
      </c>
      <c r="EK216" s="231">
        <v>6716.99</v>
      </c>
      <c r="EL216" s="231">
        <v>7511.09</v>
      </c>
      <c r="EM216" s="231">
        <v>3173</v>
      </c>
      <c r="EN216" s="231">
        <v>33594.22</v>
      </c>
      <c r="EO216" s="231">
        <v>29771.35</v>
      </c>
      <c r="EP216" s="231">
        <v>3822.87</v>
      </c>
      <c r="EQ216" s="229">
        <v>0.12839999999999999</v>
      </c>
      <c r="ER216" s="231">
        <v>23567</v>
      </c>
      <c r="ES216" s="231">
        <v>14970</v>
      </c>
      <c r="ET216" s="231">
        <v>81736</v>
      </c>
      <c r="EU216" s="231">
        <v>32617803</v>
      </c>
      <c r="EV216" s="231">
        <v>120272</v>
      </c>
      <c r="EW216" s="231">
        <v>116404</v>
      </c>
      <c r="EX216" s="231">
        <v>3868</v>
      </c>
      <c r="EY216" s="229">
        <v>3.32E-2</v>
      </c>
      <c r="EZ216" s="229">
        <v>0.36649999999999999</v>
      </c>
      <c r="FA216" s="227" t="s">
        <v>555</v>
      </c>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BX326-CB326</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topLeftCell="EJ1" zoomScale="87" zoomScaleNormal="87" workbookViewId="0">
      <selection activeCell="EQ9" sqref="EQ9"/>
    </sheetView>
  </sheetViews>
  <sheetFormatPr defaultRowHeight="15" x14ac:dyDescent="0.25"/>
  <cols>
    <col min="1" max="1" width="12"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3.5703125" bestFit="1" customWidth="1"/>
    <col min="82" max="82" width="11.42578125" bestFit="1" customWidth="1"/>
    <col min="83" max="83" width="13.140625" bestFit="1" customWidth="1"/>
    <col min="84" max="84" width="14.42578125" bestFit="1" customWidth="1"/>
    <col min="85" max="85" width="13.5703125" bestFit="1" customWidth="1"/>
    <col min="86" max="87" width="11.42578125" bestFit="1" customWidth="1"/>
    <col min="88" max="88" width="12.85546875" bestFit="1" customWidth="1"/>
    <col min="89" max="89" width="11.5703125" bestFit="1" customWidth="1"/>
    <col min="90" max="90" width="10.42578125" bestFit="1" customWidth="1"/>
    <col min="91" max="91" width="14.28515625" bestFit="1" customWidth="1"/>
    <col min="92" max="92" width="13.42578125" bestFit="1" customWidth="1"/>
    <col min="93" max="93" width="13.140625" bestFit="1" customWidth="1"/>
    <col min="94" max="94" width="10.42578125" bestFit="1" customWidth="1"/>
    <col min="95" max="95" width="13.140625" bestFit="1" customWidth="1"/>
    <col min="96" max="96" width="13.28515625" bestFit="1" customWidth="1"/>
    <col min="97" max="97" width="12.28515625" bestFit="1" customWidth="1"/>
    <col min="98" max="98" width="10.28515625" bestFit="1" customWidth="1"/>
    <col min="99" max="99" width="14.28515625" bestFit="1" customWidth="1"/>
    <col min="100" max="100" width="14.7109375" bestFit="1" customWidth="1"/>
    <col min="101" max="101" width="13.85546875"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45936</v>
      </c>
      <c r="B2" s="227" t="s">
        <v>215</v>
      </c>
      <c r="C2" s="227" t="s">
        <v>159</v>
      </c>
      <c r="D2" s="231">
        <v>2588.8000000000002</v>
      </c>
      <c r="E2" s="231">
        <v>2607.1999999999998</v>
      </c>
      <c r="F2" s="228">
        <v>-18.399999999999999</v>
      </c>
      <c r="G2" s="229">
        <v>-7.1000000000000004E-3</v>
      </c>
      <c r="H2" s="231">
        <v>2573.5</v>
      </c>
      <c r="I2" s="231">
        <v>2589.9</v>
      </c>
      <c r="J2" s="228">
        <v>-16.399999999999999</v>
      </c>
      <c r="K2" s="229">
        <v>-6.3E-3</v>
      </c>
      <c r="L2" s="231">
        <v>2588.8000000000002</v>
      </c>
      <c r="M2" s="231">
        <v>2607.1999999999998</v>
      </c>
      <c r="N2" s="228">
        <v>-18.399999999999999</v>
      </c>
      <c r="O2" s="229">
        <v>-7.1000000000000004E-3</v>
      </c>
      <c r="P2" s="231">
        <v>2604.3000000000002</v>
      </c>
      <c r="Q2" s="231">
        <v>2621</v>
      </c>
      <c r="R2" s="228">
        <v>-16.7</v>
      </c>
      <c r="S2" s="229">
        <v>-6.4000000000000003E-3</v>
      </c>
      <c r="T2" s="231">
        <v>2617.5</v>
      </c>
      <c r="U2" s="231">
        <v>2635.1</v>
      </c>
      <c r="V2" s="228">
        <v>-17.600000000000001</v>
      </c>
      <c r="W2" s="229">
        <v>-6.7000000000000002E-3</v>
      </c>
      <c r="X2" s="228">
        <v>15.3</v>
      </c>
      <c r="Y2" s="228">
        <v>17.3</v>
      </c>
      <c r="Z2" s="228">
        <v>-2</v>
      </c>
      <c r="AA2" s="229">
        <v>5.8999999999999999E-3</v>
      </c>
      <c r="AB2" s="228">
        <v>15.3</v>
      </c>
      <c r="AC2" s="228">
        <v>17.3</v>
      </c>
      <c r="AD2" s="228">
        <v>-2</v>
      </c>
      <c r="AE2" s="229">
        <v>5.8999999999999999E-3</v>
      </c>
      <c r="AF2" s="228">
        <v>30.8</v>
      </c>
      <c r="AG2" s="228">
        <v>31.1</v>
      </c>
      <c r="AH2" s="228">
        <v>-0.3</v>
      </c>
      <c r="AI2" s="229">
        <v>1.2E-2</v>
      </c>
      <c r="AJ2" s="228">
        <v>44</v>
      </c>
      <c r="AK2" s="228">
        <v>45.2</v>
      </c>
      <c r="AL2" s="228">
        <v>-1.2</v>
      </c>
      <c r="AM2" s="229">
        <v>1.7100000000000001E-2</v>
      </c>
      <c r="AN2" s="231">
        <v>2588.59</v>
      </c>
      <c r="AO2" s="231">
        <v>2603.56</v>
      </c>
      <c r="AP2" s="228">
        <v>0</v>
      </c>
      <c r="AQ2" s="230">
        <v>5377</v>
      </c>
      <c r="AR2" s="230">
        <v>7230</v>
      </c>
      <c r="AS2" s="230">
        <v>-1853</v>
      </c>
      <c r="AT2" s="229">
        <v>-0.25629999999999997</v>
      </c>
      <c r="AU2" s="230">
        <v>5154</v>
      </c>
      <c r="AV2" s="230">
        <v>6967</v>
      </c>
      <c r="AW2" s="230">
        <v>-1813</v>
      </c>
      <c r="AX2" s="229">
        <v>-0.26019999999999999</v>
      </c>
      <c r="AY2" s="228">
        <v>205</v>
      </c>
      <c r="AZ2" s="228">
        <v>219</v>
      </c>
      <c r="BA2" s="228">
        <v>-14</v>
      </c>
      <c r="BB2" s="229">
        <v>-6.3899999999999998E-2</v>
      </c>
      <c r="BC2" s="228">
        <v>18</v>
      </c>
      <c r="BD2" s="228">
        <v>44</v>
      </c>
      <c r="BE2" s="228">
        <v>-26</v>
      </c>
      <c r="BF2" s="229">
        <v>-0.59089999999999998</v>
      </c>
      <c r="BG2" s="230">
        <v>16232</v>
      </c>
      <c r="BH2" s="230">
        <v>27699</v>
      </c>
      <c r="BI2" s="230">
        <v>-11467</v>
      </c>
      <c r="BJ2" s="229">
        <v>-0.41399999999999998</v>
      </c>
      <c r="BK2" s="230">
        <v>6411</v>
      </c>
      <c r="BL2" s="230">
        <v>12353</v>
      </c>
      <c r="BM2" s="230">
        <v>-5942</v>
      </c>
      <c r="BN2" s="229">
        <v>-0.48099999999999998</v>
      </c>
      <c r="BO2" s="230">
        <v>28020</v>
      </c>
      <c r="BP2" s="230">
        <v>47282</v>
      </c>
      <c r="BQ2" s="230">
        <v>-19262</v>
      </c>
      <c r="BR2" s="229">
        <v>-0.40739999999999998</v>
      </c>
      <c r="BS2" s="230">
        <v>682348</v>
      </c>
      <c r="BT2" s="230">
        <v>962400</v>
      </c>
      <c r="BU2" s="230">
        <v>-280052</v>
      </c>
      <c r="BV2" s="229">
        <v>-0.29099999999999998</v>
      </c>
      <c r="BW2" s="230">
        <v>14431200</v>
      </c>
      <c r="BX2" s="230">
        <v>14574000</v>
      </c>
      <c r="BY2" s="230">
        <v>-142800</v>
      </c>
      <c r="BZ2" s="229">
        <v>-9.7999999999999997E-3</v>
      </c>
      <c r="CA2" s="230">
        <v>14196000</v>
      </c>
      <c r="CB2" s="230">
        <v>14356500</v>
      </c>
      <c r="CC2" s="230">
        <v>-160500</v>
      </c>
      <c r="CD2" s="229">
        <v>-1.12E-2</v>
      </c>
      <c r="CE2" s="230">
        <v>226200</v>
      </c>
      <c r="CF2" s="230">
        <v>211200</v>
      </c>
      <c r="CG2" s="230">
        <v>15000</v>
      </c>
      <c r="CH2" s="229">
        <v>7.0999999999999994E-2</v>
      </c>
      <c r="CI2" s="230">
        <v>9000</v>
      </c>
      <c r="CJ2" s="230">
        <v>6300</v>
      </c>
      <c r="CK2" s="230">
        <v>2700</v>
      </c>
      <c r="CL2" s="229">
        <v>0.42859999999999998</v>
      </c>
      <c r="CM2" s="230">
        <v>6050700</v>
      </c>
      <c r="CN2" s="230">
        <v>5687400</v>
      </c>
      <c r="CO2" s="230">
        <v>363300</v>
      </c>
      <c r="CP2" s="229">
        <v>6.3899999999999998E-2</v>
      </c>
      <c r="CQ2" s="230">
        <v>3859500</v>
      </c>
      <c r="CR2" s="230">
        <v>3731700</v>
      </c>
      <c r="CS2" s="230">
        <v>127800</v>
      </c>
      <c r="CT2" s="229">
        <v>3.4200000000000001E-2</v>
      </c>
      <c r="CU2" s="230">
        <v>24341400</v>
      </c>
      <c r="CV2" s="230">
        <v>23993100</v>
      </c>
      <c r="CW2" s="230">
        <v>348300</v>
      </c>
      <c r="CX2" s="229">
        <v>1.4500000000000001E-2</v>
      </c>
      <c r="CY2" s="228">
        <v>30.79</v>
      </c>
      <c r="CZ2" s="228">
        <v>29.62</v>
      </c>
      <c r="DA2" s="228">
        <v>1.17</v>
      </c>
      <c r="DB2" s="228">
        <v>1.17</v>
      </c>
      <c r="DC2" s="228">
        <v>50.18</v>
      </c>
      <c r="DD2" s="228">
        <v>50.3</v>
      </c>
      <c r="DE2" s="228">
        <v>-19.39</v>
      </c>
      <c r="DF2" s="228">
        <v>-0.12</v>
      </c>
      <c r="DG2" s="228">
        <v>31.06</v>
      </c>
      <c r="DH2" s="228">
        <v>29.77</v>
      </c>
      <c r="DI2" s="228">
        <v>1.29</v>
      </c>
      <c r="DJ2" s="228">
        <v>1.29</v>
      </c>
      <c r="DK2" s="228">
        <v>30.08</v>
      </c>
      <c r="DL2" s="228">
        <v>29.3</v>
      </c>
      <c r="DM2" s="228">
        <v>0.78</v>
      </c>
      <c r="DN2" s="228">
        <v>0.78</v>
      </c>
      <c r="DO2" s="228">
        <v>0.64</v>
      </c>
      <c r="DP2" s="228">
        <v>0.66</v>
      </c>
      <c r="DQ2" s="228">
        <v>-0.02</v>
      </c>
      <c r="DR2" s="229">
        <v>-3.0300000000000001E-2</v>
      </c>
      <c r="DS2" s="231">
        <v>2600</v>
      </c>
      <c r="DT2" s="231">
        <v>2500</v>
      </c>
      <c r="DU2" s="228">
        <v>0.39</v>
      </c>
      <c r="DV2" s="228">
        <v>0.45</v>
      </c>
      <c r="DW2" s="228">
        <v>-0.06</v>
      </c>
      <c r="DX2" s="229">
        <v>-0.1333</v>
      </c>
      <c r="DY2" s="229">
        <v>1.6299999999999999E-2</v>
      </c>
      <c r="DZ2" s="230">
        <v>217500</v>
      </c>
      <c r="EA2" s="229">
        <v>6.0000000000000001E-3</v>
      </c>
      <c r="EB2" s="229">
        <v>1.6299999999999999E-2</v>
      </c>
      <c r="EC2" s="228">
        <v>14.97</v>
      </c>
      <c r="ED2" s="229">
        <v>5.7999999999999996E-3</v>
      </c>
      <c r="EE2" s="230">
        <v>237490</v>
      </c>
      <c r="EF2" s="230">
        <v>191145</v>
      </c>
      <c r="EG2" s="229">
        <v>0.24249999999999999</v>
      </c>
      <c r="EH2" s="229">
        <v>0.34799999999999998</v>
      </c>
      <c r="EI2" s="231">
        <v>133174.69</v>
      </c>
      <c r="EJ2" s="231">
        <v>49846.09</v>
      </c>
      <c r="EK2" s="231">
        <v>41767.279999999999</v>
      </c>
      <c r="EL2" s="231">
        <v>16042</v>
      </c>
      <c r="EM2" s="231">
        <v>224788.06</v>
      </c>
      <c r="EN2" s="231">
        <v>380459.15</v>
      </c>
      <c r="EO2" s="231">
        <v>-155671.09</v>
      </c>
      <c r="EP2" s="229">
        <v>-0.40920000000000001</v>
      </c>
      <c r="EQ2" s="231">
        <v>164184</v>
      </c>
      <c r="ER2" s="231">
        <v>96445</v>
      </c>
      <c r="ES2" s="231">
        <v>373633</v>
      </c>
      <c r="ET2" s="231">
        <v>30040977</v>
      </c>
      <c r="EU2" s="231">
        <v>634261</v>
      </c>
      <c r="EV2" s="231">
        <v>627936</v>
      </c>
      <c r="EW2" s="231">
        <v>6325</v>
      </c>
      <c r="EX2" s="229">
        <v>1.01E-2</v>
      </c>
      <c r="EY2" s="229">
        <v>0.81030000000000002</v>
      </c>
    </row>
    <row r="3" spans="1:155" ht="17.25" thickBot="1" x14ac:dyDescent="0.3">
      <c r="A3" s="226">
        <v>45936</v>
      </c>
      <c r="B3" s="227" t="s">
        <v>215</v>
      </c>
      <c r="C3" s="227" t="s">
        <v>160</v>
      </c>
      <c r="D3" s="231">
        <v>1408.2</v>
      </c>
      <c r="E3" s="231">
        <v>1427.9</v>
      </c>
      <c r="F3" s="228">
        <v>-19.7</v>
      </c>
      <c r="G3" s="229">
        <v>-1.38E-2</v>
      </c>
      <c r="H3" s="231">
        <v>1400.5</v>
      </c>
      <c r="I3" s="231">
        <v>1419.1</v>
      </c>
      <c r="J3" s="228">
        <v>-18.600000000000001</v>
      </c>
      <c r="K3" s="229">
        <v>-1.3100000000000001E-2</v>
      </c>
      <c r="L3" s="231">
        <v>1408.2</v>
      </c>
      <c r="M3" s="231">
        <v>1427.9</v>
      </c>
      <c r="N3" s="228">
        <v>-19.7</v>
      </c>
      <c r="O3" s="229">
        <v>-1.38E-2</v>
      </c>
      <c r="P3" s="231">
        <v>1415.9</v>
      </c>
      <c r="Q3" s="231">
        <v>1436</v>
      </c>
      <c r="R3" s="228">
        <v>-20.100000000000001</v>
      </c>
      <c r="S3" s="229">
        <v>-1.4E-2</v>
      </c>
      <c r="T3" s="231">
        <v>1424.5</v>
      </c>
      <c r="U3" s="231">
        <v>1445</v>
      </c>
      <c r="V3" s="228">
        <v>-20.5</v>
      </c>
      <c r="W3" s="229">
        <v>-1.4200000000000001E-2</v>
      </c>
      <c r="X3" s="228">
        <v>7.7</v>
      </c>
      <c r="Y3" s="228">
        <v>8.8000000000000007</v>
      </c>
      <c r="Z3" s="228">
        <v>-1.1000000000000001</v>
      </c>
      <c r="AA3" s="229">
        <v>5.4999999999999997E-3</v>
      </c>
      <c r="AB3" s="228">
        <v>7.7</v>
      </c>
      <c r="AC3" s="228">
        <v>8.8000000000000007</v>
      </c>
      <c r="AD3" s="228">
        <v>-1.1000000000000001</v>
      </c>
      <c r="AE3" s="229">
        <v>5.4999999999999997E-3</v>
      </c>
      <c r="AF3" s="228">
        <v>15.4</v>
      </c>
      <c r="AG3" s="228">
        <v>16.899999999999999</v>
      </c>
      <c r="AH3" s="228">
        <v>-1.5</v>
      </c>
      <c r="AI3" s="229">
        <v>1.0999999999999999E-2</v>
      </c>
      <c r="AJ3" s="228">
        <v>24</v>
      </c>
      <c r="AK3" s="228">
        <v>25.9</v>
      </c>
      <c r="AL3" s="228">
        <v>-1.9</v>
      </c>
      <c r="AM3" s="229">
        <v>1.7100000000000001E-2</v>
      </c>
      <c r="AN3" s="231">
        <v>1408.72</v>
      </c>
      <c r="AO3" s="231">
        <v>1416.22</v>
      </c>
      <c r="AP3" s="228">
        <v>0</v>
      </c>
      <c r="AQ3" s="230">
        <v>5890</v>
      </c>
      <c r="AR3" s="230">
        <v>4780</v>
      </c>
      <c r="AS3" s="230">
        <v>1110</v>
      </c>
      <c r="AT3" s="229">
        <v>0.23219999999999999</v>
      </c>
      <c r="AU3" s="230">
        <v>5516</v>
      </c>
      <c r="AV3" s="230">
        <v>4496</v>
      </c>
      <c r="AW3" s="230">
        <v>1020</v>
      </c>
      <c r="AX3" s="229">
        <v>0.22689999999999999</v>
      </c>
      <c r="AY3" s="228">
        <v>317</v>
      </c>
      <c r="AZ3" s="228">
        <v>259</v>
      </c>
      <c r="BA3" s="228">
        <v>58</v>
      </c>
      <c r="BB3" s="229">
        <v>0.22389999999999999</v>
      </c>
      <c r="BC3" s="228">
        <v>57</v>
      </c>
      <c r="BD3" s="228">
        <v>25</v>
      </c>
      <c r="BE3" s="228">
        <v>32</v>
      </c>
      <c r="BF3" s="229">
        <v>1.28</v>
      </c>
      <c r="BG3" s="230">
        <v>18346</v>
      </c>
      <c r="BH3" s="230">
        <v>16521</v>
      </c>
      <c r="BI3" s="230">
        <v>1825</v>
      </c>
      <c r="BJ3" s="229">
        <v>0.1105</v>
      </c>
      <c r="BK3" s="230">
        <v>9546</v>
      </c>
      <c r="BL3" s="230">
        <v>6154</v>
      </c>
      <c r="BM3" s="230">
        <v>3392</v>
      </c>
      <c r="BN3" s="229">
        <v>0.55120000000000002</v>
      </c>
      <c r="BO3" s="230">
        <v>33782</v>
      </c>
      <c r="BP3" s="230">
        <v>27455</v>
      </c>
      <c r="BQ3" s="230">
        <v>6327</v>
      </c>
      <c r="BR3" s="229">
        <v>0.23039999999999999</v>
      </c>
      <c r="BS3" s="230">
        <v>1386694</v>
      </c>
      <c r="BT3" s="230">
        <v>1628064</v>
      </c>
      <c r="BU3" s="230">
        <v>-241370</v>
      </c>
      <c r="BV3" s="229">
        <v>-0.14829999999999999</v>
      </c>
      <c r="BW3" s="230">
        <v>22644200</v>
      </c>
      <c r="BX3" s="230">
        <v>22690750</v>
      </c>
      <c r="BY3" s="230">
        <v>-46550</v>
      </c>
      <c r="BZ3" s="229">
        <v>-2.0999999999999999E-3</v>
      </c>
      <c r="CA3" s="230">
        <v>22020525</v>
      </c>
      <c r="CB3" s="230">
        <v>22123125</v>
      </c>
      <c r="CC3" s="230">
        <v>-102600</v>
      </c>
      <c r="CD3" s="229">
        <v>-4.5999999999999999E-3</v>
      </c>
      <c r="CE3" s="230">
        <v>589000</v>
      </c>
      <c r="CF3" s="230">
        <v>549100</v>
      </c>
      <c r="CG3" s="230">
        <v>39900</v>
      </c>
      <c r="CH3" s="229">
        <v>7.2700000000000001E-2</v>
      </c>
      <c r="CI3" s="230">
        <v>34675</v>
      </c>
      <c r="CJ3" s="230">
        <v>18525</v>
      </c>
      <c r="CK3" s="230">
        <v>16150</v>
      </c>
      <c r="CL3" s="229">
        <v>0.87180000000000002</v>
      </c>
      <c r="CM3" s="230">
        <v>6960650</v>
      </c>
      <c r="CN3" s="230">
        <v>5906625</v>
      </c>
      <c r="CO3" s="230">
        <v>1054025</v>
      </c>
      <c r="CP3" s="229">
        <v>0.1784</v>
      </c>
      <c r="CQ3" s="230">
        <v>4113500</v>
      </c>
      <c r="CR3" s="230">
        <v>3927775</v>
      </c>
      <c r="CS3" s="230">
        <v>185725</v>
      </c>
      <c r="CT3" s="229">
        <v>4.7300000000000002E-2</v>
      </c>
      <c r="CU3" s="230">
        <v>33718350</v>
      </c>
      <c r="CV3" s="230">
        <v>32525150</v>
      </c>
      <c r="CW3" s="230">
        <v>1193200</v>
      </c>
      <c r="CX3" s="229">
        <v>3.6700000000000003E-2</v>
      </c>
      <c r="CY3" s="228">
        <v>23.13</v>
      </c>
      <c r="CZ3" s="228">
        <v>21.36</v>
      </c>
      <c r="DA3" s="228">
        <v>1.77</v>
      </c>
      <c r="DB3" s="228">
        <v>1.77</v>
      </c>
      <c r="DC3" s="228">
        <v>39.58</v>
      </c>
      <c r="DD3" s="228">
        <v>39.630000000000003</v>
      </c>
      <c r="DE3" s="228">
        <v>-16.45</v>
      </c>
      <c r="DF3" s="228">
        <v>-0.05</v>
      </c>
      <c r="DG3" s="228">
        <v>23.46</v>
      </c>
      <c r="DH3" s="228">
        <v>21.52</v>
      </c>
      <c r="DI3" s="228">
        <v>1.94</v>
      </c>
      <c r="DJ3" s="228">
        <v>1.94</v>
      </c>
      <c r="DK3" s="228">
        <v>22.51</v>
      </c>
      <c r="DL3" s="228">
        <v>20.92</v>
      </c>
      <c r="DM3" s="228">
        <v>1.59</v>
      </c>
      <c r="DN3" s="228">
        <v>1.59</v>
      </c>
      <c r="DO3" s="228">
        <v>0.59</v>
      </c>
      <c r="DP3" s="228">
        <v>0.66</v>
      </c>
      <c r="DQ3" s="228">
        <v>-7.0000000000000007E-2</v>
      </c>
      <c r="DR3" s="229">
        <v>-0.1061</v>
      </c>
      <c r="DS3" s="231">
        <v>1500</v>
      </c>
      <c r="DT3" s="231">
        <v>1400</v>
      </c>
      <c r="DU3" s="228">
        <v>0.52</v>
      </c>
      <c r="DV3" s="228">
        <v>0.37</v>
      </c>
      <c r="DW3" s="228">
        <v>0.15</v>
      </c>
      <c r="DX3" s="229">
        <v>0.40539999999999998</v>
      </c>
      <c r="DY3" s="229">
        <v>2.75E-2</v>
      </c>
      <c r="DZ3" s="230">
        <v>567625</v>
      </c>
      <c r="EA3" s="229">
        <v>5.4999999999999997E-3</v>
      </c>
      <c r="EB3" s="229">
        <v>2.75E-2</v>
      </c>
      <c r="EC3" s="228">
        <v>7.5</v>
      </c>
      <c r="ED3" s="229">
        <v>5.3E-3</v>
      </c>
      <c r="EE3" s="230">
        <v>520448</v>
      </c>
      <c r="EF3" s="230">
        <v>827770</v>
      </c>
      <c r="EG3" s="229">
        <v>-0.37130000000000002</v>
      </c>
      <c r="EH3" s="229">
        <v>0.37530000000000002</v>
      </c>
      <c r="EI3" s="231">
        <v>127797.68</v>
      </c>
      <c r="EJ3" s="231">
        <v>63788.01</v>
      </c>
      <c r="EK3" s="231">
        <v>39428.449999999997</v>
      </c>
      <c r="EL3" s="231">
        <v>16193</v>
      </c>
      <c r="EM3" s="231">
        <v>231014.14</v>
      </c>
      <c r="EN3" s="231">
        <v>190764.58</v>
      </c>
      <c r="EO3" s="231">
        <v>40249.56</v>
      </c>
      <c r="EP3" s="229">
        <v>0.21099999999999999</v>
      </c>
      <c r="EQ3" s="231">
        <v>102305</v>
      </c>
      <c r="ER3" s="231">
        <v>56980</v>
      </c>
      <c r="ES3" s="231">
        <v>318927</v>
      </c>
      <c r="ET3" s="231">
        <v>73799006</v>
      </c>
      <c r="EU3" s="231">
        <v>478212</v>
      </c>
      <c r="EV3" s="231">
        <v>465485</v>
      </c>
      <c r="EW3" s="231">
        <v>12727</v>
      </c>
      <c r="EX3" s="229">
        <v>2.7300000000000001E-2</v>
      </c>
      <c r="EY3" s="229">
        <v>0.45689999999999997</v>
      </c>
    </row>
    <row r="4" spans="1:155" ht="17.25" thickBot="1" x14ac:dyDescent="0.3">
      <c r="A4" s="226">
        <v>45936</v>
      </c>
      <c r="B4" s="227" t="s">
        <v>170</v>
      </c>
      <c r="C4" s="227" t="s">
        <v>165</v>
      </c>
      <c r="D4" s="231">
        <v>7687.5</v>
      </c>
      <c r="E4" s="231">
        <v>7483</v>
      </c>
      <c r="F4" s="228">
        <v>204.5</v>
      </c>
      <c r="G4" s="229">
        <v>2.7300000000000001E-2</v>
      </c>
      <c r="H4" s="231">
        <v>7662</v>
      </c>
      <c r="I4" s="231">
        <v>7449.5</v>
      </c>
      <c r="J4" s="228">
        <v>212.5</v>
      </c>
      <c r="K4" s="229">
        <v>2.8500000000000001E-2</v>
      </c>
      <c r="L4" s="231">
        <v>7687.5</v>
      </c>
      <c r="M4" s="231">
        <v>7483</v>
      </c>
      <c r="N4" s="228">
        <v>204.5</v>
      </c>
      <c r="O4" s="229">
        <v>2.7300000000000001E-2</v>
      </c>
      <c r="P4" s="231">
        <v>7726</v>
      </c>
      <c r="Q4" s="231">
        <v>7521</v>
      </c>
      <c r="R4" s="228">
        <v>205</v>
      </c>
      <c r="S4" s="229">
        <v>2.7300000000000001E-2</v>
      </c>
      <c r="T4" s="231">
        <v>7769</v>
      </c>
      <c r="U4" s="231">
        <v>7562</v>
      </c>
      <c r="V4" s="228">
        <v>207</v>
      </c>
      <c r="W4" s="229">
        <v>2.7400000000000001E-2</v>
      </c>
      <c r="X4" s="228">
        <v>25.5</v>
      </c>
      <c r="Y4" s="228">
        <v>33.5</v>
      </c>
      <c r="Z4" s="228">
        <v>-8</v>
      </c>
      <c r="AA4" s="229">
        <v>3.3E-3</v>
      </c>
      <c r="AB4" s="228">
        <v>25.5</v>
      </c>
      <c r="AC4" s="228">
        <v>33.5</v>
      </c>
      <c r="AD4" s="228">
        <v>-8</v>
      </c>
      <c r="AE4" s="229">
        <v>3.3E-3</v>
      </c>
      <c r="AF4" s="228">
        <v>64</v>
      </c>
      <c r="AG4" s="228">
        <v>71.5</v>
      </c>
      <c r="AH4" s="228">
        <v>-7.5</v>
      </c>
      <c r="AI4" s="229">
        <v>8.3999999999999995E-3</v>
      </c>
      <c r="AJ4" s="228">
        <v>107</v>
      </c>
      <c r="AK4" s="228">
        <v>112.5</v>
      </c>
      <c r="AL4" s="228">
        <v>-5.5</v>
      </c>
      <c r="AM4" s="229">
        <v>1.4E-2</v>
      </c>
      <c r="AN4" s="231">
        <v>7666.1</v>
      </c>
      <c r="AO4" s="231">
        <v>7702.95</v>
      </c>
      <c r="AP4" s="228">
        <v>0</v>
      </c>
      <c r="AQ4" s="230">
        <v>4728</v>
      </c>
      <c r="AR4" s="230">
        <v>2056</v>
      </c>
      <c r="AS4" s="230">
        <v>2672</v>
      </c>
      <c r="AT4" s="229">
        <v>1.2996000000000001</v>
      </c>
      <c r="AU4" s="230">
        <v>4557</v>
      </c>
      <c r="AV4" s="230">
        <v>2016</v>
      </c>
      <c r="AW4" s="230">
        <v>2541</v>
      </c>
      <c r="AX4" s="229">
        <v>1.2604</v>
      </c>
      <c r="AY4" s="228">
        <v>160</v>
      </c>
      <c r="AZ4" s="228">
        <v>32</v>
      </c>
      <c r="BA4" s="228">
        <v>128</v>
      </c>
      <c r="BB4" s="229">
        <v>4</v>
      </c>
      <c r="BC4" s="228">
        <v>11</v>
      </c>
      <c r="BD4" s="228">
        <v>8</v>
      </c>
      <c r="BE4" s="228">
        <v>3</v>
      </c>
      <c r="BF4" s="229">
        <v>0.375</v>
      </c>
      <c r="BG4" s="230">
        <v>28527</v>
      </c>
      <c r="BH4" s="230">
        <v>5192</v>
      </c>
      <c r="BI4" s="230">
        <v>23335</v>
      </c>
      <c r="BJ4" s="229">
        <v>4.4943999999999997</v>
      </c>
      <c r="BK4" s="230">
        <v>10371</v>
      </c>
      <c r="BL4" s="230">
        <v>1593</v>
      </c>
      <c r="BM4" s="230">
        <v>8778</v>
      </c>
      <c r="BN4" s="229">
        <v>5.5103999999999997</v>
      </c>
      <c r="BO4" s="230">
        <v>43626</v>
      </c>
      <c r="BP4" s="230">
        <v>8841</v>
      </c>
      <c r="BQ4" s="230">
        <v>34785</v>
      </c>
      <c r="BR4" s="229">
        <v>3.9344999999999999</v>
      </c>
      <c r="BS4" s="230">
        <v>433883</v>
      </c>
      <c r="BT4" s="230">
        <v>481607</v>
      </c>
      <c r="BU4" s="230">
        <v>-47724</v>
      </c>
      <c r="BV4" s="229">
        <v>-9.9099999999999994E-2</v>
      </c>
      <c r="BW4" s="230">
        <v>2812000</v>
      </c>
      <c r="BX4" s="230">
        <v>2833000</v>
      </c>
      <c r="BY4" s="230">
        <v>-21000</v>
      </c>
      <c r="BZ4" s="229">
        <v>-7.4000000000000003E-3</v>
      </c>
      <c r="CA4" s="230">
        <v>2780375</v>
      </c>
      <c r="CB4" s="230">
        <v>2801875</v>
      </c>
      <c r="CC4" s="230">
        <v>-21500</v>
      </c>
      <c r="CD4" s="229">
        <v>-7.7000000000000002E-3</v>
      </c>
      <c r="CE4" s="230">
        <v>29000</v>
      </c>
      <c r="CF4" s="230">
        <v>29250</v>
      </c>
      <c r="CG4" s="228">
        <v>-250</v>
      </c>
      <c r="CH4" s="229">
        <v>-8.5000000000000006E-3</v>
      </c>
      <c r="CI4" s="230">
        <v>2625</v>
      </c>
      <c r="CJ4" s="230">
        <v>1875</v>
      </c>
      <c r="CK4" s="228">
        <v>750</v>
      </c>
      <c r="CL4" s="229">
        <v>0.4</v>
      </c>
      <c r="CM4" s="230">
        <v>603625</v>
      </c>
      <c r="CN4" s="230">
        <v>522750</v>
      </c>
      <c r="CO4" s="230">
        <v>80875</v>
      </c>
      <c r="CP4" s="229">
        <v>0.1547</v>
      </c>
      <c r="CQ4" s="230">
        <v>401125</v>
      </c>
      <c r="CR4" s="230">
        <v>278250</v>
      </c>
      <c r="CS4" s="230">
        <v>122875</v>
      </c>
      <c r="CT4" s="229">
        <v>0.44159999999999999</v>
      </c>
      <c r="CU4" s="230">
        <v>3816750</v>
      </c>
      <c r="CV4" s="230">
        <v>3634000</v>
      </c>
      <c r="CW4" s="230">
        <v>182750</v>
      </c>
      <c r="CX4" s="229">
        <v>5.0299999999999997E-2</v>
      </c>
      <c r="CY4" s="228">
        <v>17.149999999999999</v>
      </c>
      <c r="CZ4" s="228">
        <v>17.010000000000002</v>
      </c>
      <c r="DA4" s="228">
        <v>0.14000000000000001</v>
      </c>
      <c r="DB4" s="228">
        <v>0.14000000000000001</v>
      </c>
      <c r="DC4" s="228">
        <v>26.89</v>
      </c>
      <c r="DD4" s="228">
        <v>26.69</v>
      </c>
      <c r="DE4" s="228">
        <v>-9.74</v>
      </c>
      <c r="DF4" s="228">
        <v>0.2</v>
      </c>
      <c r="DG4" s="228">
        <v>17.010000000000002</v>
      </c>
      <c r="DH4" s="228">
        <v>17.010000000000002</v>
      </c>
      <c r="DI4" s="228">
        <v>0</v>
      </c>
      <c r="DJ4" s="228">
        <v>0</v>
      </c>
      <c r="DK4" s="228">
        <v>17.55</v>
      </c>
      <c r="DL4" s="228">
        <v>17.03</v>
      </c>
      <c r="DM4" s="228">
        <v>0.52</v>
      </c>
      <c r="DN4" s="228">
        <v>0.52</v>
      </c>
      <c r="DO4" s="228">
        <v>0.66</v>
      </c>
      <c r="DP4" s="228">
        <v>0.53</v>
      </c>
      <c r="DQ4" s="228">
        <v>0.13</v>
      </c>
      <c r="DR4" s="229">
        <v>0.24529999999999999</v>
      </c>
      <c r="DS4" s="231">
        <v>8000</v>
      </c>
      <c r="DT4" s="231">
        <v>7500</v>
      </c>
      <c r="DU4" s="228">
        <v>0.36</v>
      </c>
      <c r="DV4" s="228">
        <v>0.31</v>
      </c>
      <c r="DW4" s="228">
        <v>0.05</v>
      </c>
      <c r="DX4" s="229">
        <v>0.1613</v>
      </c>
      <c r="DY4" s="229">
        <v>1.12E-2</v>
      </c>
      <c r="DZ4" s="230">
        <v>31125</v>
      </c>
      <c r="EA4" s="229">
        <v>5.0000000000000001E-3</v>
      </c>
      <c r="EB4" s="229">
        <v>1.12E-2</v>
      </c>
      <c r="EC4" s="228">
        <v>36.85</v>
      </c>
      <c r="ED4" s="229">
        <v>4.7999999999999996E-3</v>
      </c>
      <c r="EE4" s="230">
        <v>212256</v>
      </c>
      <c r="EF4" s="230">
        <v>352797</v>
      </c>
      <c r="EG4" s="229">
        <v>-0.39839999999999998</v>
      </c>
      <c r="EH4" s="229">
        <v>0.48920000000000002</v>
      </c>
      <c r="EI4" s="231">
        <v>280173.58</v>
      </c>
      <c r="EJ4" s="231">
        <v>98301.51</v>
      </c>
      <c r="EK4" s="231">
        <v>45315.21</v>
      </c>
      <c r="EL4" s="231">
        <v>8068</v>
      </c>
      <c r="EM4" s="231">
        <v>423790.3</v>
      </c>
      <c r="EN4" s="231">
        <v>84042.240000000005</v>
      </c>
      <c r="EO4" s="231">
        <v>339748.06</v>
      </c>
      <c r="EP4" s="229">
        <v>4.0426000000000002</v>
      </c>
      <c r="EQ4" s="231">
        <v>47204</v>
      </c>
      <c r="ER4" s="231">
        <v>29811</v>
      </c>
      <c r="ES4" s="231">
        <v>216186</v>
      </c>
      <c r="ET4" s="231">
        <v>15240043</v>
      </c>
      <c r="EU4" s="231">
        <v>293201</v>
      </c>
      <c r="EV4" s="231">
        <v>273161</v>
      </c>
      <c r="EW4" s="231">
        <v>20040</v>
      </c>
      <c r="EX4" s="229">
        <v>7.3400000000000007E-2</v>
      </c>
      <c r="EY4" s="229">
        <v>0.25040000000000001</v>
      </c>
    </row>
    <row r="5" spans="1:155" ht="17.25" thickBot="1" x14ac:dyDescent="0.3">
      <c r="A5" s="226">
        <v>45936</v>
      </c>
      <c r="B5" s="227" t="s">
        <v>168</v>
      </c>
      <c r="C5" s="227" t="s">
        <v>169</v>
      </c>
      <c r="D5" s="231">
        <v>2366.3000000000002</v>
      </c>
      <c r="E5" s="231">
        <v>2361.8000000000002</v>
      </c>
      <c r="F5" s="228">
        <v>4.5</v>
      </c>
      <c r="G5" s="229">
        <v>1.9E-3</v>
      </c>
      <c r="H5" s="231">
        <v>2354.8000000000002</v>
      </c>
      <c r="I5" s="231">
        <v>2357.8000000000002</v>
      </c>
      <c r="J5" s="228">
        <v>-3</v>
      </c>
      <c r="K5" s="229">
        <v>-1.2999999999999999E-3</v>
      </c>
      <c r="L5" s="231">
        <v>2366.3000000000002</v>
      </c>
      <c r="M5" s="231">
        <v>2361.8000000000002</v>
      </c>
      <c r="N5" s="228">
        <v>4.5</v>
      </c>
      <c r="O5" s="229">
        <v>1.9E-3</v>
      </c>
      <c r="P5" s="231">
        <v>2375</v>
      </c>
      <c r="Q5" s="231">
        <v>2372.4</v>
      </c>
      <c r="R5" s="228">
        <v>2.6</v>
      </c>
      <c r="S5" s="229">
        <v>1.1000000000000001E-3</v>
      </c>
      <c r="T5" s="231">
        <v>2389.4</v>
      </c>
      <c r="U5" s="231">
        <v>2384.5</v>
      </c>
      <c r="V5" s="228">
        <v>4.9000000000000004</v>
      </c>
      <c r="W5" s="229">
        <v>2.0999999999999999E-3</v>
      </c>
      <c r="X5" s="228">
        <v>11.5</v>
      </c>
      <c r="Y5" s="228">
        <v>4</v>
      </c>
      <c r="Z5" s="228">
        <v>7.5</v>
      </c>
      <c r="AA5" s="229">
        <v>4.8999999999999998E-3</v>
      </c>
      <c r="AB5" s="228">
        <v>11.5</v>
      </c>
      <c r="AC5" s="228">
        <v>4</v>
      </c>
      <c r="AD5" s="228">
        <v>7.5</v>
      </c>
      <c r="AE5" s="229">
        <v>4.8999999999999998E-3</v>
      </c>
      <c r="AF5" s="228">
        <v>20.2</v>
      </c>
      <c r="AG5" s="228">
        <v>14.6</v>
      </c>
      <c r="AH5" s="228">
        <v>5.6</v>
      </c>
      <c r="AI5" s="229">
        <v>8.6E-3</v>
      </c>
      <c r="AJ5" s="228">
        <v>34.6</v>
      </c>
      <c r="AK5" s="228">
        <v>26.7</v>
      </c>
      <c r="AL5" s="228">
        <v>7.9</v>
      </c>
      <c r="AM5" s="229">
        <v>1.47E-2</v>
      </c>
      <c r="AN5" s="231">
        <v>2358.5300000000002</v>
      </c>
      <c r="AO5" s="231">
        <v>2366.81</v>
      </c>
      <c r="AP5" s="228">
        <v>0</v>
      </c>
      <c r="AQ5" s="230">
        <v>3382</v>
      </c>
      <c r="AR5" s="230">
        <v>3642</v>
      </c>
      <c r="AS5" s="228">
        <v>-260</v>
      </c>
      <c r="AT5" s="229">
        <v>-7.1400000000000005E-2</v>
      </c>
      <c r="AU5" s="230">
        <v>3097</v>
      </c>
      <c r="AV5" s="230">
        <v>3413</v>
      </c>
      <c r="AW5" s="228">
        <v>-316</v>
      </c>
      <c r="AX5" s="229">
        <v>-9.2600000000000002E-2</v>
      </c>
      <c r="AY5" s="228">
        <v>245</v>
      </c>
      <c r="AZ5" s="228">
        <v>200</v>
      </c>
      <c r="BA5" s="228">
        <v>45</v>
      </c>
      <c r="BB5" s="229">
        <v>0.22500000000000001</v>
      </c>
      <c r="BC5" s="228">
        <v>40</v>
      </c>
      <c r="BD5" s="228">
        <v>29</v>
      </c>
      <c r="BE5" s="228">
        <v>11</v>
      </c>
      <c r="BF5" s="229">
        <v>0.37930000000000003</v>
      </c>
      <c r="BG5" s="230">
        <v>21167</v>
      </c>
      <c r="BH5" s="230">
        <v>19588</v>
      </c>
      <c r="BI5" s="230">
        <v>1579</v>
      </c>
      <c r="BJ5" s="229">
        <v>8.0600000000000005E-2</v>
      </c>
      <c r="BK5" s="230">
        <v>8104</v>
      </c>
      <c r="BL5" s="230">
        <v>6696</v>
      </c>
      <c r="BM5" s="230">
        <v>1408</v>
      </c>
      <c r="BN5" s="229">
        <v>0.21029999999999999</v>
      </c>
      <c r="BO5" s="230">
        <v>32653</v>
      </c>
      <c r="BP5" s="230">
        <v>29926</v>
      </c>
      <c r="BQ5" s="230">
        <v>2727</v>
      </c>
      <c r="BR5" s="229">
        <v>9.11E-2</v>
      </c>
      <c r="BS5" s="230">
        <v>389160</v>
      </c>
      <c r="BT5" s="230">
        <v>672531</v>
      </c>
      <c r="BU5" s="230">
        <v>-283371</v>
      </c>
      <c r="BV5" s="229">
        <v>-0.4214</v>
      </c>
      <c r="BW5" s="230">
        <v>13513000</v>
      </c>
      <c r="BX5" s="230">
        <v>13546000</v>
      </c>
      <c r="BY5" s="230">
        <v>-33000</v>
      </c>
      <c r="BZ5" s="229">
        <v>-2.3999999999999998E-3</v>
      </c>
      <c r="CA5" s="230">
        <v>13091000</v>
      </c>
      <c r="CB5" s="230">
        <v>13146750</v>
      </c>
      <c r="CC5" s="230">
        <v>-55750</v>
      </c>
      <c r="CD5" s="229">
        <v>-4.1999999999999997E-3</v>
      </c>
      <c r="CE5" s="230">
        <v>406250</v>
      </c>
      <c r="CF5" s="230">
        <v>389500</v>
      </c>
      <c r="CG5" s="230">
        <v>16750</v>
      </c>
      <c r="CH5" s="229">
        <v>4.2999999999999997E-2</v>
      </c>
      <c r="CI5" s="230">
        <v>15750</v>
      </c>
      <c r="CJ5" s="230">
        <v>9750</v>
      </c>
      <c r="CK5" s="230">
        <v>6000</v>
      </c>
      <c r="CL5" s="229">
        <v>0.61539999999999995</v>
      </c>
      <c r="CM5" s="230">
        <v>4924250</v>
      </c>
      <c r="CN5" s="230">
        <v>4593250</v>
      </c>
      <c r="CO5" s="230">
        <v>331000</v>
      </c>
      <c r="CP5" s="229">
        <v>7.2099999999999997E-2</v>
      </c>
      <c r="CQ5" s="230">
        <v>3242500</v>
      </c>
      <c r="CR5" s="230">
        <v>2983000</v>
      </c>
      <c r="CS5" s="230">
        <v>259500</v>
      </c>
      <c r="CT5" s="229">
        <v>8.6999999999999994E-2</v>
      </c>
      <c r="CU5" s="230">
        <v>21679750</v>
      </c>
      <c r="CV5" s="230">
        <v>21122250</v>
      </c>
      <c r="CW5" s="230">
        <v>557500</v>
      </c>
      <c r="CX5" s="229">
        <v>2.64E-2</v>
      </c>
      <c r="CY5" s="228">
        <v>20</v>
      </c>
      <c r="CZ5" s="228">
        <v>20.53</v>
      </c>
      <c r="DA5" s="228">
        <v>-0.53</v>
      </c>
      <c r="DB5" s="228">
        <v>-0.53</v>
      </c>
      <c r="DC5" s="228">
        <v>23.64</v>
      </c>
      <c r="DD5" s="228">
        <v>23.7</v>
      </c>
      <c r="DE5" s="228">
        <v>-3.64</v>
      </c>
      <c r="DF5" s="228">
        <v>-0.06</v>
      </c>
      <c r="DG5" s="228">
        <v>20.010000000000002</v>
      </c>
      <c r="DH5" s="228">
        <v>20.52</v>
      </c>
      <c r="DI5" s="228">
        <v>-0.51</v>
      </c>
      <c r="DJ5" s="228">
        <v>-0.51</v>
      </c>
      <c r="DK5" s="228">
        <v>20</v>
      </c>
      <c r="DL5" s="228">
        <v>20.56</v>
      </c>
      <c r="DM5" s="228">
        <v>-0.56000000000000005</v>
      </c>
      <c r="DN5" s="228">
        <v>-0.56000000000000005</v>
      </c>
      <c r="DO5" s="228">
        <v>0.66</v>
      </c>
      <c r="DP5" s="228">
        <v>0.65</v>
      </c>
      <c r="DQ5" s="228">
        <v>0.01</v>
      </c>
      <c r="DR5" s="229">
        <v>1.54E-2</v>
      </c>
      <c r="DS5" s="231">
        <v>2500</v>
      </c>
      <c r="DT5" s="231">
        <v>2300</v>
      </c>
      <c r="DU5" s="228">
        <v>0.38</v>
      </c>
      <c r="DV5" s="228">
        <v>0.34</v>
      </c>
      <c r="DW5" s="228">
        <v>0.04</v>
      </c>
      <c r="DX5" s="229">
        <v>0.1176</v>
      </c>
      <c r="DY5" s="229">
        <v>3.1199999999999999E-2</v>
      </c>
      <c r="DZ5" s="230">
        <v>399250</v>
      </c>
      <c r="EA5" s="229">
        <v>3.7000000000000002E-3</v>
      </c>
      <c r="EB5" s="229">
        <v>3.1199999999999999E-2</v>
      </c>
      <c r="EC5" s="228">
        <v>8.2799999999999994</v>
      </c>
      <c r="ED5" s="229">
        <v>3.5000000000000001E-3</v>
      </c>
      <c r="EE5" s="230">
        <v>192993</v>
      </c>
      <c r="EF5" s="230">
        <v>468833</v>
      </c>
      <c r="EG5" s="229">
        <v>-0.58840000000000003</v>
      </c>
      <c r="EH5" s="229">
        <v>0.49590000000000001</v>
      </c>
      <c r="EI5" s="231">
        <v>130565.41</v>
      </c>
      <c r="EJ5" s="231">
        <v>47025.08</v>
      </c>
      <c r="EK5" s="231">
        <v>19948.79</v>
      </c>
      <c r="EL5" s="231">
        <v>15265</v>
      </c>
      <c r="EM5" s="231">
        <v>197539.28</v>
      </c>
      <c r="EN5" s="231">
        <v>180826.77</v>
      </c>
      <c r="EO5" s="231">
        <v>16712.509999999998</v>
      </c>
      <c r="EP5" s="229">
        <v>9.2399999999999996E-2</v>
      </c>
      <c r="EQ5" s="231">
        <v>122991</v>
      </c>
      <c r="ER5" s="231">
        <v>74967</v>
      </c>
      <c r="ES5" s="231">
        <v>319797</v>
      </c>
      <c r="ET5" s="231">
        <v>52357280</v>
      </c>
      <c r="EU5" s="231">
        <v>517755</v>
      </c>
      <c r="EV5" s="231">
        <v>503980</v>
      </c>
      <c r="EW5" s="231">
        <v>13775</v>
      </c>
      <c r="EX5" s="229">
        <v>2.7300000000000001E-2</v>
      </c>
      <c r="EY5" s="229">
        <v>0.41410000000000002</v>
      </c>
    </row>
    <row r="6" spans="1:155" ht="17.25" thickBot="1" x14ac:dyDescent="0.3">
      <c r="A6" s="226">
        <v>45936</v>
      </c>
      <c r="B6" s="227" t="s">
        <v>172</v>
      </c>
      <c r="C6" s="227" t="s">
        <v>173</v>
      </c>
      <c r="D6" s="231">
        <v>1216.2</v>
      </c>
      <c r="E6" s="231">
        <v>1186.8</v>
      </c>
      <c r="F6" s="228">
        <v>29.4</v>
      </c>
      <c r="G6" s="229">
        <v>2.4799999999999999E-2</v>
      </c>
      <c r="H6" s="231">
        <v>1212.8</v>
      </c>
      <c r="I6" s="231">
        <v>1181</v>
      </c>
      <c r="J6" s="228">
        <v>31.8</v>
      </c>
      <c r="K6" s="229">
        <v>2.69E-2</v>
      </c>
      <c r="L6" s="231">
        <v>1216.2</v>
      </c>
      <c r="M6" s="231">
        <v>1186.8</v>
      </c>
      <c r="N6" s="228">
        <v>29.4</v>
      </c>
      <c r="O6" s="229">
        <v>2.4799999999999999E-2</v>
      </c>
      <c r="P6" s="231">
        <v>1222.0999999999999</v>
      </c>
      <c r="Q6" s="231">
        <v>1193.2</v>
      </c>
      <c r="R6" s="228">
        <v>28.9</v>
      </c>
      <c r="S6" s="229">
        <v>2.4199999999999999E-2</v>
      </c>
      <c r="T6" s="231">
        <v>1228.2</v>
      </c>
      <c r="U6" s="231">
        <v>1199.3</v>
      </c>
      <c r="V6" s="228">
        <v>28.9</v>
      </c>
      <c r="W6" s="229">
        <v>2.41E-2</v>
      </c>
      <c r="X6" s="228">
        <v>3.4</v>
      </c>
      <c r="Y6" s="228">
        <v>5.8</v>
      </c>
      <c r="Z6" s="228">
        <v>-2.4</v>
      </c>
      <c r="AA6" s="229">
        <v>2.8E-3</v>
      </c>
      <c r="AB6" s="228">
        <v>3.4</v>
      </c>
      <c r="AC6" s="228">
        <v>5.8</v>
      </c>
      <c r="AD6" s="228">
        <v>-2.4</v>
      </c>
      <c r="AE6" s="229">
        <v>2.8E-3</v>
      </c>
      <c r="AF6" s="228">
        <v>9.3000000000000007</v>
      </c>
      <c r="AG6" s="228">
        <v>12.2</v>
      </c>
      <c r="AH6" s="228">
        <v>-2.9</v>
      </c>
      <c r="AI6" s="229">
        <v>7.7000000000000002E-3</v>
      </c>
      <c r="AJ6" s="228">
        <v>15.4</v>
      </c>
      <c r="AK6" s="228">
        <v>18.3</v>
      </c>
      <c r="AL6" s="228">
        <v>-2.9</v>
      </c>
      <c r="AM6" s="229">
        <v>1.2699999999999999E-2</v>
      </c>
      <c r="AN6" s="231">
        <v>1208.1500000000001</v>
      </c>
      <c r="AO6" s="231">
        <v>1215.04</v>
      </c>
      <c r="AP6" s="228">
        <v>0</v>
      </c>
      <c r="AQ6" s="230">
        <v>37223</v>
      </c>
      <c r="AR6" s="230">
        <v>20421</v>
      </c>
      <c r="AS6" s="230">
        <v>16802</v>
      </c>
      <c r="AT6" s="229">
        <v>0.82279999999999998</v>
      </c>
      <c r="AU6" s="230">
        <v>36094</v>
      </c>
      <c r="AV6" s="230">
        <v>19844</v>
      </c>
      <c r="AW6" s="230">
        <v>16250</v>
      </c>
      <c r="AX6" s="229">
        <v>0.81889999999999996</v>
      </c>
      <c r="AY6" s="230">
        <v>1024</v>
      </c>
      <c r="AZ6" s="228">
        <v>491</v>
      </c>
      <c r="BA6" s="228">
        <v>533</v>
      </c>
      <c r="BB6" s="229">
        <v>1.0854999999999999</v>
      </c>
      <c r="BC6" s="228">
        <v>105</v>
      </c>
      <c r="BD6" s="228">
        <v>86</v>
      </c>
      <c r="BE6" s="228">
        <v>19</v>
      </c>
      <c r="BF6" s="229">
        <v>0.22090000000000001</v>
      </c>
      <c r="BG6" s="230">
        <v>75334</v>
      </c>
      <c r="BH6" s="230">
        <v>58453</v>
      </c>
      <c r="BI6" s="230">
        <v>16881</v>
      </c>
      <c r="BJ6" s="229">
        <v>0.2888</v>
      </c>
      <c r="BK6" s="230">
        <v>50983</v>
      </c>
      <c r="BL6" s="230">
        <v>34121</v>
      </c>
      <c r="BM6" s="230">
        <v>16862</v>
      </c>
      <c r="BN6" s="229">
        <v>0.49419999999999997</v>
      </c>
      <c r="BO6" s="230">
        <v>163540</v>
      </c>
      <c r="BP6" s="230">
        <v>112995</v>
      </c>
      <c r="BQ6" s="230">
        <v>50545</v>
      </c>
      <c r="BR6" s="229">
        <v>0.44729999999999998</v>
      </c>
      <c r="BS6" s="230">
        <v>20594501</v>
      </c>
      <c r="BT6" s="230">
        <v>11240422</v>
      </c>
      <c r="BU6" s="230">
        <v>9354079</v>
      </c>
      <c r="BV6" s="229">
        <v>0.83220000000000005</v>
      </c>
      <c r="BW6" s="230">
        <v>85150000</v>
      </c>
      <c r="BX6" s="230">
        <v>88435625</v>
      </c>
      <c r="BY6" s="230">
        <v>-3285625</v>
      </c>
      <c r="BZ6" s="229">
        <v>-3.7199999999999997E-2</v>
      </c>
      <c r="CA6" s="230">
        <v>83953750</v>
      </c>
      <c r="CB6" s="230">
        <v>87411875</v>
      </c>
      <c r="CC6" s="230">
        <v>-3458125</v>
      </c>
      <c r="CD6" s="229">
        <v>-3.9600000000000003E-2</v>
      </c>
      <c r="CE6" s="230">
        <v>1154375</v>
      </c>
      <c r="CF6" s="230">
        <v>989375</v>
      </c>
      <c r="CG6" s="230">
        <v>165000</v>
      </c>
      <c r="CH6" s="229">
        <v>0.1668</v>
      </c>
      <c r="CI6" s="230">
        <v>41875</v>
      </c>
      <c r="CJ6" s="230">
        <v>34375</v>
      </c>
      <c r="CK6" s="230">
        <v>7500</v>
      </c>
      <c r="CL6" s="229">
        <v>0.21820000000000001</v>
      </c>
      <c r="CM6" s="230">
        <v>22790000</v>
      </c>
      <c r="CN6" s="230">
        <v>22430000</v>
      </c>
      <c r="CO6" s="230">
        <v>360000</v>
      </c>
      <c r="CP6" s="229">
        <v>1.6E-2</v>
      </c>
      <c r="CQ6" s="230">
        <v>11818750</v>
      </c>
      <c r="CR6" s="230">
        <v>9668750</v>
      </c>
      <c r="CS6" s="230">
        <v>2150000</v>
      </c>
      <c r="CT6" s="229">
        <v>0.22239999999999999</v>
      </c>
      <c r="CU6" s="230">
        <v>119758750</v>
      </c>
      <c r="CV6" s="230">
        <v>120534375</v>
      </c>
      <c r="CW6" s="230">
        <v>-775625</v>
      </c>
      <c r="CX6" s="229">
        <v>-6.4000000000000003E-3</v>
      </c>
      <c r="CY6" s="228">
        <v>24.11</v>
      </c>
      <c r="CZ6" s="228">
        <v>22.16</v>
      </c>
      <c r="DA6" s="228">
        <v>1.95</v>
      </c>
      <c r="DB6" s="228">
        <v>1.95</v>
      </c>
      <c r="DC6" s="228">
        <v>27.03</v>
      </c>
      <c r="DD6" s="228">
        <v>26.86</v>
      </c>
      <c r="DE6" s="228">
        <v>-2.92</v>
      </c>
      <c r="DF6" s="228">
        <v>0.17</v>
      </c>
      <c r="DG6" s="228">
        <v>23.51</v>
      </c>
      <c r="DH6" s="228">
        <v>21.85</v>
      </c>
      <c r="DI6" s="228">
        <v>1.66</v>
      </c>
      <c r="DJ6" s="228">
        <v>1.66</v>
      </c>
      <c r="DK6" s="228">
        <v>25</v>
      </c>
      <c r="DL6" s="228">
        <v>22.69</v>
      </c>
      <c r="DM6" s="228">
        <v>2.31</v>
      </c>
      <c r="DN6" s="228">
        <v>2.31</v>
      </c>
      <c r="DO6" s="228">
        <v>0.52</v>
      </c>
      <c r="DP6" s="228">
        <v>0.43</v>
      </c>
      <c r="DQ6" s="228">
        <v>0.09</v>
      </c>
      <c r="DR6" s="229">
        <v>0.20930000000000001</v>
      </c>
      <c r="DS6" s="231">
        <v>1160</v>
      </c>
      <c r="DT6" s="231">
        <v>1200</v>
      </c>
      <c r="DU6" s="228">
        <v>0.68</v>
      </c>
      <c r="DV6" s="228">
        <v>0.57999999999999996</v>
      </c>
      <c r="DW6" s="228">
        <v>0.1</v>
      </c>
      <c r="DX6" s="229">
        <v>0.1724</v>
      </c>
      <c r="DY6" s="229">
        <v>1.4E-2</v>
      </c>
      <c r="DZ6" s="230">
        <v>1023750</v>
      </c>
      <c r="EA6" s="229">
        <v>4.8999999999999998E-3</v>
      </c>
      <c r="EB6" s="229">
        <v>1.4E-2</v>
      </c>
      <c r="EC6" s="228">
        <v>6.89</v>
      </c>
      <c r="ED6" s="229">
        <v>5.7000000000000002E-3</v>
      </c>
      <c r="EE6" s="230">
        <v>15128737</v>
      </c>
      <c r="EF6" s="230">
        <v>7696177</v>
      </c>
      <c r="EG6" s="229">
        <v>0.9657</v>
      </c>
      <c r="EH6" s="229">
        <v>0.73460000000000003</v>
      </c>
      <c r="EI6" s="231">
        <v>588440.31999999995</v>
      </c>
      <c r="EJ6" s="231">
        <v>377716.39</v>
      </c>
      <c r="EK6" s="231">
        <v>281121.17</v>
      </c>
      <c r="EL6" s="231">
        <v>38473</v>
      </c>
      <c r="EM6" s="231">
        <v>1247277.8799999999</v>
      </c>
      <c r="EN6" s="231">
        <v>849184</v>
      </c>
      <c r="EO6" s="231">
        <v>398093.88</v>
      </c>
      <c r="EP6" s="229">
        <v>0.46879999999999999</v>
      </c>
      <c r="EQ6" s="231">
        <v>274746</v>
      </c>
      <c r="ER6" s="231">
        <v>135126</v>
      </c>
      <c r="ES6" s="231">
        <v>1035667</v>
      </c>
      <c r="ET6" s="231">
        <v>316147681</v>
      </c>
      <c r="EU6" s="231">
        <v>1445540</v>
      </c>
      <c r="EV6" s="231">
        <v>1427323</v>
      </c>
      <c r="EW6" s="231">
        <v>18217</v>
      </c>
      <c r="EX6" s="229">
        <v>1.2800000000000001E-2</v>
      </c>
      <c r="EY6" s="229">
        <v>0.37880000000000003</v>
      </c>
    </row>
    <row r="7" spans="1:155" ht="17.25" thickBot="1" x14ac:dyDescent="0.3">
      <c r="A7" s="226">
        <v>45936</v>
      </c>
      <c r="B7" s="227" t="s">
        <v>162</v>
      </c>
      <c r="C7" s="227" t="s">
        <v>174</v>
      </c>
      <c r="D7" s="231">
        <v>8841</v>
      </c>
      <c r="E7" s="231">
        <v>8734.5</v>
      </c>
      <c r="F7" s="228">
        <v>106.5</v>
      </c>
      <c r="G7" s="229">
        <v>1.2200000000000001E-2</v>
      </c>
      <c r="H7" s="231">
        <v>8792</v>
      </c>
      <c r="I7" s="231">
        <v>8679.5</v>
      </c>
      <c r="J7" s="228">
        <v>112.5</v>
      </c>
      <c r="K7" s="229">
        <v>1.2999999999999999E-2</v>
      </c>
      <c r="L7" s="231">
        <v>8841</v>
      </c>
      <c r="M7" s="231">
        <v>8734.5</v>
      </c>
      <c r="N7" s="228">
        <v>106.5</v>
      </c>
      <c r="O7" s="229">
        <v>1.2200000000000001E-2</v>
      </c>
      <c r="P7" s="231">
        <v>8864.5</v>
      </c>
      <c r="Q7" s="231">
        <v>8759.5</v>
      </c>
      <c r="R7" s="228">
        <v>105</v>
      </c>
      <c r="S7" s="229">
        <v>1.2E-2</v>
      </c>
      <c r="T7" s="231">
        <v>8900</v>
      </c>
      <c r="U7" s="231">
        <v>8797.5</v>
      </c>
      <c r="V7" s="228">
        <v>102.5</v>
      </c>
      <c r="W7" s="229">
        <v>1.17E-2</v>
      </c>
      <c r="X7" s="228">
        <v>49</v>
      </c>
      <c r="Y7" s="228">
        <v>55</v>
      </c>
      <c r="Z7" s="228">
        <v>-6</v>
      </c>
      <c r="AA7" s="229">
        <v>5.5999999999999999E-3</v>
      </c>
      <c r="AB7" s="228">
        <v>49</v>
      </c>
      <c r="AC7" s="228">
        <v>55</v>
      </c>
      <c r="AD7" s="228">
        <v>-6</v>
      </c>
      <c r="AE7" s="229">
        <v>5.5999999999999999E-3</v>
      </c>
      <c r="AF7" s="228">
        <v>72.5</v>
      </c>
      <c r="AG7" s="228">
        <v>80</v>
      </c>
      <c r="AH7" s="228">
        <v>-7.5</v>
      </c>
      <c r="AI7" s="229">
        <v>8.2000000000000007E-3</v>
      </c>
      <c r="AJ7" s="228">
        <v>108</v>
      </c>
      <c r="AK7" s="228">
        <v>118</v>
      </c>
      <c r="AL7" s="228">
        <v>-10</v>
      </c>
      <c r="AM7" s="229">
        <v>1.23E-2</v>
      </c>
      <c r="AN7" s="231">
        <v>8783.61</v>
      </c>
      <c r="AO7" s="231">
        <v>8799.77</v>
      </c>
      <c r="AP7" s="228">
        <v>0</v>
      </c>
      <c r="AQ7" s="230">
        <v>6715</v>
      </c>
      <c r="AR7" s="230">
        <v>12502</v>
      </c>
      <c r="AS7" s="230">
        <v>-5787</v>
      </c>
      <c r="AT7" s="229">
        <v>-0.46289999999999998</v>
      </c>
      <c r="AU7" s="230">
        <v>6380</v>
      </c>
      <c r="AV7" s="230">
        <v>12003</v>
      </c>
      <c r="AW7" s="230">
        <v>-5623</v>
      </c>
      <c r="AX7" s="229">
        <v>-0.46850000000000003</v>
      </c>
      <c r="AY7" s="228">
        <v>289</v>
      </c>
      <c r="AZ7" s="228">
        <v>442</v>
      </c>
      <c r="BA7" s="228">
        <v>-153</v>
      </c>
      <c r="BB7" s="229">
        <v>-0.34620000000000001</v>
      </c>
      <c r="BC7" s="228">
        <v>46</v>
      </c>
      <c r="BD7" s="228">
        <v>57</v>
      </c>
      <c r="BE7" s="228">
        <v>-11</v>
      </c>
      <c r="BF7" s="229">
        <v>-0.193</v>
      </c>
      <c r="BG7" s="230">
        <v>32163</v>
      </c>
      <c r="BH7" s="230">
        <v>69233</v>
      </c>
      <c r="BI7" s="230">
        <v>-37070</v>
      </c>
      <c r="BJ7" s="229">
        <v>-0.53539999999999999</v>
      </c>
      <c r="BK7" s="230">
        <v>12960</v>
      </c>
      <c r="BL7" s="230">
        <v>23901</v>
      </c>
      <c r="BM7" s="230">
        <v>-10941</v>
      </c>
      <c r="BN7" s="229">
        <v>-0.45779999999999998</v>
      </c>
      <c r="BO7" s="230">
        <v>51838</v>
      </c>
      <c r="BP7" s="230">
        <v>105636</v>
      </c>
      <c r="BQ7" s="230">
        <v>-53798</v>
      </c>
      <c r="BR7" s="229">
        <v>-0.50929999999999997</v>
      </c>
      <c r="BS7" s="230">
        <v>310088</v>
      </c>
      <c r="BT7" s="230">
        <v>923559</v>
      </c>
      <c r="BU7" s="230">
        <v>-613471</v>
      </c>
      <c r="BV7" s="229">
        <v>-0.66420000000000001</v>
      </c>
      <c r="BW7" s="230">
        <v>3187950</v>
      </c>
      <c r="BX7" s="230">
        <v>3286050</v>
      </c>
      <c r="BY7" s="230">
        <v>-98100</v>
      </c>
      <c r="BZ7" s="229">
        <v>-2.9899999999999999E-2</v>
      </c>
      <c r="CA7" s="230">
        <v>3116625</v>
      </c>
      <c r="CB7" s="230">
        <v>3215850</v>
      </c>
      <c r="CC7" s="230">
        <v>-99225</v>
      </c>
      <c r="CD7" s="229">
        <v>-3.09E-2</v>
      </c>
      <c r="CE7" s="230">
        <v>64650</v>
      </c>
      <c r="CF7" s="230">
        <v>64950</v>
      </c>
      <c r="CG7" s="228">
        <v>-300</v>
      </c>
      <c r="CH7" s="229">
        <v>-4.5999999999999999E-3</v>
      </c>
      <c r="CI7" s="230">
        <v>6675</v>
      </c>
      <c r="CJ7" s="230">
        <v>5250</v>
      </c>
      <c r="CK7" s="230">
        <v>1425</v>
      </c>
      <c r="CL7" s="229">
        <v>0.27139999999999997</v>
      </c>
      <c r="CM7" s="230">
        <v>1556700</v>
      </c>
      <c r="CN7" s="230">
        <v>1581375</v>
      </c>
      <c r="CO7" s="230">
        <v>-24675</v>
      </c>
      <c r="CP7" s="229">
        <v>-1.5599999999999999E-2</v>
      </c>
      <c r="CQ7" s="230">
        <v>901950</v>
      </c>
      <c r="CR7" s="230">
        <v>865500</v>
      </c>
      <c r="CS7" s="230">
        <v>36450</v>
      </c>
      <c r="CT7" s="229">
        <v>4.2099999999999999E-2</v>
      </c>
      <c r="CU7" s="230">
        <v>5646600</v>
      </c>
      <c r="CV7" s="230">
        <v>5732925</v>
      </c>
      <c r="CW7" s="230">
        <v>-86325</v>
      </c>
      <c r="CX7" s="229">
        <v>-1.5100000000000001E-2</v>
      </c>
      <c r="CY7" s="228">
        <v>24.64</v>
      </c>
      <c r="CZ7" s="228">
        <v>24.03</v>
      </c>
      <c r="DA7" s="228">
        <v>0.61</v>
      </c>
      <c r="DB7" s="228">
        <v>0.61</v>
      </c>
      <c r="DC7" s="228">
        <v>30.79</v>
      </c>
      <c r="DD7" s="228">
        <v>30.82</v>
      </c>
      <c r="DE7" s="228">
        <v>-6.15</v>
      </c>
      <c r="DF7" s="228">
        <v>-0.03</v>
      </c>
      <c r="DG7" s="228">
        <v>24.41</v>
      </c>
      <c r="DH7" s="228">
        <v>24.11</v>
      </c>
      <c r="DI7" s="228">
        <v>0.3</v>
      </c>
      <c r="DJ7" s="228">
        <v>0.3</v>
      </c>
      <c r="DK7" s="228">
        <v>25.22</v>
      </c>
      <c r="DL7" s="228">
        <v>23.77</v>
      </c>
      <c r="DM7" s="228">
        <v>1.45</v>
      </c>
      <c r="DN7" s="228">
        <v>1.45</v>
      </c>
      <c r="DO7" s="228">
        <v>0.57999999999999996</v>
      </c>
      <c r="DP7" s="228">
        <v>0.55000000000000004</v>
      </c>
      <c r="DQ7" s="228">
        <v>0.03</v>
      </c>
      <c r="DR7" s="229">
        <v>5.45E-2</v>
      </c>
      <c r="DS7" s="231">
        <v>9000</v>
      </c>
      <c r="DT7" s="231">
        <v>8500</v>
      </c>
      <c r="DU7" s="228">
        <v>0.4</v>
      </c>
      <c r="DV7" s="228">
        <v>0.35</v>
      </c>
      <c r="DW7" s="228">
        <v>0.05</v>
      </c>
      <c r="DX7" s="229">
        <v>0.1429</v>
      </c>
      <c r="DY7" s="229">
        <v>2.24E-2</v>
      </c>
      <c r="DZ7" s="230">
        <v>70200</v>
      </c>
      <c r="EA7" s="229">
        <v>2.7000000000000001E-3</v>
      </c>
      <c r="EB7" s="229">
        <v>2.24E-2</v>
      </c>
      <c r="EC7" s="228">
        <v>16.16</v>
      </c>
      <c r="ED7" s="229">
        <v>1.8E-3</v>
      </c>
      <c r="EE7" s="230">
        <v>168692</v>
      </c>
      <c r="EF7" s="230">
        <v>569991</v>
      </c>
      <c r="EG7" s="229">
        <v>-0.70399999999999996</v>
      </c>
      <c r="EH7" s="229">
        <v>0.54400000000000004</v>
      </c>
      <c r="EI7" s="231">
        <v>221336.56</v>
      </c>
      <c r="EJ7" s="231">
        <v>82161.78</v>
      </c>
      <c r="EK7" s="231">
        <v>44241.42</v>
      </c>
      <c r="EL7" s="231">
        <v>18832</v>
      </c>
      <c r="EM7" s="231">
        <v>347739.76</v>
      </c>
      <c r="EN7" s="231">
        <v>706908.9</v>
      </c>
      <c r="EO7" s="231">
        <v>-359169.14</v>
      </c>
      <c r="EP7" s="229">
        <v>-0.5081</v>
      </c>
      <c r="EQ7" s="231">
        <v>144095</v>
      </c>
      <c r="ER7" s="231">
        <v>76196</v>
      </c>
      <c r="ES7" s="231">
        <v>281866</v>
      </c>
      <c r="ET7" s="231">
        <v>12547731</v>
      </c>
      <c r="EU7" s="231">
        <v>502157</v>
      </c>
      <c r="EV7" s="231">
        <v>506333</v>
      </c>
      <c r="EW7" s="231">
        <v>-4176</v>
      </c>
      <c r="EX7" s="229">
        <v>-8.2000000000000007E-3</v>
      </c>
      <c r="EY7" s="229">
        <v>0.45</v>
      </c>
    </row>
    <row r="8" spans="1:155" ht="17.25" thickBot="1" x14ac:dyDescent="0.3">
      <c r="A8" s="226">
        <v>45936</v>
      </c>
      <c r="B8" s="227" t="s">
        <v>175</v>
      </c>
      <c r="C8" s="227" t="s">
        <v>176</v>
      </c>
      <c r="D8" s="231">
        <v>2042.1</v>
      </c>
      <c r="E8" s="231">
        <v>2009.2</v>
      </c>
      <c r="F8" s="228">
        <v>32.9</v>
      </c>
      <c r="G8" s="229">
        <v>1.6400000000000001E-2</v>
      </c>
      <c r="H8" s="231">
        <v>2033.2</v>
      </c>
      <c r="I8" s="231">
        <v>2000.9</v>
      </c>
      <c r="J8" s="228">
        <v>32.299999999999997</v>
      </c>
      <c r="K8" s="229">
        <v>1.61E-2</v>
      </c>
      <c r="L8" s="231">
        <v>2042.1</v>
      </c>
      <c r="M8" s="231">
        <v>2009.2</v>
      </c>
      <c r="N8" s="228">
        <v>32.9</v>
      </c>
      <c r="O8" s="229">
        <v>1.6400000000000001E-2</v>
      </c>
      <c r="P8" s="231">
        <v>2052.4</v>
      </c>
      <c r="Q8" s="231">
        <v>2019.4</v>
      </c>
      <c r="R8" s="228">
        <v>33</v>
      </c>
      <c r="S8" s="229">
        <v>1.6299999999999999E-2</v>
      </c>
      <c r="T8" s="231">
        <v>2065.9</v>
      </c>
      <c r="U8" s="231">
        <v>2029</v>
      </c>
      <c r="V8" s="228">
        <v>36.9</v>
      </c>
      <c r="W8" s="229">
        <v>1.8200000000000001E-2</v>
      </c>
      <c r="X8" s="228">
        <v>8.9</v>
      </c>
      <c r="Y8" s="228">
        <v>8.3000000000000007</v>
      </c>
      <c r="Z8" s="228">
        <v>0.6</v>
      </c>
      <c r="AA8" s="229">
        <v>4.4000000000000003E-3</v>
      </c>
      <c r="AB8" s="228">
        <v>8.9</v>
      </c>
      <c r="AC8" s="228">
        <v>8.3000000000000007</v>
      </c>
      <c r="AD8" s="228">
        <v>0.6</v>
      </c>
      <c r="AE8" s="229">
        <v>4.4000000000000003E-3</v>
      </c>
      <c r="AF8" s="228">
        <v>19.2</v>
      </c>
      <c r="AG8" s="228">
        <v>18.5</v>
      </c>
      <c r="AH8" s="228">
        <v>0.7</v>
      </c>
      <c r="AI8" s="229">
        <v>9.4000000000000004E-3</v>
      </c>
      <c r="AJ8" s="228">
        <v>32.700000000000003</v>
      </c>
      <c r="AK8" s="228">
        <v>28.1</v>
      </c>
      <c r="AL8" s="228">
        <v>4.5999999999999996</v>
      </c>
      <c r="AM8" s="229">
        <v>1.61E-2</v>
      </c>
      <c r="AN8" s="231">
        <v>2037.8</v>
      </c>
      <c r="AO8" s="231">
        <v>2046.5</v>
      </c>
      <c r="AP8" s="228">
        <v>0</v>
      </c>
      <c r="AQ8" s="230">
        <v>3488</v>
      </c>
      <c r="AR8" s="230">
        <v>2773</v>
      </c>
      <c r="AS8" s="228">
        <v>715</v>
      </c>
      <c r="AT8" s="229">
        <v>0.25779999999999997</v>
      </c>
      <c r="AU8" s="230">
        <v>3215</v>
      </c>
      <c r="AV8" s="230">
        <v>2573</v>
      </c>
      <c r="AW8" s="228">
        <v>642</v>
      </c>
      <c r="AX8" s="229">
        <v>0.2495</v>
      </c>
      <c r="AY8" s="228">
        <v>246</v>
      </c>
      <c r="AZ8" s="228">
        <v>182</v>
      </c>
      <c r="BA8" s="228">
        <v>64</v>
      </c>
      <c r="BB8" s="229">
        <v>0.35160000000000002</v>
      </c>
      <c r="BC8" s="228">
        <v>27</v>
      </c>
      <c r="BD8" s="228">
        <v>18</v>
      </c>
      <c r="BE8" s="228">
        <v>9</v>
      </c>
      <c r="BF8" s="229">
        <v>0.5</v>
      </c>
      <c r="BG8" s="230">
        <v>19030</v>
      </c>
      <c r="BH8" s="230">
        <v>10189</v>
      </c>
      <c r="BI8" s="230">
        <v>8841</v>
      </c>
      <c r="BJ8" s="229">
        <v>0.86770000000000003</v>
      </c>
      <c r="BK8" s="230">
        <v>7060</v>
      </c>
      <c r="BL8" s="230">
        <v>5921</v>
      </c>
      <c r="BM8" s="230">
        <v>1139</v>
      </c>
      <c r="BN8" s="229">
        <v>0.19239999999999999</v>
      </c>
      <c r="BO8" s="230">
        <v>29578</v>
      </c>
      <c r="BP8" s="230">
        <v>18883</v>
      </c>
      <c r="BQ8" s="230">
        <v>10695</v>
      </c>
      <c r="BR8" s="229">
        <v>0.56640000000000001</v>
      </c>
      <c r="BS8" s="230">
        <v>864207</v>
      </c>
      <c r="BT8" s="230">
        <v>812768</v>
      </c>
      <c r="BU8" s="230">
        <v>51439</v>
      </c>
      <c r="BV8" s="229">
        <v>6.3299999999999995E-2</v>
      </c>
      <c r="BW8" s="230">
        <v>17434500</v>
      </c>
      <c r="BX8" s="230">
        <v>17465000</v>
      </c>
      <c r="BY8" s="230">
        <v>-30500</v>
      </c>
      <c r="BZ8" s="229">
        <v>-1.6999999999999999E-3</v>
      </c>
      <c r="CA8" s="230">
        <v>17277500</v>
      </c>
      <c r="CB8" s="230">
        <v>17320500</v>
      </c>
      <c r="CC8" s="230">
        <v>-43000</v>
      </c>
      <c r="CD8" s="229">
        <v>-2.5000000000000001E-3</v>
      </c>
      <c r="CE8" s="230">
        <v>150000</v>
      </c>
      <c r="CF8" s="230">
        <v>138000</v>
      </c>
      <c r="CG8" s="230">
        <v>12000</v>
      </c>
      <c r="CH8" s="229">
        <v>8.6999999999999994E-2</v>
      </c>
      <c r="CI8" s="230">
        <v>7000</v>
      </c>
      <c r="CJ8" s="230">
        <v>6500</v>
      </c>
      <c r="CK8" s="228">
        <v>500</v>
      </c>
      <c r="CL8" s="229">
        <v>7.6899999999999996E-2</v>
      </c>
      <c r="CM8" s="230">
        <v>3491000</v>
      </c>
      <c r="CN8" s="230">
        <v>3011000</v>
      </c>
      <c r="CO8" s="230">
        <v>480000</v>
      </c>
      <c r="CP8" s="229">
        <v>0.15939999999999999</v>
      </c>
      <c r="CQ8" s="230">
        <v>2572000</v>
      </c>
      <c r="CR8" s="230">
        <v>2149500</v>
      </c>
      <c r="CS8" s="230">
        <v>422500</v>
      </c>
      <c r="CT8" s="229">
        <v>0.1966</v>
      </c>
      <c r="CU8" s="230">
        <v>23497500</v>
      </c>
      <c r="CV8" s="230">
        <v>22625500</v>
      </c>
      <c r="CW8" s="230">
        <v>872000</v>
      </c>
      <c r="CX8" s="229">
        <v>3.85E-2</v>
      </c>
      <c r="CY8" s="228">
        <v>21.66</v>
      </c>
      <c r="CZ8" s="228">
        <v>21.79</v>
      </c>
      <c r="DA8" s="228">
        <v>-0.13</v>
      </c>
      <c r="DB8" s="228">
        <v>-0.13</v>
      </c>
      <c r="DC8" s="228">
        <v>28.35</v>
      </c>
      <c r="DD8" s="228">
        <v>28.33</v>
      </c>
      <c r="DE8" s="228">
        <v>-6.69</v>
      </c>
      <c r="DF8" s="228">
        <v>0.02</v>
      </c>
      <c r="DG8" s="228">
        <v>21.26</v>
      </c>
      <c r="DH8" s="228">
        <v>21.44</v>
      </c>
      <c r="DI8" s="228">
        <v>-0.18</v>
      </c>
      <c r="DJ8" s="228">
        <v>-0.18</v>
      </c>
      <c r="DK8" s="228">
        <v>22.75</v>
      </c>
      <c r="DL8" s="228">
        <v>22.4</v>
      </c>
      <c r="DM8" s="228">
        <v>0.35</v>
      </c>
      <c r="DN8" s="228">
        <v>0.35</v>
      </c>
      <c r="DO8" s="228">
        <v>0.74</v>
      </c>
      <c r="DP8" s="228">
        <v>0.71</v>
      </c>
      <c r="DQ8" s="228">
        <v>0.03</v>
      </c>
      <c r="DR8" s="229">
        <v>4.2299999999999997E-2</v>
      </c>
      <c r="DS8" s="231">
        <v>2100</v>
      </c>
      <c r="DT8" s="231">
        <v>1800</v>
      </c>
      <c r="DU8" s="228">
        <v>0.37</v>
      </c>
      <c r="DV8" s="228">
        <v>0.57999999999999996</v>
      </c>
      <c r="DW8" s="228">
        <v>-0.21</v>
      </c>
      <c r="DX8" s="229">
        <v>-0.36209999999999998</v>
      </c>
      <c r="DY8" s="229">
        <v>8.9999999999999993E-3</v>
      </c>
      <c r="DZ8" s="230">
        <v>144500</v>
      </c>
      <c r="EA8" s="229">
        <v>5.0000000000000001E-3</v>
      </c>
      <c r="EB8" s="229">
        <v>8.9999999999999993E-3</v>
      </c>
      <c r="EC8" s="228">
        <v>8.6999999999999993</v>
      </c>
      <c r="ED8" s="229">
        <v>4.3E-3</v>
      </c>
      <c r="EE8" s="230">
        <v>351703</v>
      </c>
      <c r="EF8" s="230">
        <v>411730</v>
      </c>
      <c r="EG8" s="229">
        <v>-0.14580000000000001</v>
      </c>
      <c r="EH8" s="229">
        <v>0.40699999999999997</v>
      </c>
      <c r="EI8" s="231">
        <v>201490.29</v>
      </c>
      <c r="EJ8" s="231">
        <v>69668.320000000007</v>
      </c>
      <c r="EK8" s="231">
        <v>35552.959999999999</v>
      </c>
      <c r="EL8" s="231">
        <v>10422</v>
      </c>
      <c r="EM8" s="231">
        <v>306711.57</v>
      </c>
      <c r="EN8" s="231">
        <v>191938.63</v>
      </c>
      <c r="EO8" s="231">
        <v>114772.94</v>
      </c>
      <c r="EP8" s="229">
        <v>0.59799999999999998</v>
      </c>
      <c r="EQ8" s="231">
        <v>73874</v>
      </c>
      <c r="ER8" s="231">
        <v>49245</v>
      </c>
      <c r="ES8" s="231">
        <v>356047</v>
      </c>
      <c r="ET8" s="231">
        <v>65659712</v>
      </c>
      <c r="EU8" s="231">
        <v>479166</v>
      </c>
      <c r="EV8" s="231">
        <v>455653</v>
      </c>
      <c r="EW8" s="231">
        <v>23513</v>
      </c>
      <c r="EX8" s="229">
        <v>5.16E-2</v>
      </c>
      <c r="EY8" s="229">
        <v>0.3579</v>
      </c>
    </row>
    <row r="9" spans="1:155" ht="17.25" thickBot="1" x14ac:dyDescent="0.3">
      <c r="A9" s="226">
        <v>45936</v>
      </c>
      <c r="B9" s="227" t="s">
        <v>175</v>
      </c>
      <c r="C9" s="227" t="s">
        <v>177</v>
      </c>
      <c r="D9" s="231">
        <v>1014.9</v>
      </c>
      <c r="E9" s="228">
        <v>993.7</v>
      </c>
      <c r="F9" s="228">
        <v>21.2</v>
      </c>
      <c r="G9" s="229">
        <v>2.1299999999999999E-2</v>
      </c>
      <c r="H9" s="231">
        <v>1008.9</v>
      </c>
      <c r="I9" s="228">
        <v>989.75</v>
      </c>
      <c r="J9" s="228">
        <v>19.149999999999999</v>
      </c>
      <c r="K9" s="229">
        <v>1.9300000000000001E-2</v>
      </c>
      <c r="L9" s="231">
        <v>1014.9</v>
      </c>
      <c r="M9" s="228">
        <v>993.7</v>
      </c>
      <c r="N9" s="228">
        <v>21.2</v>
      </c>
      <c r="O9" s="229">
        <v>2.1299999999999999E-2</v>
      </c>
      <c r="P9" s="231">
        <v>1020.5</v>
      </c>
      <c r="Q9" s="228">
        <v>999.25</v>
      </c>
      <c r="R9" s="228">
        <v>21.25</v>
      </c>
      <c r="S9" s="229">
        <v>2.1299999999999999E-2</v>
      </c>
      <c r="T9" s="231">
        <v>1025.5999999999999</v>
      </c>
      <c r="U9" s="231">
        <v>1005.15</v>
      </c>
      <c r="V9" s="228">
        <v>20.45</v>
      </c>
      <c r="W9" s="229">
        <v>2.0299999999999999E-2</v>
      </c>
      <c r="X9" s="228">
        <v>6</v>
      </c>
      <c r="Y9" s="228">
        <v>3.95</v>
      </c>
      <c r="Z9" s="228">
        <v>2.0499999999999998</v>
      </c>
      <c r="AA9" s="229">
        <v>5.8999999999999999E-3</v>
      </c>
      <c r="AB9" s="228">
        <v>6</v>
      </c>
      <c r="AC9" s="228">
        <v>3.95</v>
      </c>
      <c r="AD9" s="228">
        <v>2.0499999999999998</v>
      </c>
      <c r="AE9" s="229">
        <v>5.8999999999999999E-3</v>
      </c>
      <c r="AF9" s="228">
        <v>11.6</v>
      </c>
      <c r="AG9" s="228">
        <v>9.5</v>
      </c>
      <c r="AH9" s="228">
        <v>2.1</v>
      </c>
      <c r="AI9" s="229">
        <v>1.15E-2</v>
      </c>
      <c r="AJ9" s="228">
        <v>16.7</v>
      </c>
      <c r="AK9" s="228">
        <v>15.4</v>
      </c>
      <c r="AL9" s="228">
        <v>1.3</v>
      </c>
      <c r="AM9" s="229">
        <v>1.66E-2</v>
      </c>
      <c r="AN9" s="231">
        <v>1015.18</v>
      </c>
      <c r="AO9" s="231">
        <v>1020.61</v>
      </c>
      <c r="AP9" s="228">
        <v>0</v>
      </c>
      <c r="AQ9" s="230">
        <v>21154</v>
      </c>
      <c r="AR9" s="230">
        <v>9911</v>
      </c>
      <c r="AS9" s="230">
        <v>11243</v>
      </c>
      <c r="AT9" s="229">
        <v>1.1344000000000001</v>
      </c>
      <c r="AU9" s="230">
        <v>20104</v>
      </c>
      <c r="AV9" s="230">
        <v>9437</v>
      </c>
      <c r="AW9" s="230">
        <v>10667</v>
      </c>
      <c r="AX9" s="229">
        <v>1.1303000000000001</v>
      </c>
      <c r="AY9" s="228">
        <v>927</v>
      </c>
      <c r="AZ9" s="228">
        <v>383</v>
      </c>
      <c r="BA9" s="228">
        <v>544</v>
      </c>
      <c r="BB9" s="229">
        <v>1.4204000000000001</v>
      </c>
      <c r="BC9" s="228">
        <v>123</v>
      </c>
      <c r="BD9" s="228">
        <v>91</v>
      </c>
      <c r="BE9" s="228">
        <v>32</v>
      </c>
      <c r="BF9" s="229">
        <v>0.35160000000000002</v>
      </c>
      <c r="BG9" s="230">
        <v>88303</v>
      </c>
      <c r="BH9" s="230">
        <v>26658</v>
      </c>
      <c r="BI9" s="230">
        <v>61645</v>
      </c>
      <c r="BJ9" s="229">
        <v>2.3123999999999998</v>
      </c>
      <c r="BK9" s="230">
        <v>34233</v>
      </c>
      <c r="BL9" s="230">
        <v>13165</v>
      </c>
      <c r="BM9" s="230">
        <v>21068</v>
      </c>
      <c r="BN9" s="229">
        <v>1.6003000000000001</v>
      </c>
      <c r="BO9" s="230">
        <v>143690</v>
      </c>
      <c r="BP9" s="230">
        <v>49734</v>
      </c>
      <c r="BQ9" s="230">
        <v>93956</v>
      </c>
      <c r="BR9" s="229">
        <v>1.8892</v>
      </c>
      <c r="BS9" s="230">
        <v>9576599</v>
      </c>
      <c r="BT9" s="230">
        <v>7797354</v>
      </c>
      <c r="BU9" s="230">
        <v>1779245</v>
      </c>
      <c r="BV9" s="229">
        <v>0.22819999999999999</v>
      </c>
      <c r="BW9" s="230">
        <v>90971250</v>
      </c>
      <c r="BX9" s="230">
        <v>90063750</v>
      </c>
      <c r="BY9" s="230">
        <v>907500</v>
      </c>
      <c r="BZ9" s="229">
        <v>1.01E-2</v>
      </c>
      <c r="CA9" s="230">
        <v>90003000</v>
      </c>
      <c r="CB9" s="230">
        <v>89139750</v>
      </c>
      <c r="CC9" s="230">
        <v>863250</v>
      </c>
      <c r="CD9" s="229">
        <v>9.7000000000000003E-3</v>
      </c>
      <c r="CE9" s="230">
        <v>897750</v>
      </c>
      <c r="CF9" s="230">
        <v>867000</v>
      </c>
      <c r="CG9" s="230">
        <v>30750</v>
      </c>
      <c r="CH9" s="229">
        <v>3.5499999999999997E-2</v>
      </c>
      <c r="CI9" s="230">
        <v>70500</v>
      </c>
      <c r="CJ9" s="230">
        <v>57000</v>
      </c>
      <c r="CK9" s="230">
        <v>13500</v>
      </c>
      <c r="CL9" s="229">
        <v>0.23680000000000001</v>
      </c>
      <c r="CM9" s="230">
        <v>18005250</v>
      </c>
      <c r="CN9" s="230">
        <v>14652000</v>
      </c>
      <c r="CO9" s="230">
        <v>3353250</v>
      </c>
      <c r="CP9" s="229">
        <v>0.22889999999999999</v>
      </c>
      <c r="CQ9" s="230">
        <v>11558250</v>
      </c>
      <c r="CR9" s="230">
        <v>10522500</v>
      </c>
      <c r="CS9" s="230">
        <v>1035750</v>
      </c>
      <c r="CT9" s="229">
        <v>9.8400000000000001E-2</v>
      </c>
      <c r="CU9" s="230">
        <v>120534750</v>
      </c>
      <c r="CV9" s="230">
        <v>115238250</v>
      </c>
      <c r="CW9" s="230">
        <v>5296500</v>
      </c>
      <c r="CX9" s="229">
        <v>4.5999999999999999E-2</v>
      </c>
      <c r="CY9" s="228">
        <v>25.27</v>
      </c>
      <c r="CZ9" s="228">
        <v>25.19</v>
      </c>
      <c r="DA9" s="228">
        <v>0.08</v>
      </c>
      <c r="DB9" s="228">
        <v>0.08</v>
      </c>
      <c r="DC9" s="228">
        <v>31.4</v>
      </c>
      <c r="DD9" s="228">
        <v>31.37</v>
      </c>
      <c r="DE9" s="228">
        <v>-6.13</v>
      </c>
      <c r="DF9" s="228">
        <v>0.03</v>
      </c>
      <c r="DG9" s="228">
        <v>25.14</v>
      </c>
      <c r="DH9" s="228">
        <v>25.14</v>
      </c>
      <c r="DI9" s="228">
        <v>0</v>
      </c>
      <c r="DJ9" s="228">
        <v>0</v>
      </c>
      <c r="DK9" s="228">
        <v>25.61</v>
      </c>
      <c r="DL9" s="228">
        <v>25.29</v>
      </c>
      <c r="DM9" s="228">
        <v>0.32</v>
      </c>
      <c r="DN9" s="228">
        <v>0.32</v>
      </c>
      <c r="DO9" s="228">
        <v>0.64</v>
      </c>
      <c r="DP9" s="228">
        <v>0.72</v>
      </c>
      <c r="DQ9" s="228">
        <v>-0.08</v>
      </c>
      <c r="DR9" s="229">
        <v>-0.1111</v>
      </c>
      <c r="DS9" s="231">
        <v>1100</v>
      </c>
      <c r="DT9" s="231">
        <v>1000</v>
      </c>
      <c r="DU9" s="228">
        <v>0.39</v>
      </c>
      <c r="DV9" s="228">
        <v>0.49</v>
      </c>
      <c r="DW9" s="228">
        <v>-0.1</v>
      </c>
      <c r="DX9" s="229">
        <v>-0.2041</v>
      </c>
      <c r="DY9" s="229">
        <v>1.06E-2</v>
      </c>
      <c r="DZ9" s="230">
        <v>924000</v>
      </c>
      <c r="EA9" s="229">
        <v>5.4999999999999997E-3</v>
      </c>
      <c r="EB9" s="229">
        <v>1.06E-2</v>
      </c>
      <c r="EC9" s="228">
        <v>5.43</v>
      </c>
      <c r="ED9" s="229">
        <v>5.3E-3</v>
      </c>
      <c r="EE9" s="230">
        <v>4492276</v>
      </c>
      <c r="EF9" s="230">
        <v>4875520</v>
      </c>
      <c r="EG9" s="229">
        <v>-7.8600000000000003E-2</v>
      </c>
      <c r="EH9" s="229">
        <v>0.46910000000000002</v>
      </c>
      <c r="EI9" s="231">
        <v>698434.16</v>
      </c>
      <c r="EJ9" s="231">
        <v>254971.5</v>
      </c>
      <c r="EK9" s="231">
        <v>161110.79999999999</v>
      </c>
      <c r="EL9" s="231">
        <v>23929</v>
      </c>
      <c r="EM9" s="231">
        <v>1114516.46</v>
      </c>
      <c r="EN9" s="231">
        <v>377549.63</v>
      </c>
      <c r="EO9" s="231">
        <v>736966.83</v>
      </c>
      <c r="EP9" s="229">
        <v>1.952</v>
      </c>
      <c r="EQ9" s="231">
        <v>188008</v>
      </c>
      <c r="ER9" s="231">
        <v>111100</v>
      </c>
      <c r="ES9" s="231">
        <v>923325</v>
      </c>
      <c r="ET9" s="231">
        <v>281116345</v>
      </c>
      <c r="EU9" s="231">
        <v>1222432</v>
      </c>
      <c r="EV9" s="231">
        <v>1147852</v>
      </c>
      <c r="EW9" s="231">
        <v>74580</v>
      </c>
      <c r="EX9" s="229">
        <v>6.5000000000000002E-2</v>
      </c>
      <c r="EY9" s="229">
        <v>0.42880000000000001</v>
      </c>
    </row>
    <row r="10" spans="1:155" ht="17.25" thickBot="1" x14ac:dyDescent="0.3">
      <c r="A10" s="226">
        <v>45936</v>
      </c>
      <c r="B10" s="227" t="s">
        <v>184</v>
      </c>
      <c r="C10" s="227" t="s">
        <v>185</v>
      </c>
      <c r="D10" s="228">
        <v>415.55</v>
      </c>
      <c r="E10" s="228">
        <v>415.15</v>
      </c>
      <c r="F10" s="228">
        <v>0.4</v>
      </c>
      <c r="G10" s="229">
        <v>1E-3</v>
      </c>
      <c r="H10" s="228">
        <v>413.25</v>
      </c>
      <c r="I10" s="228">
        <v>412.65</v>
      </c>
      <c r="J10" s="228">
        <v>0.6</v>
      </c>
      <c r="K10" s="229">
        <v>1.5E-3</v>
      </c>
      <c r="L10" s="228">
        <v>415.55</v>
      </c>
      <c r="M10" s="228">
        <v>415.15</v>
      </c>
      <c r="N10" s="228">
        <v>0.4</v>
      </c>
      <c r="O10" s="229">
        <v>1E-3</v>
      </c>
      <c r="P10" s="228">
        <v>417.75</v>
      </c>
      <c r="Q10" s="228">
        <v>417.35</v>
      </c>
      <c r="R10" s="228">
        <v>0.4</v>
      </c>
      <c r="S10" s="229">
        <v>1E-3</v>
      </c>
      <c r="T10" s="228">
        <v>420.15</v>
      </c>
      <c r="U10" s="228">
        <v>419.75</v>
      </c>
      <c r="V10" s="228">
        <v>0.4</v>
      </c>
      <c r="W10" s="229">
        <v>1E-3</v>
      </c>
      <c r="X10" s="228">
        <v>2.2999999999999998</v>
      </c>
      <c r="Y10" s="228">
        <v>2.5</v>
      </c>
      <c r="Z10" s="228">
        <v>-0.2</v>
      </c>
      <c r="AA10" s="229">
        <v>5.5999999999999999E-3</v>
      </c>
      <c r="AB10" s="228">
        <v>2.2999999999999998</v>
      </c>
      <c r="AC10" s="228">
        <v>2.5</v>
      </c>
      <c r="AD10" s="228">
        <v>-0.2</v>
      </c>
      <c r="AE10" s="229">
        <v>5.5999999999999999E-3</v>
      </c>
      <c r="AF10" s="228">
        <v>4.5</v>
      </c>
      <c r="AG10" s="228">
        <v>4.7</v>
      </c>
      <c r="AH10" s="228">
        <v>-0.2</v>
      </c>
      <c r="AI10" s="229">
        <v>1.09E-2</v>
      </c>
      <c r="AJ10" s="228">
        <v>6.9</v>
      </c>
      <c r="AK10" s="228">
        <v>7.1</v>
      </c>
      <c r="AL10" s="228">
        <v>-0.2</v>
      </c>
      <c r="AM10" s="229">
        <v>1.67E-2</v>
      </c>
      <c r="AN10" s="228">
        <v>413.48</v>
      </c>
      <c r="AO10" s="228">
        <v>415.58</v>
      </c>
      <c r="AP10" s="228">
        <v>0</v>
      </c>
      <c r="AQ10" s="230">
        <v>7914</v>
      </c>
      <c r="AR10" s="230">
        <v>9147</v>
      </c>
      <c r="AS10" s="230">
        <v>-1233</v>
      </c>
      <c r="AT10" s="229">
        <v>-0.1348</v>
      </c>
      <c r="AU10" s="230">
        <v>7184</v>
      </c>
      <c r="AV10" s="230">
        <v>8228</v>
      </c>
      <c r="AW10" s="230">
        <v>-1044</v>
      </c>
      <c r="AX10" s="229">
        <v>-0.12690000000000001</v>
      </c>
      <c r="AY10" s="228">
        <v>594</v>
      </c>
      <c r="AZ10" s="228">
        <v>725</v>
      </c>
      <c r="BA10" s="228">
        <v>-131</v>
      </c>
      <c r="BB10" s="229">
        <v>-0.1807</v>
      </c>
      <c r="BC10" s="228">
        <v>136</v>
      </c>
      <c r="BD10" s="228">
        <v>194</v>
      </c>
      <c r="BE10" s="228">
        <v>-58</v>
      </c>
      <c r="BF10" s="229">
        <v>-0.29899999999999999</v>
      </c>
      <c r="BG10" s="230">
        <v>25434</v>
      </c>
      <c r="BH10" s="230">
        <v>35723</v>
      </c>
      <c r="BI10" s="230">
        <v>-10289</v>
      </c>
      <c r="BJ10" s="229">
        <v>-0.28799999999999998</v>
      </c>
      <c r="BK10" s="230">
        <v>12795</v>
      </c>
      <c r="BL10" s="230">
        <v>16647</v>
      </c>
      <c r="BM10" s="230">
        <v>-3852</v>
      </c>
      <c r="BN10" s="229">
        <v>-0.23139999999999999</v>
      </c>
      <c r="BO10" s="230">
        <v>46143</v>
      </c>
      <c r="BP10" s="230">
        <v>61517</v>
      </c>
      <c r="BQ10" s="230">
        <v>-15374</v>
      </c>
      <c r="BR10" s="229">
        <v>-0.24990000000000001</v>
      </c>
      <c r="BS10" s="230">
        <v>15217057</v>
      </c>
      <c r="BT10" s="230">
        <v>17348314</v>
      </c>
      <c r="BU10" s="230">
        <v>-2131257</v>
      </c>
      <c r="BV10" s="229">
        <v>-0.1229</v>
      </c>
      <c r="BW10" s="230">
        <v>106219500</v>
      </c>
      <c r="BX10" s="230">
        <v>106444650</v>
      </c>
      <c r="BY10" s="230">
        <v>-225150</v>
      </c>
      <c r="BZ10" s="229">
        <v>-2.0999999999999999E-3</v>
      </c>
      <c r="CA10" s="230">
        <v>101337450</v>
      </c>
      <c r="CB10" s="230">
        <v>101970150</v>
      </c>
      <c r="CC10" s="230">
        <v>-632700</v>
      </c>
      <c r="CD10" s="229">
        <v>-6.1999999999999998E-3</v>
      </c>
      <c r="CE10" s="230">
        <v>4312050</v>
      </c>
      <c r="CF10" s="230">
        <v>4055550</v>
      </c>
      <c r="CG10" s="230">
        <v>256500</v>
      </c>
      <c r="CH10" s="229">
        <v>6.3200000000000006E-2</v>
      </c>
      <c r="CI10" s="230">
        <v>570000</v>
      </c>
      <c r="CJ10" s="230">
        <v>418950</v>
      </c>
      <c r="CK10" s="230">
        <v>151050</v>
      </c>
      <c r="CL10" s="229">
        <v>0.36049999999999999</v>
      </c>
      <c r="CM10" s="230">
        <v>49835100</v>
      </c>
      <c r="CN10" s="230">
        <v>47158950</v>
      </c>
      <c r="CO10" s="230">
        <v>2676150</v>
      </c>
      <c r="CP10" s="229">
        <v>5.67E-2</v>
      </c>
      <c r="CQ10" s="230">
        <v>35391300</v>
      </c>
      <c r="CR10" s="230">
        <v>33068550</v>
      </c>
      <c r="CS10" s="230">
        <v>2322750</v>
      </c>
      <c r="CT10" s="229">
        <v>7.0199999999999999E-2</v>
      </c>
      <c r="CU10" s="230">
        <v>191445900</v>
      </c>
      <c r="CV10" s="230">
        <v>186672150</v>
      </c>
      <c r="CW10" s="230">
        <v>4773750</v>
      </c>
      <c r="CX10" s="229">
        <v>2.5600000000000001E-2</v>
      </c>
      <c r="CY10" s="228">
        <v>25.9</v>
      </c>
      <c r="CZ10" s="228">
        <v>25.32</v>
      </c>
      <c r="DA10" s="228">
        <v>0.57999999999999996</v>
      </c>
      <c r="DB10" s="228">
        <v>0.57999999999999996</v>
      </c>
      <c r="DC10" s="228">
        <v>38.1</v>
      </c>
      <c r="DD10" s="228">
        <v>38.19</v>
      </c>
      <c r="DE10" s="228">
        <v>-12.2</v>
      </c>
      <c r="DF10" s="228">
        <v>-0.09</v>
      </c>
      <c r="DG10" s="228">
        <v>25.75</v>
      </c>
      <c r="DH10" s="228">
        <v>25.13</v>
      </c>
      <c r="DI10" s="228">
        <v>0.62</v>
      </c>
      <c r="DJ10" s="228">
        <v>0.62</v>
      </c>
      <c r="DK10" s="228">
        <v>26.2</v>
      </c>
      <c r="DL10" s="228">
        <v>25.72</v>
      </c>
      <c r="DM10" s="228">
        <v>0.48</v>
      </c>
      <c r="DN10" s="228">
        <v>0.48</v>
      </c>
      <c r="DO10" s="228">
        <v>0.71</v>
      </c>
      <c r="DP10" s="228">
        <v>0.7</v>
      </c>
      <c r="DQ10" s="228">
        <v>0.01</v>
      </c>
      <c r="DR10" s="229">
        <v>1.43E-2</v>
      </c>
      <c r="DS10" s="228">
        <v>420</v>
      </c>
      <c r="DT10" s="228">
        <v>400</v>
      </c>
      <c r="DU10" s="228">
        <v>0.5</v>
      </c>
      <c r="DV10" s="228">
        <v>0.47</v>
      </c>
      <c r="DW10" s="228">
        <v>0.03</v>
      </c>
      <c r="DX10" s="229">
        <v>6.3799999999999996E-2</v>
      </c>
      <c r="DY10" s="229">
        <v>4.5999999999999999E-2</v>
      </c>
      <c r="DZ10" s="230">
        <v>4474500</v>
      </c>
      <c r="EA10" s="229">
        <v>5.3E-3</v>
      </c>
      <c r="EB10" s="229">
        <v>4.5999999999999999E-2</v>
      </c>
      <c r="EC10" s="228">
        <v>2.1</v>
      </c>
      <c r="ED10" s="229">
        <v>5.1000000000000004E-3</v>
      </c>
      <c r="EE10" s="230">
        <v>8305204</v>
      </c>
      <c r="EF10" s="230">
        <v>9568772</v>
      </c>
      <c r="EG10" s="229">
        <v>-0.1321</v>
      </c>
      <c r="EH10" s="229">
        <v>0.54579999999999995</v>
      </c>
      <c r="EI10" s="231">
        <v>312391.82</v>
      </c>
      <c r="EJ10" s="231">
        <v>147830.57999999999</v>
      </c>
      <c r="EK10" s="231">
        <v>93315.01</v>
      </c>
      <c r="EL10" s="231">
        <v>14754</v>
      </c>
      <c r="EM10" s="231">
        <v>553537.41</v>
      </c>
      <c r="EN10" s="231">
        <v>739994.64</v>
      </c>
      <c r="EO10" s="231">
        <v>-186457.23</v>
      </c>
      <c r="EP10" s="229">
        <v>-0.252</v>
      </c>
      <c r="EQ10" s="231">
        <v>211593</v>
      </c>
      <c r="ER10" s="231">
        <v>139385</v>
      </c>
      <c r="ES10" s="231">
        <v>441516</v>
      </c>
      <c r="ET10" s="231">
        <v>535778534</v>
      </c>
      <c r="EU10" s="231">
        <v>792494</v>
      </c>
      <c r="EV10" s="231">
        <v>771788</v>
      </c>
      <c r="EW10" s="231">
        <v>20706</v>
      </c>
      <c r="EX10" s="229">
        <v>2.6800000000000001E-2</v>
      </c>
      <c r="EY10" s="229">
        <v>0.35730000000000001</v>
      </c>
    </row>
    <row r="11" spans="1:155" ht="17.25" thickBot="1" x14ac:dyDescent="0.3">
      <c r="A11" s="226">
        <v>45936</v>
      </c>
      <c r="B11" s="227" t="s">
        <v>188</v>
      </c>
      <c r="C11" s="227" t="s">
        <v>189</v>
      </c>
      <c r="D11" s="231">
        <v>1912.2</v>
      </c>
      <c r="E11" s="231">
        <v>1904</v>
      </c>
      <c r="F11" s="228">
        <v>8.1999999999999993</v>
      </c>
      <c r="G11" s="229">
        <v>4.3E-3</v>
      </c>
      <c r="H11" s="231">
        <v>1903.1</v>
      </c>
      <c r="I11" s="231">
        <v>1896.7</v>
      </c>
      <c r="J11" s="228">
        <v>6.4</v>
      </c>
      <c r="K11" s="229">
        <v>3.3999999999999998E-3</v>
      </c>
      <c r="L11" s="231">
        <v>1912.2</v>
      </c>
      <c r="M11" s="231">
        <v>1904</v>
      </c>
      <c r="N11" s="228">
        <v>8.1999999999999993</v>
      </c>
      <c r="O11" s="229">
        <v>4.3E-3</v>
      </c>
      <c r="P11" s="231">
        <v>1923.2</v>
      </c>
      <c r="Q11" s="231">
        <v>1915.2</v>
      </c>
      <c r="R11" s="228">
        <v>8</v>
      </c>
      <c r="S11" s="229">
        <v>4.1999999999999997E-3</v>
      </c>
      <c r="T11" s="231">
        <v>1934.1</v>
      </c>
      <c r="U11" s="231">
        <v>1925.6</v>
      </c>
      <c r="V11" s="228">
        <v>8.5</v>
      </c>
      <c r="W11" s="229">
        <v>4.4000000000000003E-3</v>
      </c>
      <c r="X11" s="228">
        <v>9.1</v>
      </c>
      <c r="Y11" s="228">
        <v>7.3</v>
      </c>
      <c r="Z11" s="228">
        <v>1.8</v>
      </c>
      <c r="AA11" s="229">
        <v>4.7999999999999996E-3</v>
      </c>
      <c r="AB11" s="228">
        <v>9.1</v>
      </c>
      <c r="AC11" s="228">
        <v>7.3</v>
      </c>
      <c r="AD11" s="228">
        <v>1.8</v>
      </c>
      <c r="AE11" s="229">
        <v>4.7999999999999996E-3</v>
      </c>
      <c r="AF11" s="228">
        <v>20.100000000000001</v>
      </c>
      <c r="AG11" s="228">
        <v>18.5</v>
      </c>
      <c r="AH11" s="228">
        <v>1.6</v>
      </c>
      <c r="AI11" s="229">
        <v>1.06E-2</v>
      </c>
      <c r="AJ11" s="228">
        <v>31</v>
      </c>
      <c r="AK11" s="228">
        <v>28.9</v>
      </c>
      <c r="AL11" s="228">
        <v>2.1</v>
      </c>
      <c r="AM11" s="229">
        <v>1.6299999999999999E-2</v>
      </c>
      <c r="AN11" s="231">
        <v>1905.83</v>
      </c>
      <c r="AO11" s="231">
        <v>1916.19</v>
      </c>
      <c r="AP11" s="228">
        <v>0</v>
      </c>
      <c r="AQ11" s="230">
        <v>7754</v>
      </c>
      <c r="AR11" s="230">
        <v>21794</v>
      </c>
      <c r="AS11" s="230">
        <v>-14040</v>
      </c>
      <c r="AT11" s="229">
        <v>-0.64419999999999999</v>
      </c>
      <c r="AU11" s="230">
        <v>7464</v>
      </c>
      <c r="AV11" s="230">
        <v>17893</v>
      </c>
      <c r="AW11" s="230">
        <v>-10429</v>
      </c>
      <c r="AX11" s="229">
        <v>-0.58289999999999997</v>
      </c>
      <c r="AY11" s="228">
        <v>270</v>
      </c>
      <c r="AZ11" s="228">
        <v>365</v>
      </c>
      <c r="BA11" s="228">
        <v>-95</v>
      </c>
      <c r="BB11" s="229">
        <v>-0.26029999999999998</v>
      </c>
      <c r="BC11" s="228">
        <v>20</v>
      </c>
      <c r="BD11" s="230">
        <v>3536</v>
      </c>
      <c r="BE11" s="230">
        <v>-3516</v>
      </c>
      <c r="BF11" s="229">
        <v>-0.99429999999999996</v>
      </c>
      <c r="BG11" s="230">
        <v>28749</v>
      </c>
      <c r="BH11" s="230">
        <v>50519</v>
      </c>
      <c r="BI11" s="230">
        <v>-21770</v>
      </c>
      <c r="BJ11" s="229">
        <v>-0.43090000000000001</v>
      </c>
      <c r="BK11" s="230">
        <v>12093</v>
      </c>
      <c r="BL11" s="230">
        <v>21386</v>
      </c>
      <c r="BM11" s="230">
        <v>-9293</v>
      </c>
      <c r="BN11" s="229">
        <v>-0.4345</v>
      </c>
      <c r="BO11" s="230">
        <v>48596</v>
      </c>
      <c r="BP11" s="230">
        <v>93699</v>
      </c>
      <c r="BQ11" s="230">
        <v>-45103</v>
      </c>
      <c r="BR11" s="229">
        <v>-0.48139999999999999</v>
      </c>
      <c r="BS11" s="230">
        <v>2919900</v>
      </c>
      <c r="BT11" s="230">
        <v>5886660</v>
      </c>
      <c r="BU11" s="230">
        <v>-2966760</v>
      </c>
      <c r="BV11" s="229">
        <v>-0.504</v>
      </c>
      <c r="BW11" s="230">
        <v>49258450</v>
      </c>
      <c r="BX11" s="230">
        <v>49426125</v>
      </c>
      <c r="BY11" s="230">
        <v>-167675</v>
      </c>
      <c r="BZ11" s="229">
        <v>-3.3999999999999998E-3</v>
      </c>
      <c r="CA11" s="230">
        <v>47195525</v>
      </c>
      <c r="CB11" s="230">
        <v>47349425</v>
      </c>
      <c r="CC11" s="230">
        <v>-153900</v>
      </c>
      <c r="CD11" s="229">
        <v>-3.3E-3</v>
      </c>
      <c r="CE11" s="230">
        <v>379050</v>
      </c>
      <c r="CF11" s="230">
        <v>396150</v>
      </c>
      <c r="CG11" s="230">
        <v>-17100</v>
      </c>
      <c r="CH11" s="229">
        <v>-4.3200000000000002E-2</v>
      </c>
      <c r="CI11" s="230">
        <v>1683875</v>
      </c>
      <c r="CJ11" s="230">
        <v>1680550</v>
      </c>
      <c r="CK11" s="230">
        <v>3325</v>
      </c>
      <c r="CL11" s="229">
        <v>2E-3</v>
      </c>
      <c r="CM11" s="230">
        <v>8217500</v>
      </c>
      <c r="CN11" s="230">
        <v>7962425</v>
      </c>
      <c r="CO11" s="230">
        <v>255075</v>
      </c>
      <c r="CP11" s="229">
        <v>3.2000000000000001E-2</v>
      </c>
      <c r="CQ11" s="230">
        <v>4661650</v>
      </c>
      <c r="CR11" s="230">
        <v>4599425</v>
      </c>
      <c r="CS11" s="230">
        <v>62225</v>
      </c>
      <c r="CT11" s="229">
        <v>1.35E-2</v>
      </c>
      <c r="CU11" s="230">
        <v>62137600</v>
      </c>
      <c r="CV11" s="230">
        <v>61987975</v>
      </c>
      <c r="CW11" s="230">
        <v>149625</v>
      </c>
      <c r="CX11" s="229">
        <v>2.3999999999999998E-3</v>
      </c>
      <c r="CY11" s="228">
        <v>16.739999999999998</v>
      </c>
      <c r="CZ11" s="228">
        <v>16.59</v>
      </c>
      <c r="DA11" s="228">
        <v>0.15</v>
      </c>
      <c r="DB11" s="228">
        <v>0.15</v>
      </c>
      <c r="DC11" s="228">
        <v>24.92</v>
      </c>
      <c r="DD11" s="228">
        <v>24.98</v>
      </c>
      <c r="DE11" s="228">
        <v>-8.18</v>
      </c>
      <c r="DF11" s="228">
        <v>-0.06</v>
      </c>
      <c r="DG11" s="228">
        <v>16.690000000000001</v>
      </c>
      <c r="DH11" s="228">
        <v>16.48</v>
      </c>
      <c r="DI11" s="228">
        <v>0.21</v>
      </c>
      <c r="DJ11" s="228">
        <v>0.21</v>
      </c>
      <c r="DK11" s="228">
        <v>16.86</v>
      </c>
      <c r="DL11" s="228">
        <v>16.84</v>
      </c>
      <c r="DM11" s="228">
        <v>0.02</v>
      </c>
      <c r="DN11" s="228">
        <v>0.02</v>
      </c>
      <c r="DO11" s="228">
        <v>0.56999999999999995</v>
      </c>
      <c r="DP11" s="228">
        <v>0.57999999999999996</v>
      </c>
      <c r="DQ11" s="228">
        <v>-0.01</v>
      </c>
      <c r="DR11" s="229">
        <v>-1.72E-2</v>
      </c>
      <c r="DS11" s="231">
        <v>1900</v>
      </c>
      <c r="DT11" s="231">
        <v>1900</v>
      </c>
      <c r="DU11" s="228">
        <v>0.42</v>
      </c>
      <c r="DV11" s="228">
        <v>0.42</v>
      </c>
      <c r="DW11" s="228">
        <v>0</v>
      </c>
      <c r="DX11" s="229">
        <v>0</v>
      </c>
      <c r="DY11" s="229">
        <v>4.19E-2</v>
      </c>
      <c r="DZ11" s="230">
        <v>2076700</v>
      </c>
      <c r="EA11" s="229">
        <v>5.7999999999999996E-3</v>
      </c>
      <c r="EB11" s="229">
        <v>4.19E-2</v>
      </c>
      <c r="EC11" s="228">
        <v>10.36</v>
      </c>
      <c r="ED11" s="229">
        <v>5.4000000000000003E-3</v>
      </c>
      <c r="EE11" s="230">
        <v>1825389</v>
      </c>
      <c r="EF11" s="230">
        <v>4030452</v>
      </c>
      <c r="EG11" s="229">
        <v>-0.54710000000000003</v>
      </c>
      <c r="EH11" s="229">
        <v>0.62519999999999998</v>
      </c>
      <c r="EI11" s="231">
        <v>268076.2</v>
      </c>
      <c r="EJ11" s="231">
        <v>108066.65</v>
      </c>
      <c r="EK11" s="231">
        <v>70210.039999999994</v>
      </c>
      <c r="EL11" s="231">
        <v>33257</v>
      </c>
      <c r="EM11" s="231">
        <v>446352.89</v>
      </c>
      <c r="EN11" s="231">
        <v>854892</v>
      </c>
      <c r="EO11" s="231">
        <v>-408539.11</v>
      </c>
      <c r="EP11" s="229">
        <v>-0.47789999999999999</v>
      </c>
      <c r="EQ11" s="231">
        <v>161658</v>
      </c>
      <c r="ER11" s="231">
        <v>86526</v>
      </c>
      <c r="ES11" s="231">
        <v>942331</v>
      </c>
      <c r="ET11" s="231">
        <v>314058656</v>
      </c>
      <c r="EU11" s="231">
        <v>1190514</v>
      </c>
      <c r="EV11" s="231">
        <v>1183361</v>
      </c>
      <c r="EW11" s="231">
        <v>7153</v>
      </c>
      <c r="EX11" s="229">
        <v>6.0000000000000001E-3</v>
      </c>
      <c r="EY11" s="229">
        <v>0.19789999999999999</v>
      </c>
    </row>
    <row r="12" spans="1:155" ht="17.25" thickBot="1" x14ac:dyDescent="0.3">
      <c r="A12" s="226">
        <v>45936</v>
      </c>
      <c r="B12" s="227" t="s">
        <v>170</v>
      </c>
      <c r="C12" s="227" t="s">
        <v>199</v>
      </c>
      <c r="D12" s="231">
        <v>1522.1</v>
      </c>
      <c r="E12" s="231">
        <v>1523.7</v>
      </c>
      <c r="F12" s="228">
        <v>-1.6</v>
      </c>
      <c r="G12" s="229">
        <v>-1.1000000000000001E-3</v>
      </c>
      <c r="H12" s="231">
        <v>1513.1</v>
      </c>
      <c r="I12" s="231">
        <v>1517.7</v>
      </c>
      <c r="J12" s="228">
        <v>-4.5999999999999996</v>
      </c>
      <c r="K12" s="229">
        <v>-3.0000000000000001E-3</v>
      </c>
      <c r="L12" s="231">
        <v>1522.1</v>
      </c>
      <c r="M12" s="231">
        <v>1523.7</v>
      </c>
      <c r="N12" s="228">
        <v>-1.6</v>
      </c>
      <c r="O12" s="229">
        <v>-1.1000000000000001E-3</v>
      </c>
      <c r="P12" s="231">
        <v>1530.3</v>
      </c>
      <c r="Q12" s="231">
        <v>1532.1</v>
      </c>
      <c r="R12" s="228">
        <v>-1.8</v>
      </c>
      <c r="S12" s="229">
        <v>-1.1999999999999999E-3</v>
      </c>
      <c r="T12" s="231">
        <v>1521.2</v>
      </c>
      <c r="U12" s="231">
        <v>1538.5</v>
      </c>
      <c r="V12" s="228">
        <v>-17.3</v>
      </c>
      <c r="W12" s="229">
        <v>-1.12E-2</v>
      </c>
      <c r="X12" s="228">
        <v>9</v>
      </c>
      <c r="Y12" s="228">
        <v>6</v>
      </c>
      <c r="Z12" s="228">
        <v>3</v>
      </c>
      <c r="AA12" s="229">
        <v>5.8999999999999999E-3</v>
      </c>
      <c r="AB12" s="228">
        <v>9</v>
      </c>
      <c r="AC12" s="228">
        <v>6</v>
      </c>
      <c r="AD12" s="228">
        <v>3</v>
      </c>
      <c r="AE12" s="229">
        <v>5.8999999999999999E-3</v>
      </c>
      <c r="AF12" s="228">
        <v>17.2</v>
      </c>
      <c r="AG12" s="228">
        <v>14.4</v>
      </c>
      <c r="AH12" s="228">
        <v>2.8</v>
      </c>
      <c r="AI12" s="229">
        <v>1.14E-2</v>
      </c>
      <c r="AJ12" s="228">
        <v>8.1</v>
      </c>
      <c r="AK12" s="228">
        <v>20.8</v>
      </c>
      <c r="AL12" s="228">
        <v>-12.7</v>
      </c>
      <c r="AM12" s="229">
        <v>5.4000000000000003E-3</v>
      </c>
      <c r="AN12" s="231">
        <v>1517.72</v>
      </c>
      <c r="AO12" s="231">
        <v>1526.76</v>
      </c>
      <c r="AP12" s="228">
        <v>0</v>
      </c>
      <c r="AQ12" s="230">
        <v>2248</v>
      </c>
      <c r="AR12" s="230">
        <v>2226</v>
      </c>
      <c r="AS12" s="228">
        <v>22</v>
      </c>
      <c r="AT12" s="229">
        <v>9.9000000000000008E-3</v>
      </c>
      <c r="AU12" s="230">
        <v>2141</v>
      </c>
      <c r="AV12" s="230">
        <v>2156</v>
      </c>
      <c r="AW12" s="228">
        <v>-15</v>
      </c>
      <c r="AX12" s="229">
        <v>-7.0000000000000001E-3</v>
      </c>
      <c r="AY12" s="228">
        <v>105</v>
      </c>
      <c r="AZ12" s="228">
        <v>63</v>
      </c>
      <c r="BA12" s="228">
        <v>42</v>
      </c>
      <c r="BB12" s="229">
        <v>0.66669999999999996</v>
      </c>
      <c r="BC12" s="228">
        <v>2</v>
      </c>
      <c r="BD12" s="228">
        <v>7</v>
      </c>
      <c r="BE12" s="228">
        <v>-5</v>
      </c>
      <c r="BF12" s="229">
        <v>-0.71430000000000005</v>
      </c>
      <c r="BG12" s="230">
        <v>6783</v>
      </c>
      <c r="BH12" s="230">
        <v>6241</v>
      </c>
      <c r="BI12" s="228">
        <v>542</v>
      </c>
      <c r="BJ12" s="229">
        <v>8.6800000000000002E-2</v>
      </c>
      <c r="BK12" s="230">
        <v>4159</v>
      </c>
      <c r="BL12" s="230">
        <v>3770</v>
      </c>
      <c r="BM12" s="228">
        <v>389</v>
      </c>
      <c r="BN12" s="229">
        <v>0.1032</v>
      </c>
      <c r="BO12" s="230">
        <v>13190</v>
      </c>
      <c r="BP12" s="230">
        <v>12237</v>
      </c>
      <c r="BQ12" s="228">
        <v>953</v>
      </c>
      <c r="BR12" s="229">
        <v>7.7899999999999997E-2</v>
      </c>
      <c r="BS12" s="230">
        <v>784944</v>
      </c>
      <c r="BT12" s="230">
        <v>1187627</v>
      </c>
      <c r="BU12" s="230">
        <v>-402683</v>
      </c>
      <c r="BV12" s="229">
        <v>-0.33910000000000001</v>
      </c>
      <c r="BW12" s="230">
        <v>10716750</v>
      </c>
      <c r="BX12" s="230">
        <v>10777125</v>
      </c>
      <c r="BY12" s="230">
        <v>-60375</v>
      </c>
      <c r="BZ12" s="229">
        <v>-5.5999999999999999E-3</v>
      </c>
      <c r="CA12" s="230">
        <v>10635000</v>
      </c>
      <c r="CB12" s="230">
        <v>10710375</v>
      </c>
      <c r="CC12" s="230">
        <v>-75375</v>
      </c>
      <c r="CD12" s="229">
        <v>-7.0000000000000001E-3</v>
      </c>
      <c r="CE12" s="230">
        <v>79125</v>
      </c>
      <c r="CF12" s="230">
        <v>64500</v>
      </c>
      <c r="CG12" s="230">
        <v>14625</v>
      </c>
      <c r="CH12" s="229">
        <v>0.22670000000000001</v>
      </c>
      <c r="CI12" s="230">
        <v>2625</v>
      </c>
      <c r="CJ12" s="230">
        <v>2250</v>
      </c>
      <c r="CK12" s="228">
        <v>375</v>
      </c>
      <c r="CL12" s="229">
        <v>0.16669999999999999</v>
      </c>
      <c r="CM12" s="230">
        <v>2680125</v>
      </c>
      <c r="CN12" s="230">
        <v>2125125</v>
      </c>
      <c r="CO12" s="230">
        <v>555000</v>
      </c>
      <c r="CP12" s="229">
        <v>0.26119999999999999</v>
      </c>
      <c r="CQ12" s="230">
        <v>1998000</v>
      </c>
      <c r="CR12" s="230">
        <v>1928250</v>
      </c>
      <c r="CS12" s="230">
        <v>69750</v>
      </c>
      <c r="CT12" s="229">
        <v>3.6200000000000003E-2</v>
      </c>
      <c r="CU12" s="230">
        <v>15394875</v>
      </c>
      <c r="CV12" s="230">
        <v>14830500</v>
      </c>
      <c r="CW12" s="230">
        <v>564375</v>
      </c>
      <c r="CX12" s="229">
        <v>3.8100000000000002E-2</v>
      </c>
      <c r="CY12" s="228">
        <v>18.420000000000002</v>
      </c>
      <c r="CZ12" s="228">
        <v>18.510000000000002</v>
      </c>
      <c r="DA12" s="228">
        <v>-0.09</v>
      </c>
      <c r="DB12" s="228">
        <v>-0.09</v>
      </c>
      <c r="DC12" s="228">
        <v>26.3</v>
      </c>
      <c r="DD12" s="228">
        <v>26.36</v>
      </c>
      <c r="DE12" s="228">
        <v>-7.88</v>
      </c>
      <c r="DF12" s="228">
        <v>-0.06</v>
      </c>
      <c r="DG12" s="228">
        <v>18.010000000000002</v>
      </c>
      <c r="DH12" s="228">
        <v>17.78</v>
      </c>
      <c r="DI12" s="228">
        <v>0.23</v>
      </c>
      <c r="DJ12" s="228">
        <v>0.23</v>
      </c>
      <c r="DK12" s="228">
        <v>19.09</v>
      </c>
      <c r="DL12" s="228">
        <v>19.71</v>
      </c>
      <c r="DM12" s="228">
        <v>-0.62</v>
      </c>
      <c r="DN12" s="228">
        <v>-0.62</v>
      </c>
      <c r="DO12" s="228">
        <v>0.75</v>
      </c>
      <c r="DP12" s="228">
        <v>0.91</v>
      </c>
      <c r="DQ12" s="228">
        <v>-0.16</v>
      </c>
      <c r="DR12" s="229">
        <v>-0.17580000000000001</v>
      </c>
      <c r="DS12" s="231">
        <v>1600</v>
      </c>
      <c r="DT12" s="231">
        <v>1500</v>
      </c>
      <c r="DU12" s="228">
        <v>0.61</v>
      </c>
      <c r="DV12" s="228">
        <v>0.6</v>
      </c>
      <c r="DW12" s="228">
        <v>0.01</v>
      </c>
      <c r="DX12" s="229">
        <v>1.67E-2</v>
      </c>
      <c r="DY12" s="229">
        <v>7.6E-3</v>
      </c>
      <c r="DZ12" s="230">
        <v>66750</v>
      </c>
      <c r="EA12" s="229">
        <v>5.4000000000000003E-3</v>
      </c>
      <c r="EB12" s="229">
        <v>7.6E-3</v>
      </c>
      <c r="EC12" s="228">
        <v>9.0399999999999991</v>
      </c>
      <c r="ED12" s="229">
        <v>6.0000000000000001E-3</v>
      </c>
      <c r="EE12" s="230">
        <v>456639</v>
      </c>
      <c r="EF12" s="230">
        <v>823545</v>
      </c>
      <c r="EG12" s="229">
        <v>-0.44550000000000001</v>
      </c>
      <c r="EH12" s="229">
        <v>0.58169999999999999</v>
      </c>
      <c r="EI12" s="231">
        <v>40143.69</v>
      </c>
      <c r="EJ12" s="231">
        <v>23373.32</v>
      </c>
      <c r="EK12" s="231">
        <v>12797.97</v>
      </c>
      <c r="EL12" s="231">
        <v>8467</v>
      </c>
      <c r="EM12" s="231">
        <v>76314.98</v>
      </c>
      <c r="EN12" s="231">
        <v>70552.12</v>
      </c>
      <c r="EO12" s="231">
        <v>5762.86</v>
      </c>
      <c r="EP12" s="229">
        <v>8.1699999999999995E-2</v>
      </c>
      <c r="EQ12" s="231">
        <v>42898</v>
      </c>
      <c r="ER12" s="231">
        <v>28986</v>
      </c>
      <c r="ES12" s="231">
        <v>163126</v>
      </c>
      <c r="ET12" s="231">
        <v>57073940</v>
      </c>
      <c r="EU12" s="231">
        <v>235010</v>
      </c>
      <c r="EV12" s="231">
        <v>226167</v>
      </c>
      <c r="EW12" s="231">
        <v>8843</v>
      </c>
      <c r="EX12" s="229">
        <v>3.9100000000000003E-2</v>
      </c>
      <c r="EY12" s="229">
        <v>0.2697</v>
      </c>
    </row>
    <row r="13" spans="1:155" ht="17.25" thickBot="1" x14ac:dyDescent="0.3">
      <c r="A13" s="226">
        <v>45936</v>
      </c>
      <c r="B13" s="227" t="s">
        <v>227</v>
      </c>
      <c r="C13" s="227" t="s">
        <v>200</v>
      </c>
      <c r="D13" s="228">
        <v>384.2</v>
      </c>
      <c r="E13" s="228">
        <v>384.9</v>
      </c>
      <c r="F13" s="228">
        <v>-0.7</v>
      </c>
      <c r="G13" s="229">
        <v>-1.8E-3</v>
      </c>
      <c r="H13" s="228">
        <v>381.9</v>
      </c>
      <c r="I13" s="228">
        <v>383.35</v>
      </c>
      <c r="J13" s="228">
        <v>-1.45</v>
      </c>
      <c r="K13" s="229">
        <v>-3.8E-3</v>
      </c>
      <c r="L13" s="228">
        <v>384.2</v>
      </c>
      <c r="M13" s="228">
        <v>384.9</v>
      </c>
      <c r="N13" s="228">
        <v>-0.7</v>
      </c>
      <c r="O13" s="229">
        <v>-1.8E-3</v>
      </c>
      <c r="P13" s="228">
        <v>385.05</v>
      </c>
      <c r="Q13" s="228">
        <v>385.6</v>
      </c>
      <c r="R13" s="228">
        <v>-0.55000000000000004</v>
      </c>
      <c r="S13" s="229">
        <v>-1.4E-3</v>
      </c>
      <c r="T13" s="228">
        <v>387.3</v>
      </c>
      <c r="U13" s="228">
        <v>388.05</v>
      </c>
      <c r="V13" s="228">
        <v>-0.75</v>
      </c>
      <c r="W13" s="229">
        <v>-1.9E-3</v>
      </c>
      <c r="X13" s="228">
        <v>2.2999999999999998</v>
      </c>
      <c r="Y13" s="228">
        <v>1.55</v>
      </c>
      <c r="Z13" s="228">
        <v>0.75</v>
      </c>
      <c r="AA13" s="229">
        <v>6.0000000000000001E-3</v>
      </c>
      <c r="AB13" s="228">
        <v>2.2999999999999998</v>
      </c>
      <c r="AC13" s="228">
        <v>1.55</v>
      </c>
      <c r="AD13" s="228">
        <v>0.75</v>
      </c>
      <c r="AE13" s="229">
        <v>6.0000000000000001E-3</v>
      </c>
      <c r="AF13" s="228">
        <v>3.15</v>
      </c>
      <c r="AG13" s="228">
        <v>2.25</v>
      </c>
      <c r="AH13" s="228">
        <v>0.9</v>
      </c>
      <c r="AI13" s="229">
        <v>8.2000000000000007E-3</v>
      </c>
      <c r="AJ13" s="228">
        <v>5.4</v>
      </c>
      <c r="AK13" s="228">
        <v>4.7</v>
      </c>
      <c r="AL13" s="228">
        <v>0.7</v>
      </c>
      <c r="AM13" s="229">
        <v>1.41E-2</v>
      </c>
      <c r="AN13" s="228">
        <v>383.49</v>
      </c>
      <c r="AO13" s="228">
        <v>383.97</v>
      </c>
      <c r="AP13" s="228">
        <v>0</v>
      </c>
      <c r="AQ13" s="230">
        <v>5601</v>
      </c>
      <c r="AR13" s="230">
        <v>7278</v>
      </c>
      <c r="AS13" s="230">
        <v>-1677</v>
      </c>
      <c r="AT13" s="229">
        <v>-0.23039999999999999</v>
      </c>
      <c r="AU13" s="230">
        <v>5184</v>
      </c>
      <c r="AV13" s="230">
        <v>6471</v>
      </c>
      <c r="AW13" s="230">
        <v>-1287</v>
      </c>
      <c r="AX13" s="229">
        <v>-0.19889999999999999</v>
      </c>
      <c r="AY13" s="228">
        <v>330</v>
      </c>
      <c r="AZ13" s="228">
        <v>680</v>
      </c>
      <c r="BA13" s="228">
        <v>-350</v>
      </c>
      <c r="BB13" s="229">
        <v>-0.51470000000000005</v>
      </c>
      <c r="BC13" s="228">
        <v>87</v>
      </c>
      <c r="BD13" s="228">
        <v>127</v>
      </c>
      <c r="BE13" s="228">
        <v>-40</v>
      </c>
      <c r="BF13" s="229">
        <v>-0.315</v>
      </c>
      <c r="BG13" s="230">
        <v>14508</v>
      </c>
      <c r="BH13" s="230">
        <v>25396</v>
      </c>
      <c r="BI13" s="230">
        <v>-10888</v>
      </c>
      <c r="BJ13" s="229">
        <v>-0.42870000000000003</v>
      </c>
      <c r="BK13" s="230">
        <v>5579</v>
      </c>
      <c r="BL13" s="230">
        <v>12297</v>
      </c>
      <c r="BM13" s="230">
        <v>-6718</v>
      </c>
      <c r="BN13" s="229">
        <v>-0.54630000000000001</v>
      </c>
      <c r="BO13" s="230">
        <v>25688</v>
      </c>
      <c r="BP13" s="230">
        <v>44971</v>
      </c>
      <c r="BQ13" s="230">
        <v>-19283</v>
      </c>
      <c r="BR13" s="229">
        <v>-0.42880000000000001</v>
      </c>
      <c r="BS13" s="230">
        <v>7587742</v>
      </c>
      <c r="BT13" s="230">
        <v>7918273</v>
      </c>
      <c r="BU13" s="230">
        <v>-330531</v>
      </c>
      <c r="BV13" s="229">
        <v>-4.1700000000000001E-2</v>
      </c>
      <c r="BW13" s="230">
        <v>70488900</v>
      </c>
      <c r="BX13" s="230">
        <v>69857100</v>
      </c>
      <c r="BY13" s="230">
        <v>631800</v>
      </c>
      <c r="BZ13" s="229">
        <v>8.9999999999999993E-3</v>
      </c>
      <c r="CA13" s="230">
        <v>68724450</v>
      </c>
      <c r="CB13" s="230">
        <v>68299200</v>
      </c>
      <c r="CC13" s="230">
        <v>425250</v>
      </c>
      <c r="CD13" s="229">
        <v>6.1999999999999998E-3</v>
      </c>
      <c r="CE13" s="230">
        <v>1590300</v>
      </c>
      <c r="CF13" s="230">
        <v>1444500</v>
      </c>
      <c r="CG13" s="230">
        <v>145800</v>
      </c>
      <c r="CH13" s="229">
        <v>0.1009</v>
      </c>
      <c r="CI13" s="230">
        <v>174150</v>
      </c>
      <c r="CJ13" s="230">
        <v>113400</v>
      </c>
      <c r="CK13" s="230">
        <v>60750</v>
      </c>
      <c r="CL13" s="229">
        <v>0.53569999999999995</v>
      </c>
      <c r="CM13" s="230">
        <v>24421500</v>
      </c>
      <c r="CN13" s="230">
        <v>21363750</v>
      </c>
      <c r="CO13" s="230">
        <v>3057750</v>
      </c>
      <c r="CP13" s="229">
        <v>0.1431</v>
      </c>
      <c r="CQ13" s="230">
        <v>17517600</v>
      </c>
      <c r="CR13" s="230">
        <v>16575300</v>
      </c>
      <c r="CS13" s="230">
        <v>942300</v>
      </c>
      <c r="CT13" s="229">
        <v>5.6800000000000003E-2</v>
      </c>
      <c r="CU13" s="230">
        <v>112428000</v>
      </c>
      <c r="CV13" s="230">
        <v>107796150</v>
      </c>
      <c r="CW13" s="230">
        <v>4631850</v>
      </c>
      <c r="CX13" s="229">
        <v>4.2999999999999997E-2</v>
      </c>
      <c r="CY13" s="228">
        <v>18.04</v>
      </c>
      <c r="CZ13" s="228">
        <v>17.48</v>
      </c>
      <c r="DA13" s="228">
        <v>0.56000000000000005</v>
      </c>
      <c r="DB13" s="228">
        <v>0.56000000000000005</v>
      </c>
      <c r="DC13" s="228">
        <v>29.25</v>
      </c>
      <c r="DD13" s="228">
        <v>29.33</v>
      </c>
      <c r="DE13" s="228">
        <v>-11.21</v>
      </c>
      <c r="DF13" s="228">
        <v>-0.08</v>
      </c>
      <c r="DG13" s="228">
        <v>18.25</v>
      </c>
      <c r="DH13" s="228">
        <v>17.72</v>
      </c>
      <c r="DI13" s="228">
        <v>0.53</v>
      </c>
      <c r="DJ13" s="228">
        <v>0.53</v>
      </c>
      <c r="DK13" s="228">
        <v>17.489999999999998</v>
      </c>
      <c r="DL13" s="228">
        <v>16.989999999999998</v>
      </c>
      <c r="DM13" s="228">
        <v>0.5</v>
      </c>
      <c r="DN13" s="228">
        <v>0.5</v>
      </c>
      <c r="DO13" s="228">
        <v>0.72</v>
      </c>
      <c r="DP13" s="228">
        <v>0.78</v>
      </c>
      <c r="DQ13" s="228">
        <v>-0.06</v>
      </c>
      <c r="DR13" s="229">
        <v>-7.6899999999999996E-2</v>
      </c>
      <c r="DS13" s="228">
        <v>400</v>
      </c>
      <c r="DT13" s="228">
        <v>450</v>
      </c>
      <c r="DU13" s="228">
        <v>0.38</v>
      </c>
      <c r="DV13" s="228">
        <v>0.48</v>
      </c>
      <c r="DW13" s="228">
        <v>-0.1</v>
      </c>
      <c r="DX13" s="229">
        <v>-0.20830000000000001</v>
      </c>
      <c r="DY13" s="229">
        <v>2.5000000000000001E-2</v>
      </c>
      <c r="DZ13" s="230">
        <v>1557900</v>
      </c>
      <c r="EA13" s="229">
        <v>2.2000000000000001E-3</v>
      </c>
      <c r="EB13" s="229">
        <v>2.5000000000000001E-2</v>
      </c>
      <c r="EC13" s="228">
        <v>0.48</v>
      </c>
      <c r="ED13" s="229">
        <v>1.2999999999999999E-3</v>
      </c>
      <c r="EE13" s="230">
        <v>5021462</v>
      </c>
      <c r="EF13" s="230">
        <v>4406639</v>
      </c>
      <c r="EG13" s="229">
        <v>0.13950000000000001</v>
      </c>
      <c r="EH13" s="229">
        <v>0.66180000000000005</v>
      </c>
      <c r="EI13" s="231">
        <v>78192.160000000003</v>
      </c>
      <c r="EJ13" s="231">
        <v>28910.53</v>
      </c>
      <c r="EK13" s="231">
        <v>29002.21</v>
      </c>
      <c r="EL13" s="231">
        <v>14214</v>
      </c>
      <c r="EM13" s="231">
        <v>136104.9</v>
      </c>
      <c r="EN13" s="231">
        <v>239069.39</v>
      </c>
      <c r="EO13" s="231">
        <v>-102964.49</v>
      </c>
      <c r="EP13" s="229">
        <v>-0.43070000000000003</v>
      </c>
      <c r="EQ13" s="231">
        <v>98545</v>
      </c>
      <c r="ER13" s="231">
        <v>68753</v>
      </c>
      <c r="ES13" s="231">
        <v>270837</v>
      </c>
      <c r="ET13" s="231">
        <v>227199238</v>
      </c>
      <c r="EU13" s="231">
        <v>438136</v>
      </c>
      <c r="EV13" s="231">
        <v>420508</v>
      </c>
      <c r="EW13" s="231">
        <v>17628</v>
      </c>
      <c r="EX13" s="229">
        <v>4.19E-2</v>
      </c>
      <c r="EY13" s="229">
        <v>0.49480000000000002</v>
      </c>
    </row>
    <row r="14" spans="1:155" ht="17.25" thickBot="1" x14ac:dyDescent="0.3">
      <c r="A14" s="226">
        <v>45936</v>
      </c>
      <c r="B14" s="227" t="s">
        <v>170</v>
      </c>
      <c r="C14" s="227" t="s">
        <v>208</v>
      </c>
      <c r="D14" s="231">
        <v>1255</v>
      </c>
      <c r="E14" s="231">
        <v>1254.7</v>
      </c>
      <c r="F14" s="228">
        <v>0.3</v>
      </c>
      <c r="G14" s="229">
        <v>2.0000000000000001E-4</v>
      </c>
      <c r="H14" s="231">
        <v>1248.5999999999999</v>
      </c>
      <c r="I14" s="231">
        <v>1248.0999999999999</v>
      </c>
      <c r="J14" s="228">
        <v>0.5</v>
      </c>
      <c r="K14" s="229">
        <v>4.0000000000000002E-4</v>
      </c>
      <c r="L14" s="231">
        <v>1255</v>
      </c>
      <c r="M14" s="231">
        <v>1254.7</v>
      </c>
      <c r="N14" s="228">
        <v>0.3</v>
      </c>
      <c r="O14" s="229">
        <v>2.0000000000000001E-4</v>
      </c>
      <c r="P14" s="231">
        <v>1257.5</v>
      </c>
      <c r="Q14" s="231">
        <v>1253.8</v>
      </c>
      <c r="R14" s="228">
        <v>3.7</v>
      </c>
      <c r="S14" s="229">
        <v>3.0000000000000001E-3</v>
      </c>
      <c r="T14" s="231">
        <v>1254.4000000000001</v>
      </c>
      <c r="U14" s="231">
        <v>1255</v>
      </c>
      <c r="V14" s="228">
        <v>-0.6</v>
      </c>
      <c r="W14" s="229">
        <v>-5.0000000000000001E-4</v>
      </c>
      <c r="X14" s="228">
        <v>6.4</v>
      </c>
      <c r="Y14" s="228">
        <v>6.6</v>
      </c>
      <c r="Z14" s="228">
        <v>-0.2</v>
      </c>
      <c r="AA14" s="229">
        <v>5.1000000000000004E-3</v>
      </c>
      <c r="AB14" s="228">
        <v>6.4</v>
      </c>
      <c r="AC14" s="228">
        <v>6.6</v>
      </c>
      <c r="AD14" s="228">
        <v>-0.2</v>
      </c>
      <c r="AE14" s="229">
        <v>5.1000000000000004E-3</v>
      </c>
      <c r="AF14" s="228">
        <v>8.9</v>
      </c>
      <c r="AG14" s="228">
        <v>5.7</v>
      </c>
      <c r="AH14" s="228">
        <v>3.2</v>
      </c>
      <c r="AI14" s="229">
        <v>7.1000000000000004E-3</v>
      </c>
      <c r="AJ14" s="228">
        <v>5.8</v>
      </c>
      <c r="AK14" s="228">
        <v>6.9</v>
      </c>
      <c r="AL14" s="228">
        <v>-1.1000000000000001</v>
      </c>
      <c r="AM14" s="229">
        <v>4.5999999999999999E-3</v>
      </c>
      <c r="AN14" s="231">
        <v>1248.8900000000001</v>
      </c>
      <c r="AO14" s="231">
        <v>1251.67</v>
      </c>
      <c r="AP14" s="228">
        <v>0</v>
      </c>
      <c r="AQ14" s="230">
        <v>2868</v>
      </c>
      <c r="AR14" s="230">
        <v>3036</v>
      </c>
      <c r="AS14" s="228">
        <v>-168</v>
      </c>
      <c r="AT14" s="229">
        <v>-5.5300000000000002E-2</v>
      </c>
      <c r="AU14" s="230">
        <v>2701</v>
      </c>
      <c r="AV14" s="230">
        <v>2975</v>
      </c>
      <c r="AW14" s="228">
        <v>-274</v>
      </c>
      <c r="AX14" s="229">
        <v>-9.2100000000000001E-2</v>
      </c>
      <c r="AY14" s="228">
        <v>164</v>
      </c>
      <c r="AZ14" s="228">
        <v>57</v>
      </c>
      <c r="BA14" s="228">
        <v>107</v>
      </c>
      <c r="BB14" s="229">
        <v>1.8772</v>
      </c>
      <c r="BC14" s="228">
        <v>3</v>
      </c>
      <c r="BD14" s="228">
        <v>4</v>
      </c>
      <c r="BE14" s="228">
        <v>-1</v>
      </c>
      <c r="BF14" s="229">
        <v>-0.25</v>
      </c>
      <c r="BG14" s="230">
        <v>5470</v>
      </c>
      <c r="BH14" s="230">
        <v>5422</v>
      </c>
      <c r="BI14" s="228">
        <v>48</v>
      </c>
      <c r="BJ14" s="229">
        <v>8.8999999999999999E-3</v>
      </c>
      <c r="BK14" s="230">
        <v>2388</v>
      </c>
      <c r="BL14" s="230">
        <v>2733</v>
      </c>
      <c r="BM14" s="228">
        <v>-345</v>
      </c>
      <c r="BN14" s="229">
        <v>-0.12620000000000001</v>
      </c>
      <c r="BO14" s="230">
        <v>10726</v>
      </c>
      <c r="BP14" s="230">
        <v>11191</v>
      </c>
      <c r="BQ14" s="228">
        <v>-465</v>
      </c>
      <c r="BR14" s="229">
        <v>-4.1599999999999998E-2</v>
      </c>
      <c r="BS14" s="230">
        <v>1930259</v>
      </c>
      <c r="BT14" s="230">
        <v>2893183</v>
      </c>
      <c r="BU14" s="230">
        <v>-962924</v>
      </c>
      <c r="BV14" s="229">
        <v>-0.33279999999999998</v>
      </c>
      <c r="BW14" s="230">
        <v>12178125</v>
      </c>
      <c r="BX14" s="230">
        <v>12068125</v>
      </c>
      <c r="BY14" s="230">
        <v>110000</v>
      </c>
      <c r="BZ14" s="229">
        <v>9.1000000000000004E-3</v>
      </c>
      <c r="CA14" s="230">
        <v>12016875</v>
      </c>
      <c r="CB14" s="230">
        <v>11933125</v>
      </c>
      <c r="CC14" s="230">
        <v>83750</v>
      </c>
      <c r="CD14" s="229">
        <v>7.0000000000000001E-3</v>
      </c>
      <c r="CE14" s="230">
        <v>156250</v>
      </c>
      <c r="CF14" s="230">
        <v>131875</v>
      </c>
      <c r="CG14" s="230">
        <v>24375</v>
      </c>
      <c r="CH14" s="229">
        <v>0.18479999999999999</v>
      </c>
      <c r="CI14" s="230">
        <v>5000</v>
      </c>
      <c r="CJ14" s="230">
        <v>3125</v>
      </c>
      <c r="CK14" s="230">
        <v>1875</v>
      </c>
      <c r="CL14" s="229">
        <v>0.6</v>
      </c>
      <c r="CM14" s="230">
        <v>3910000</v>
      </c>
      <c r="CN14" s="230">
        <v>3184375</v>
      </c>
      <c r="CO14" s="230">
        <v>725625</v>
      </c>
      <c r="CP14" s="229">
        <v>0.22789999999999999</v>
      </c>
      <c r="CQ14" s="230">
        <v>2533125</v>
      </c>
      <c r="CR14" s="230">
        <v>2448125</v>
      </c>
      <c r="CS14" s="230">
        <v>85000</v>
      </c>
      <c r="CT14" s="229">
        <v>3.4700000000000002E-2</v>
      </c>
      <c r="CU14" s="230">
        <v>18621250</v>
      </c>
      <c r="CV14" s="230">
        <v>17700625</v>
      </c>
      <c r="CW14" s="230">
        <v>920625</v>
      </c>
      <c r="CX14" s="229">
        <v>5.1999999999999998E-2</v>
      </c>
      <c r="CY14" s="228">
        <v>22.33</v>
      </c>
      <c r="CZ14" s="228">
        <v>23.01</v>
      </c>
      <c r="DA14" s="228">
        <v>-0.68</v>
      </c>
      <c r="DB14" s="228">
        <v>-0.68</v>
      </c>
      <c r="DC14" s="228">
        <v>24.94</v>
      </c>
      <c r="DD14" s="228">
        <v>25</v>
      </c>
      <c r="DE14" s="228">
        <v>-2.61</v>
      </c>
      <c r="DF14" s="228">
        <v>-0.06</v>
      </c>
      <c r="DG14" s="228">
        <v>21.72</v>
      </c>
      <c r="DH14" s="228">
        <v>22.4</v>
      </c>
      <c r="DI14" s="228">
        <v>-0.68</v>
      </c>
      <c r="DJ14" s="228">
        <v>-0.68</v>
      </c>
      <c r="DK14" s="228">
        <v>23.73</v>
      </c>
      <c r="DL14" s="228">
        <v>24.23</v>
      </c>
      <c r="DM14" s="228">
        <v>-0.5</v>
      </c>
      <c r="DN14" s="228">
        <v>-0.5</v>
      </c>
      <c r="DO14" s="228">
        <v>0.65</v>
      </c>
      <c r="DP14" s="228">
        <v>0.77</v>
      </c>
      <c r="DQ14" s="228">
        <v>-0.12</v>
      </c>
      <c r="DR14" s="229">
        <v>-0.15579999999999999</v>
      </c>
      <c r="DS14" s="231">
        <v>1320</v>
      </c>
      <c r="DT14" s="231">
        <v>1200</v>
      </c>
      <c r="DU14" s="228">
        <v>0.44</v>
      </c>
      <c r="DV14" s="228">
        <v>0.5</v>
      </c>
      <c r="DW14" s="228">
        <v>-0.06</v>
      </c>
      <c r="DX14" s="229">
        <v>-0.12</v>
      </c>
      <c r="DY14" s="229">
        <v>1.32E-2</v>
      </c>
      <c r="DZ14" s="230">
        <v>135000</v>
      </c>
      <c r="EA14" s="229">
        <v>2E-3</v>
      </c>
      <c r="EB14" s="229">
        <v>1.32E-2</v>
      </c>
      <c r="EC14" s="228">
        <v>2.78</v>
      </c>
      <c r="ED14" s="229">
        <v>2.2000000000000001E-3</v>
      </c>
      <c r="EE14" s="230">
        <v>1235403</v>
      </c>
      <c r="EF14" s="230">
        <v>1933174</v>
      </c>
      <c r="EG14" s="229">
        <v>-0.3609</v>
      </c>
      <c r="EH14" s="229">
        <v>0.64</v>
      </c>
      <c r="EI14" s="231">
        <v>44606.01</v>
      </c>
      <c r="EJ14" s="231">
        <v>18635.57</v>
      </c>
      <c r="EK14" s="231">
        <v>22389.1</v>
      </c>
      <c r="EL14" s="231">
        <v>9659</v>
      </c>
      <c r="EM14" s="231">
        <v>85630.68</v>
      </c>
      <c r="EN14" s="231">
        <v>89760.3</v>
      </c>
      <c r="EO14" s="231">
        <v>-4129.62</v>
      </c>
      <c r="EP14" s="229">
        <v>-4.5999999999999999E-2</v>
      </c>
      <c r="EQ14" s="231">
        <v>51553</v>
      </c>
      <c r="ER14" s="231">
        <v>30512</v>
      </c>
      <c r="ES14" s="231">
        <v>152839</v>
      </c>
      <c r="ET14" s="231">
        <v>61006521</v>
      </c>
      <c r="EU14" s="231">
        <v>234905</v>
      </c>
      <c r="EV14" s="231">
        <v>223051</v>
      </c>
      <c r="EW14" s="231">
        <v>11854</v>
      </c>
      <c r="EX14" s="229">
        <v>5.3100000000000001E-2</v>
      </c>
      <c r="EY14" s="229">
        <v>0.30520000000000003</v>
      </c>
    </row>
    <row r="15" spans="1:155" ht="17.25" thickBot="1" x14ac:dyDescent="0.3">
      <c r="A15" s="226">
        <v>45936</v>
      </c>
      <c r="B15" s="227" t="s">
        <v>162</v>
      </c>
      <c r="C15" s="227" t="s">
        <v>209</v>
      </c>
      <c r="D15" s="231">
        <v>6919.5</v>
      </c>
      <c r="E15" s="231">
        <v>6965</v>
      </c>
      <c r="F15" s="228">
        <v>-45.5</v>
      </c>
      <c r="G15" s="229">
        <v>-6.4999999999999997E-3</v>
      </c>
      <c r="H15" s="231">
        <v>6880</v>
      </c>
      <c r="I15" s="231">
        <v>6941</v>
      </c>
      <c r="J15" s="228">
        <v>-61</v>
      </c>
      <c r="K15" s="229">
        <v>-8.8000000000000005E-3</v>
      </c>
      <c r="L15" s="231">
        <v>6919.5</v>
      </c>
      <c r="M15" s="231">
        <v>6965</v>
      </c>
      <c r="N15" s="228">
        <v>-45.5</v>
      </c>
      <c r="O15" s="229">
        <v>-6.4999999999999997E-3</v>
      </c>
      <c r="P15" s="231">
        <v>6958.5</v>
      </c>
      <c r="Q15" s="231">
        <v>6997</v>
      </c>
      <c r="R15" s="228">
        <v>-38.5</v>
      </c>
      <c r="S15" s="229">
        <v>-5.4999999999999997E-3</v>
      </c>
      <c r="T15" s="231">
        <v>6983</v>
      </c>
      <c r="U15" s="231">
        <v>7024.5</v>
      </c>
      <c r="V15" s="228">
        <v>-41.5</v>
      </c>
      <c r="W15" s="229">
        <v>-5.8999999999999999E-3</v>
      </c>
      <c r="X15" s="228">
        <v>39.5</v>
      </c>
      <c r="Y15" s="228">
        <v>24</v>
      </c>
      <c r="Z15" s="228">
        <v>15.5</v>
      </c>
      <c r="AA15" s="229">
        <v>5.7000000000000002E-3</v>
      </c>
      <c r="AB15" s="228">
        <v>39.5</v>
      </c>
      <c r="AC15" s="228">
        <v>24</v>
      </c>
      <c r="AD15" s="228">
        <v>15.5</v>
      </c>
      <c r="AE15" s="229">
        <v>5.7000000000000002E-3</v>
      </c>
      <c r="AF15" s="228">
        <v>78.5</v>
      </c>
      <c r="AG15" s="228">
        <v>56</v>
      </c>
      <c r="AH15" s="228">
        <v>22.5</v>
      </c>
      <c r="AI15" s="229">
        <v>1.14E-2</v>
      </c>
      <c r="AJ15" s="228">
        <v>103</v>
      </c>
      <c r="AK15" s="228">
        <v>83.5</v>
      </c>
      <c r="AL15" s="228">
        <v>19.5</v>
      </c>
      <c r="AM15" s="229">
        <v>1.4999999999999999E-2</v>
      </c>
      <c r="AN15" s="231">
        <v>6927.89</v>
      </c>
      <c r="AO15" s="231">
        <v>6960.03</v>
      </c>
      <c r="AP15" s="228">
        <v>0</v>
      </c>
      <c r="AQ15" s="230">
        <v>3147</v>
      </c>
      <c r="AR15" s="230">
        <v>6722</v>
      </c>
      <c r="AS15" s="230">
        <v>-3575</v>
      </c>
      <c r="AT15" s="229">
        <v>-0.53180000000000005</v>
      </c>
      <c r="AU15" s="230">
        <v>2942</v>
      </c>
      <c r="AV15" s="230">
        <v>6476</v>
      </c>
      <c r="AW15" s="230">
        <v>-3534</v>
      </c>
      <c r="AX15" s="229">
        <v>-0.54569999999999996</v>
      </c>
      <c r="AY15" s="228">
        <v>187</v>
      </c>
      <c r="AZ15" s="228">
        <v>208</v>
      </c>
      <c r="BA15" s="228">
        <v>-21</v>
      </c>
      <c r="BB15" s="229">
        <v>-0.10100000000000001</v>
      </c>
      <c r="BC15" s="228">
        <v>18</v>
      </c>
      <c r="BD15" s="228">
        <v>38</v>
      </c>
      <c r="BE15" s="228">
        <v>-20</v>
      </c>
      <c r="BF15" s="229">
        <v>-0.52629999999999999</v>
      </c>
      <c r="BG15" s="230">
        <v>13608</v>
      </c>
      <c r="BH15" s="230">
        <v>26659</v>
      </c>
      <c r="BI15" s="230">
        <v>-13051</v>
      </c>
      <c r="BJ15" s="229">
        <v>-0.48959999999999998</v>
      </c>
      <c r="BK15" s="230">
        <v>5893</v>
      </c>
      <c r="BL15" s="230">
        <v>21452</v>
      </c>
      <c r="BM15" s="230">
        <v>-15559</v>
      </c>
      <c r="BN15" s="229">
        <v>-0.72529999999999994</v>
      </c>
      <c r="BO15" s="230">
        <v>22648</v>
      </c>
      <c r="BP15" s="230">
        <v>54833</v>
      </c>
      <c r="BQ15" s="230">
        <v>-32185</v>
      </c>
      <c r="BR15" s="229">
        <v>-0.58699999999999997</v>
      </c>
      <c r="BS15" s="230">
        <v>226037</v>
      </c>
      <c r="BT15" s="230">
        <v>678051</v>
      </c>
      <c r="BU15" s="230">
        <v>-452014</v>
      </c>
      <c r="BV15" s="229">
        <v>-0.66659999999999997</v>
      </c>
      <c r="BW15" s="230">
        <v>3650325</v>
      </c>
      <c r="BX15" s="230">
        <v>3812025</v>
      </c>
      <c r="BY15" s="230">
        <v>-161700</v>
      </c>
      <c r="BZ15" s="229">
        <v>-4.24E-2</v>
      </c>
      <c r="CA15" s="230">
        <v>3589075</v>
      </c>
      <c r="CB15" s="230">
        <v>3742375</v>
      </c>
      <c r="CC15" s="230">
        <v>-153300</v>
      </c>
      <c r="CD15" s="229">
        <v>-4.1000000000000002E-2</v>
      </c>
      <c r="CE15" s="230">
        <v>54775</v>
      </c>
      <c r="CF15" s="230">
        <v>64575</v>
      </c>
      <c r="CG15" s="230">
        <v>-9800</v>
      </c>
      <c r="CH15" s="229">
        <v>-0.15179999999999999</v>
      </c>
      <c r="CI15" s="230">
        <v>6475</v>
      </c>
      <c r="CJ15" s="230">
        <v>5075</v>
      </c>
      <c r="CK15" s="230">
        <v>1400</v>
      </c>
      <c r="CL15" s="229">
        <v>0.27589999999999998</v>
      </c>
      <c r="CM15" s="230">
        <v>1783250</v>
      </c>
      <c r="CN15" s="230">
        <v>1637300</v>
      </c>
      <c r="CO15" s="230">
        <v>145950</v>
      </c>
      <c r="CP15" s="229">
        <v>8.9099999999999999E-2</v>
      </c>
      <c r="CQ15" s="230">
        <v>1354325</v>
      </c>
      <c r="CR15" s="230">
        <v>1381450</v>
      </c>
      <c r="CS15" s="230">
        <v>-27125</v>
      </c>
      <c r="CT15" s="229">
        <v>-1.9599999999999999E-2</v>
      </c>
      <c r="CU15" s="230">
        <v>6787900</v>
      </c>
      <c r="CV15" s="230">
        <v>6830775</v>
      </c>
      <c r="CW15" s="230">
        <v>-42875</v>
      </c>
      <c r="CX15" s="229">
        <v>-6.3E-3</v>
      </c>
      <c r="CY15" s="228">
        <v>21.41</v>
      </c>
      <c r="CZ15" s="228">
        <v>20.7</v>
      </c>
      <c r="DA15" s="228">
        <v>0.71</v>
      </c>
      <c r="DB15" s="228">
        <v>0.71</v>
      </c>
      <c r="DC15" s="228">
        <v>28.41</v>
      </c>
      <c r="DD15" s="228">
        <v>28.45</v>
      </c>
      <c r="DE15" s="228">
        <v>-7</v>
      </c>
      <c r="DF15" s="228">
        <v>-0.04</v>
      </c>
      <c r="DG15" s="228">
        <v>21.51</v>
      </c>
      <c r="DH15" s="228">
        <v>20.309999999999999</v>
      </c>
      <c r="DI15" s="228">
        <v>1.2</v>
      </c>
      <c r="DJ15" s="228">
        <v>1.2</v>
      </c>
      <c r="DK15" s="228">
        <v>21.19</v>
      </c>
      <c r="DL15" s="228">
        <v>21.18</v>
      </c>
      <c r="DM15" s="228">
        <v>0.01</v>
      </c>
      <c r="DN15" s="228">
        <v>0.01</v>
      </c>
      <c r="DO15" s="228">
        <v>0.76</v>
      </c>
      <c r="DP15" s="228">
        <v>0.84</v>
      </c>
      <c r="DQ15" s="228">
        <v>-0.08</v>
      </c>
      <c r="DR15" s="229">
        <v>-9.5200000000000007E-2</v>
      </c>
      <c r="DS15" s="231">
        <v>7000</v>
      </c>
      <c r="DT15" s="231">
        <v>6200</v>
      </c>
      <c r="DU15" s="228">
        <v>0.43</v>
      </c>
      <c r="DV15" s="228">
        <v>0.8</v>
      </c>
      <c r="DW15" s="228">
        <v>-0.37</v>
      </c>
      <c r="DX15" s="229">
        <v>-0.46250000000000002</v>
      </c>
      <c r="DY15" s="229">
        <v>1.6799999999999999E-2</v>
      </c>
      <c r="DZ15" s="230">
        <v>69650</v>
      </c>
      <c r="EA15" s="229">
        <v>5.5999999999999999E-3</v>
      </c>
      <c r="EB15" s="229">
        <v>1.6799999999999999E-2</v>
      </c>
      <c r="EC15" s="228">
        <v>32.14</v>
      </c>
      <c r="ED15" s="229">
        <v>4.5999999999999999E-3</v>
      </c>
      <c r="EE15" s="230">
        <v>110744</v>
      </c>
      <c r="EF15" s="230">
        <v>309907</v>
      </c>
      <c r="EG15" s="229">
        <v>-0.64270000000000005</v>
      </c>
      <c r="EH15" s="229">
        <v>0.4899</v>
      </c>
      <c r="EI15" s="231">
        <v>173846.52</v>
      </c>
      <c r="EJ15" s="231">
        <v>70554.2</v>
      </c>
      <c r="EK15" s="231">
        <v>38165.96</v>
      </c>
      <c r="EL15" s="231">
        <v>9433</v>
      </c>
      <c r="EM15" s="231">
        <v>282566.68</v>
      </c>
      <c r="EN15" s="231">
        <v>676779.98</v>
      </c>
      <c r="EO15" s="231">
        <v>-394213.3</v>
      </c>
      <c r="EP15" s="229">
        <v>-0.58250000000000002</v>
      </c>
      <c r="EQ15" s="231">
        <v>128884</v>
      </c>
      <c r="ER15" s="231">
        <v>89528</v>
      </c>
      <c r="ES15" s="231">
        <v>252610</v>
      </c>
      <c r="ET15" s="231">
        <v>20353850</v>
      </c>
      <c r="EU15" s="231">
        <v>471022</v>
      </c>
      <c r="EV15" s="231">
        <v>475366</v>
      </c>
      <c r="EW15" s="231">
        <v>-4344</v>
      </c>
      <c r="EX15" s="229">
        <v>-9.1000000000000004E-3</v>
      </c>
      <c r="EY15" s="229">
        <v>0.33350000000000002</v>
      </c>
    </row>
    <row r="16" spans="1:155" ht="17.25" thickBot="1" x14ac:dyDescent="0.3">
      <c r="A16" s="226">
        <v>45936</v>
      </c>
      <c r="B16" s="227" t="s">
        <v>616</v>
      </c>
      <c r="C16" s="227" t="s">
        <v>669</v>
      </c>
      <c r="D16" s="228">
        <v>337.15</v>
      </c>
      <c r="E16" s="228">
        <v>330.55</v>
      </c>
      <c r="F16" s="228">
        <v>6.6</v>
      </c>
      <c r="G16" s="229">
        <v>0.02</v>
      </c>
      <c r="H16" s="228">
        <v>335.1</v>
      </c>
      <c r="I16" s="228">
        <v>328.45</v>
      </c>
      <c r="J16" s="228">
        <v>6.65</v>
      </c>
      <c r="K16" s="229">
        <v>2.0199999999999999E-2</v>
      </c>
      <c r="L16" s="228">
        <v>337.15</v>
      </c>
      <c r="M16" s="228">
        <v>330.55</v>
      </c>
      <c r="N16" s="228">
        <v>6.6</v>
      </c>
      <c r="O16" s="229">
        <v>0.02</v>
      </c>
      <c r="P16" s="228">
        <v>338.95</v>
      </c>
      <c r="Q16" s="228">
        <v>332.4</v>
      </c>
      <c r="R16" s="228">
        <v>6.55</v>
      </c>
      <c r="S16" s="229">
        <v>1.9699999999999999E-2</v>
      </c>
      <c r="T16" s="228">
        <v>341.15</v>
      </c>
      <c r="U16" s="228">
        <v>333.95</v>
      </c>
      <c r="V16" s="228">
        <v>7.2</v>
      </c>
      <c r="W16" s="229">
        <v>2.1600000000000001E-2</v>
      </c>
      <c r="X16" s="228">
        <v>2.0499999999999998</v>
      </c>
      <c r="Y16" s="228">
        <v>2.1</v>
      </c>
      <c r="Z16" s="228">
        <v>-0.05</v>
      </c>
      <c r="AA16" s="229">
        <v>6.1000000000000004E-3</v>
      </c>
      <c r="AB16" s="228">
        <v>2.0499999999999998</v>
      </c>
      <c r="AC16" s="228">
        <v>2.1</v>
      </c>
      <c r="AD16" s="228">
        <v>-0.05</v>
      </c>
      <c r="AE16" s="229">
        <v>6.1000000000000004E-3</v>
      </c>
      <c r="AF16" s="228">
        <v>3.85</v>
      </c>
      <c r="AG16" s="228">
        <v>3.95</v>
      </c>
      <c r="AH16" s="228">
        <v>-0.1</v>
      </c>
      <c r="AI16" s="229">
        <v>1.15E-2</v>
      </c>
      <c r="AJ16" s="228">
        <v>6.05</v>
      </c>
      <c r="AK16" s="228">
        <v>5.5</v>
      </c>
      <c r="AL16" s="228">
        <v>0.55000000000000004</v>
      </c>
      <c r="AM16" s="229">
        <v>1.8100000000000002E-2</v>
      </c>
      <c r="AN16" s="228">
        <v>335.3</v>
      </c>
      <c r="AO16" s="228">
        <v>337.47</v>
      </c>
      <c r="AP16" s="228">
        <v>0</v>
      </c>
      <c r="AQ16" s="230">
        <v>9524</v>
      </c>
      <c r="AR16" s="230">
        <v>8370</v>
      </c>
      <c r="AS16" s="230">
        <v>1154</v>
      </c>
      <c r="AT16" s="229">
        <v>0.13789999999999999</v>
      </c>
      <c r="AU16" s="230">
        <v>9002</v>
      </c>
      <c r="AV16" s="230">
        <v>7867</v>
      </c>
      <c r="AW16" s="230">
        <v>1135</v>
      </c>
      <c r="AX16" s="229">
        <v>0.14430000000000001</v>
      </c>
      <c r="AY16" s="228">
        <v>464</v>
      </c>
      <c r="AZ16" s="228">
        <v>430</v>
      </c>
      <c r="BA16" s="228">
        <v>34</v>
      </c>
      <c r="BB16" s="229">
        <v>7.9100000000000004E-2</v>
      </c>
      <c r="BC16" s="228">
        <v>58</v>
      </c>
      <c r="BD16" s="228">
        <v>73</v>
      </c>
      <c r="BE16" s="228">
        <v>-15</v>
      </c>
      <c r="BF16" s="229">
        <v>-0.20549999999999999</v>
      </c>
      <c r="BG16" s="230">
        <v>24461</v>
      </c>
      <c r="BH16" s="230">
        <v>19528</v>
      </c>
      <c r="BI16" s="230">
        <v>4933</v>
      </c>
      <c r="BJ16" s="229">
        <v>0.25259999999999999</v>
      </c>
      <c r="BK16" s="230">
        <v>12708</v>
      </c>
      <c r="BL16" s="230">
        <v>10398</v>
      </c>
      <c r="BM16" s="230">
        <v>2310</v>
      </c>
      <c r="BN16" s="229">
        <v>0.22220000000000001</v>
      </c>
      <c r="BO16" s="230">
        <v>46693</v>
      </c>
      <c r="BP16" s="230">
        <v>38296</v>
      </c>
      <c r="BQ16" s="230">
        <v>8397</v>
      </c>
      <c r="BR16" s="229">
        <v>0.21929999999999999</v>
      </c>
      <c r="BS16" s="230">
        <v>14090689</v>
      </c>
      <c r="BT16" s="230">
        <v>26163539</v>
      </c>
      <c r="BU16" s="230">
        <v>-12072850</v>
      </c>
      <c r="BV16" s="229">
        <v>-0.46139999999999998</v>
      </c>
      <c r="BW16" s="230">
        <v>253186975</v>
      </c>
      <c r="BX16" s="230">
        <v>252769875</v>
      </c>
      <c r="BY16" s="230">
        <v>417100</v>
      </c>
      <c r="BZ16" s="229">
        <v>1.6999999999999999E-3</v>
      </c>
      <c r="CA16" s="230">
        <v>250638300</v>
      </c>
      <c r="CB16" s="230">
        <v>250478250</v>
      </c>
      <c r="CC16" s="230">
        <v>160050</v>
      </c>
      <c r="CD16" s="229">
        <v>5.9999999999999995E-4</v>
      </c>
      <c r="CE16" s="230">
        <v>2308600</v>
      </c>
      <c r="CF16" s="230">
        <v>2119450</v>
      </c>
      <c r="CG16" s="230">
        <v>189150</v>
      </c>
      <c r="CH16" s="229">
        <v>8.9200000000000002E-2</v>
      </c>
      <c r="CI16" s="230">
        <v>240075</v>
      </c>
      <c r="CJ16" s="230">
        <v>172175</v>
      </c>
      <c r="CK16" s="230">
        <v>67900</v>
      </c>
      <c r="CL16" s="229">
        <v>0.39439999999999997</v>
      </c>
      <c r="CM16" s="230">
        <v>48892850</v>
      </c>
      <c r="CN16" s="230">
        <v>48866175</v>
      </c>
      <c r="CO16" s="230">
        <v>26675</v>
      </c>
      <c r="CP16" s="229">
        <v>5.0000000000000001E-4</v>
      </c>
      <c r="CQ16" s="230">
        <v>35679025</v>
      </c>
      <c r="CR16" s="230">
        <v>33891800</v>
      </c>
      <c r="CS16" s="230">
        <v>1787225</v>
      </c>
      <c r="CT16" s="229">
        <v>5.2699999999999997E-2</v>
      </c>
      <c r="CU16" s="230">
        <v>337758850</v>
      </c>
      <c r="CV16" s="230">
        <v>335527850</v>
      </c>
      <c r="CW16" s="230">
        <v>2231000</v>
      </c>
      <c r="CX16" s="229">
        <v>6.6E-3</v>
      </c>
      <c r="CY16" s="228">
        <v>32.130000000000003</v>
      </c>
      <c r="CZ16" s="228">
        <v>33.1</v>
      </c>
      <c r="DA16" s="228">
        <v>-0.97</v>
      </c>
      <c r="DB16" s="228">
        <v>-0.97</v>
      </c>
      <c r="DC16" s="228">
        <v>46.41</v>
      </c>
      <c r="DD16" s="228">
        <v>46.45</v>
      </c>
      <c r="DE16" s="228">
        <v>-14.28</v>
      </c>
      <c r="DF16" s="228">
        <v>-0.04</v>
      </c>
      <c r="DG16" s="228">
        <v>31.13</v>
      </c>
      <c r="DH16" s="228">
        <v>32.450000000000003</v>
      </c>
      <c r="DI16" s="228">
        <v>-1.32</v>
      </c>
      <c r="DJ16" s="228">
        <v>-1.32</v>
      </c>
      <c r="DK16" s="228">
        <v>34.06</v>
      </c>
      <c r="DL16" s="228">
        <v>34.31</v>
      </c>
      <c r="DM16" s="228">
        <v>-0.25</v>
      </c>
      <c r="DN16" s="228">
        <v>-0.25</v>
      </c>
      <c r="DO16" s="228">
        <v>0.73</v>
      </c>
      <c r="DP16" s="228">
        <v>0.69</v>
      </c>
      <c r="DQ16" s="228">
        <v>0.04</v>
      </c>
      <c r="DR16" s="229">
        <v>5.8000000000000003E-2</v>
      </c>
      <c r="DS16" s="228">
        <v>320</v>
      </c>
      <c r="DT16" s="228">
        <v>320</v>
      </c>
      <c r="DU16" s="228">
        <v>0.52</v>
      </c>
      <c r="DV16" s="228">
        <v>0.53</v>
      </c>
      <c r="DW16" s="228">
        <v>-0.01</v>
      </c>
      <c r="DX16" s="229">
        <v>-1.89E-2</v>
      </c>
      <c r="DY16" s="229">
        <v>1.01E-2</v>
      </c>
      <c r="DZ16" s="230">
        <v>2291625</v>
      </c>
      <c r="EA16" s="229">
        <v>5.3E-3</v>
      </c>
      <c r="EB16" s="229">
        <v>1.01E-2</v>
      </c>
      <c r="EC16" s="228">
        <v>2.17</v>
      </c>
      <c r="ED16" s="229">
        <v>6.4999999999999997E-3</v>
      </c>
      <c r="EE16" s="230">
        <v>6036796</v>
      </c>
      <c r="EF16" s="230">
        <v>15777295</v>
      </c>
      <c r="EG16" s="229">
        <v>-0.61739999999999995</v>
      </c>
      <c r="EH16" s="229">
        <v>0.4284</v>
      </c>
      <c r="EI16" s="231">
        <v>209365.47</v>
      </c>
      <c r="EJ16" s="231">
        <v>100403.2</v>
      </c>
      <c r="EK16" s="231">
        <v>77469.81</v>
      </c>
      <c r="EL16" s="231">
        <v>20006</v>
      </c>
      <c r="EM16" s="231">
        <v>387238.48</v>
      </c>
      <c r="EN16" s="231">
        <v>315263.35999999999</v>
      </c>
      <c r="EO16" s="231">
        <v>71975.12</v>
      </c>
      <c r="EP16" s="229">
        <v>0.2283</v>
      </c>
      <c r="EQ16" s="231">
        <v>165009</v>
      </c>
      <c r="ER16" s="231">
        <v>112208</v>
      </c>
      <c r="ES16" s="231">
        <v>853671</v>
      </c>
      <c r="ET16" s="231">
        <v>1361988292</v>
      </c>
      <c r="EU16" s="231">
        <v>1130888</v>
      </c>
      <c r="EV16" s="231">
        <v>1106044</v>
      </c>
      <c r="EW16" s="231">
        <v>24844</v>
      </c>
      <c r="EX16" s="229">
        <v>2.2499999999999999E-2</v>
      </c>
      <c r="EY16" s="229">
        <v>0.248</v>
      </c>
    </row>
    <row r="17" spans="1:155" ht="17.25" thickBot="1" x14ac:dyDescent="0.3">
      <c r="A17" s="226">
        <v>45936</v>
      </c>
      <c r="B17" s="227" t="s">
        <v>157</v>
      </c>
      <c r="C17" s="227" t="s">
        <v>219</v>
      </c>
      <c r="D17" s="231">
        <v>2823.6</v>
      </c>
      <c r="E17" s="231">
        <v>2810.5</v>
      </c>
      <c r="F17" s="228">
        <v>13.1</v>
      </c>
      <c r="G17" s="229">
        <v>4.7000000000000002E-3</v>
      </c>
      <c r="H17" s="231">
        <v>2807.4</v>
      </c>
      <c r="I17" s="231">
        <v>2791.4</v>
      </c>
      <c r="J17" s="228">
        <v>16</v>
      </c>
      <c r="K17" s="229">
        <v>5.7000000000000002E-3</v>
      </c>
      <c r="L17" s="231">
        <v>2823.6</v>
      </c>
      <c r="M17" s="231">
        <v>2810.5</v>
      </c>
      <c r="N17" s="228">
        <v>13.1</v>
      </c>
      <c r="O17" s="229">
        <v>4.7000000000000002E-3</v>
      </c>
      <c r="P17" s="231">
        <v>2839.3</v>
      </c>
      <c r="Q17" s="231">
        <v>2824</v>
      </c>
      <c r="R17" s="228">
        <v>15.3</v>
      </c>
      <c r="S17" s="229">
        <v>5.4000000000000003E-3</v>
      </c>
      <c r="T17" s="231">
        <v>2845</v>
      </c>
      <c r="U17" s="231">
        <v>2840</v>
      </c>
      <c r="V17" s="228">
        <v>5</v>
      </c>
      <c r="W17" s="229">
        <v>1.8E-3</v>
      </c>
      <c r="X17" s="228">
        <v>16.2</v>
      </c>
      <c r="Y17" s="228">
        <v>19.100000000000001</v>
      </c>
      <c r="Z17" s="228">
        <v>-2.9</v>
      </c>
      <c r="AA17" s="229">
        <v>5.7999999999999996E-3</v>
      </c>
      <c r="AB17" s="228">
        <v>16.2</v>
      </c>
      <c r="AC17" s="228">
        <v>19.100000000000001</v>
      </c>
      <c r="AD17" s="228">
        <v>-2.9</v>
      </c>
      <c r="AE17" s="229">
        <v>5.7999999999999996E-3</v>
      </c>
      <c r="AF17" s="228">
        <v>31.9</v>
      </c>
      <c r="AG17" s="228">
        <v>32.6</v>
      </c>
      <c r="AH17" s="228">
        <v>-0.7</v>
      </c>
      <c r="AI17" s="229">
        <v>1.14E-2</v>
      </c>
      <c r="AJ17" s="228">
        <v>37.6</v>
      </c>
      <c r="AK17" s="228">
        <v>48.6</v>
      </c>
      <c r="AL17" s="228">
        <v>-11</v>
      </c>
      <c r="AM17" s="229">
        <v>1.34E-2</v>
      </c>
      <c r="AN17" s="231">
        <v>2818.36</v>
      </c>
      <c r="AO17" s="231">
        <v>2830.45</v>
      </c>
      <c r="AP17" s="228">
        <v>0</v>
      </c>
      <c r="AQ17" s="230">
        <v>3378</v>
      </c>
      <c r="AR17" s="230">
        <v>4910</v>
      </c>
      <c r="AS17" s="230">
        <v>-1532</v>
      </c>
      <c r="AT17" s="229">
        <v>-0.312</v>
      </c>
      <c r="AU17" s="230">
        <v>3315</v>
      </c>
      <c r="AV17" s="230">
        <v>4781</v>
      </c>
      <c r="AW17" s="230">
        <v>-1466</v>
      </c>
      <c r="AX17" s="229">
        <v>-0.30659999999999998</v>
      </c>
      <c r="AY17" s="228">
        <v>62</v>
      </c>
      <c r="AZ17" s="228">
        <v>127</v>
      </c>
      <c r="BA17" s="228">
        <v>-65</v>
      </c>
      <c r="BB17" s="229">
        <v>-0.51180000000000003</v>
      </c>
      <c r="BC17" s="228">
        <v>1</v>
      </c>
      <c r="BD17" s="228">
        <v>2</v>
      </c>
      <c r="BE17" s="228">
        <v>-1</v>
      </c>
      <c r="BF17" s="229">
        <v>-0.5</v>
      </c>
      <c r="BG17" s="230">
        <v>7046</v>
      </c>
      <c r="BH17" s="230">
        <v>9024</v>
      </c>
      <c r="BI17" s="230">
        <v>-1978</v>
      </c>
      <c r="BJ17" s="229">
        <v>-0.21920000000000001</v>
      </c>
      <c r="BK17" s="230">
        <v>3393</v>
      </c>
      <c r="BL17" s="230">
        <v>4668</v>
      </c>
      <c r="BM17" s="230">
        <v>-1275</v>
      </c>
      <c r="BN17" s="229">
        <v>-0.27310000000000001</v>
      </c>
      <c r="BO17" s="230">
        <v>13817</v>
      </c>
      <c r="BP17" s="230">
        <v>18602</v>
      </c>
      <c r="BQ17" s="230">
        <v>-4785</v>
      </c>
      <c r="BR17" s="229">
        <v>-0.25719999999999998</v>
      </c>
      <c r="BS17" s="230">
        <v>346562</v>
      </c>
      <c r="BT17" s="230">
        <v>722813</v>
      </c>
      <c r="BU17" s="230">
        <v>-376251</v>
      </c>
      <c r="BV17" s="229">
        <v>-0.52049999999999996</v>
      </c>
      <c r="BW17" s="230">
        <v>14153000</v>
      </c>
      <c r="BX17" s="230">
        <v>14177000</v>
      </c>
      <c r="BY17" s="230">
        <v>-24000</v>
      </c>
      <c r="BZ17" s="229">
        <v>-1.6999999999999999E-3</v>
      </c>
      <c r="CA17" s="230">
        <v>14107000</v>
      </c>
      <c r="CB17" s="230">
        <v>14133000</v>
      </c>
      <c r="CC17" s="230">
        <v>-26000</v>
      </c>
      <c r="CD17" s="229">
        <v>-1.8E-3</v>
      </c>
      <c r="CE17" s="230">
        <v>45250</v>
      </c>
      <c r="CF17" s="230">
        <v>43500</v>
      </c>
      <c r="CG17" s="230">
        <v>1750</v>
      </c>
      <c r="CH17" s="229">
        <v>4.02E-2</v>
      </c>
      <c r="CI17" s="228">
        <v>750</v>
      </c>
      <c r="CJ17" s="228">
        <v>500</v>
      </c>
      <c r="CK17" s="228">
        <v>250</v>
      </c>
      <c r="CL17" s="229">
        <v>0.5</v>
      </c>
      <c r="CM17" s="230">
        <v>1422000</v>
      </c>
      <c r="CN17" s="230">
        <v>1275250</v>
      </c>
      <c r="CO17" s="230">
        <v>146750</v>
      </c>
      <c r="CP17" s="229">
        <v>0.11509999999999999</v>
      </c>
      <c r="CQ17" s="230">
        <v>878500</v>
      </c>
      <c r="CR17" s="230">
        <v>798500</v>
      </c>
      <c r="CS17" s="230">
        <v>80000</v>
      </c>
      <c r="CT17" s="229">
        <v>0.1002</v>
      </c>
      <c r="CU17" s="230">
        <v>16453500</v>
      </c>
      <c r="CV17" s="230">
        <v>16250750</v>
      </c>
      <c r="CW17" s="230">
        <v>202750</v>
      </c>
      <c r="CX17" s="229">
        <v>1.2500000000000001E-2</v>
      </c>
      <c r="CY17" s="228">
        <v>19.25</v>
      </c>
      <c r="CZ17" s="228">
        <v>19.02</v>
      </c>
      <c r="DA17" s="228">
        <v>0.23</v>
      </c>
      <c r="DB17" s="228">
        <v>0.23</v>
      </c>
      <c r="DC17" s="228">
        <v>25.78</v>
      </c>
      <c r="DD17" s="228">
        <v>25.83</v>
      </c>
      <c r="DE17" s="228">
        <v>-6.53</v>
      </c>
      <c r="DF17" s="228">
        <v>-0.05</v>
      </c>
      <c r="DG17" s="228">
        <v>19.29</v>
      </c>
      <c r="DH17" s="228">
        <v>19.059999999999999</v>
      </c>
      <c r="DI17" s="228">
        <v>0.23</v>
      </c>
      <c r="DJ17" s="228">
        <v>0.23</v>
      </c>
      <c r="DK17" s="228">
        <v>19.170000000000002</v>
      </c>
      <c r="DL17" s="228">
        <v>18.93</v>
      </c>
      <c r="DM17" s="228">
        <v>0.24</v>
      </c>
      <c r="DN17" s="228">
        <v>0.24</v>
      </c>
      <c r="DO17" s="228">
        <v>0.62</v>
      </c>
      <c r="DP17" s="228">
        <v>0.63</v>
      </c>
      <c r="DQ17" s="228">
        <v>-0.01</v>
      </c>
      <c r="DR17" s="229">
        <v>-1.5900000000000001E-2</v>
      </c>
      <c r="DS17" s="231">
        <v>2900</v>
      </c>
      <c r="DT17" s="231">
        <v>2700</v>
      </c>
      <c r="DU17" s="228">
        <v>0.48</v>
      </c>
      <c r="DV17" s="228">
        <v>0.52</v>
      </c>
      <c r="DW17" s="228">
        <v>-0.04</v>
      </c>
      <c r="DX17" s="229">
        <v>-7.6899999999999996E-2</v>
      </c>
      <c r="DY17" s="229">
        <v>3.3E-3</v>
      </c>
      <c r="DZ17" s="230">
        <v>44000</v>
      </c>
      <c r="EA17" s="229">
        <v>5.5999999999999999E-3</v>
      </c>
      <c r="EB17" s="229">
        <v>3.3E-3</v>
      </c>
      <c r="EC17" s="228">
        <v>12.09</v>
      </c>
      <c r="ED17" s="229">
        <v>4.3E-3</v>
      </c>
      <c r="EE17" s="230">
        <v>205544</v>
      </c>
      <c r="EF17" s="230">
        <v>480214</v>
      </c>
      <c r="EG17" s="229">
        <v>-0.57199999999999995</v>
      </c>
      <c r="EH17" s="229">
        <v>0.59309999999999996</v>
      </c>
      <c r="EI17" s="231">
        <v>51227.3</v>
      </c>
      <c r="EJ17" s="231">
        <v>23663.47</v>
      </c>
      <c r="EK17" s="231">
        <v>23802.99</v>
      </c>
      <c r="EL17" s="231">
        <v>12887</v>
      </c>
      <c r="EM17" s="231">
        <v>98693.759999999995</v>
      </c>
      <c r="EN17" s="231">
        <v>132440.69</v>
      </c>
      <c r="EO17" s="231">
        <v>-33746.93</v>
      </c>
      <c r="EP17" s="229">
        <v>-0.25480000000000003</v>
      </c>
      <c r="EQ17" s="231">
        <v>41718</v>
      </c>
      <c r="ER17" s="231">
        <v>23955</v>
      </c>
      <c r="ES17" s="231">
        <v>399631</v>
      </c>
      <c r="ET17" s="231">
        <v>38514157</v>
      </c>
      <c r="EU17" s="231">
        <v>465304</v>
      </c>
      <c r="EV17" s="231">
        <v>457604</v>
      </c>
      <c r="EW17" s="231">
        <v>7700</v>
      </c>
      <c r="EX17" s="229">
        <v>1.6799999999999999E-2</v>
      </c>
      <c r="EY17" s="229">
        <v>0.42720000000000002</v>
      </c>
    </row>
    <row r="18" spans="1:155" ht="17.25" thickBot="1" x14ac:dyDescent="0.3">
      <c r="A18" s="226">
        <v>45936</v>
      </c>
      <c r="B18" s="227" t="s">
        <v>221</v>
      </c>
      <c r="C18" s="227" t="s">
        <v>222</v>
      </c>
      <c r="D18" s="231">
        <v>1414</v>
      </c>
      <c r="E18" s="231">
        <v>1386.9</v>
      </c>
      <c r="F18" s="228">
        <v>27.1</v>
      </c>
      <c r="G18" s="229">
        <v>1.95E-2</v>
      </c>
      <c r="H18" s="231">
        <v>1417.7</v>
      </c>
      <c r="I18" s="231">
        <v>1393.5</v>
      </c>
      <c r="J18" s="228">
        <v>24.2</v>
      </c>
      <c r="K18" s="229">
        <v>1.7399999999999999E-2</v>
      </c>
      <c r="L18" s="231">
        <v>1414</v>
      </c>
      <c r="M18" s="231">
        <v>1386.9</v>
      </c>
      <c r="N18" s="228">
        <v>27.1</v>
      </c>
      <c r="O18" s="229">
        <v>1.95E-2</v>
      </c>
      <c r="P18" s="231">
        <v>1421.4</v>
      </c>
      <c r="Q18" s="231">
        <v>1394.9</v>
      </c>
      <c r="R18" s="228">
        <v>26.5</v>
      </c>
      <c r="S18" s="229">
        <v>1.9E-2</v>
      </c>
      <c r="T18" s="231">
        <v>1430.1</v>
      </c>
      <c r="U18" s="231">
        <v>1402.7</v>
      </c>
      <c r="V18" s="228">
        <v>27.4</v>
      </c>
      <c r="W18" s="229">
        <v>1.95E-2</v>
      </c>
      <c r="X18" s="228">
        <v>-3.7</v>
      </c>
      <c r="Y18" s="228">
        <v>-6.6</v>
      </c>
      <c r="Z18" s="228">
        <v>2.9</v>
      </c>
      <c r="AA18" s="229">
        <v>-2.5999999999999999E-3</v>
      </c>
      <c r="AB18" s="228">
        <v>-3.7</v>
      </c>
      <c r="AC18" s="228">
        <v>-6.6</v>
      </c>
      <c r="AD18" s="228">
        <v>2.9</v>
      </c>
      <c r="AE18" s="229">
        <v>-2.5999999999999999E-3</v>
      </c>
      <c r="AF18" s="228">
        <v>3.7</v>
      </c>
      <c r="AG18" s="228">
        <v>1.4</v>
      </c>
      <c r="AH18" s="228">
        <v>2.2999999999999998</v>
      </c>
      <c r="AI18" s="229">
        <v>2.5999999999999999E-3</v>
      </c>
      <c r="AJ18" s="228">
        <v>12.4</v>
      </c>
      <c r="AK18" s="228">
        <v>9.1999999999999993</v>
      </c>
      <c r="AL18" s="228">
        <v>3.2</v>
      </c>
      <c r="AM18" s="229">
        <v>8.6999999999999994E-3</v>
      </c>
      <c r="AN18" s="231">
        <v>1407.62</v>
      </c>
      <c r="AO18" s="231">
        <v>1414.09</v>
      </c>
      <c r="AP18" s="228">
        <v>0</v>
      </c>
      <c r="AQ18" s="230">
        <v>8521</v>
      </c>
      <c r="AR18" s="230">
        <v>6659</v>
      </c>
      <c r="AS18" s="230">
        <v>1862</v>
      </c>
      <c r="AT18" s="229">
        <v>0.27960000000000002</v>
      </c>
      <c r="AU18" s="230">
        <v>8159</v>
      </c>
      <c r="AV18" s="230">
        <v>6390</v>
      </c>
      <c r="AW18" s="230">
        <v>1769</v>
      </c>
      <c r="AX18" s="229">
        <v>0.27679999999999999</v>
      </c>
      <c r="AY18" s="228">
        <v>266</v>
      </c>
      <c r="AZ18" s="228">
        <v>231</v>
      </c>
      <c r="BA18" s="228">
        <v>35</v>
      </c>
      <c r="BB18" s="229">
        <v>0.1515</v>
      </c>
      <c r="BC18" s="228">
        <v>96</v>
      </c>
      <c r="BD18" s="228">
        <v>38</v>
      </c>
      <c r="BE18" s="228">
        <v>58</v>
      </c>
      <c r="BF18" s="229">
        <v>1.5263</v>
      </c>
      <c r="BG18" s="230">
        <v>23880</v>
      </c>
      <c r="BH18" s="230">
        <v>9979</v>
      </c>
      <c r="BI18" s="230">
        <v>13901</v>
      </c>
      <c r="BJ18" s="229">
        <v>1.393</v>
      </c>
      <c r="BK18" s="230">
        <v>9034</v>
      </c>
      <c r="BL18" s="230">
        <v>7130</v>
      </c>
      <c r="BM18" s="230">
        <v>1904</v>
      </c>
      <c r="BN18" s="229">
        <v>0.26700000000000002</v>
      </c>
      <c r="BO18" s="230">
        <v>41435</v>
      </c>
      <c r="BP18" s="230">
        <v>23768</v>
      </c>
      <c r="BQ18" s="230">
        <v>17667</v>
      </c>
      <c r="BR18" s="229">
        <v>0.74329999999999996</v>
      </c>
      <c r="BS18" s="230">
        <v>2083912</v>
      </c>
      <c r="BT18" s="230">
        <v>2833266</v>
      </c>
      <c r="BU18" s="230">
        <v>-749354</v>
      </c>
      <c r="BV18" s="229">
        <v>-0.26450000000000001</v>
      </c>
      <c r="BW18" s="230">
        <v>20948550</v>
      </c>
      <c r="BX18" s="230">
        <v>20876450</v>
      </c>
      <c r="BY18" s="230">
        <v>72100</v>
      </c>
      <c r="BZ18" s="229">
        <v>3.5000000000000001E-3</v>
      </c>
      <c r="CA18" s="230">
        <v>20447000</v>
      </c>
      <c r="CB18" s="230">
        <v>20393450</v>
      </c>
      <c r="CC18" s="230">
        <v>53550</v>
      </c>
      <c r="CD18" s="229">
        <v>2.5999999999999999E-3</v>
      </c>
      <c r="CE18" s="230">
        <v>471100</v>
      </c>
      <c r="CF18" s="230">
        <v>465500</v>
      </c>
      <c r="CG18" s="230">
        <v>5600</v>
      </c>
      <c r="CH18" s="229">
        <v>1.2E-2</v>
      </c>
      <c r="CI18" s="230">
        <v>30450</v>
      </c>
      <c r="CJ18" s="230">
        <v>17500</v>
      </c>
      <c r="CK18" s="230">
        <v>12950</v>
      </c>
      <c r="CL18" s="229">
        <v>0.74</v>
      </c>
      <c r="CM18" s="230">
        <v>5046300</v>
      </c>
      <c r="CN18" s="230">
        <v>4570650</v>
      </c>
      <c r="CO18" s="230">
        <v>475650</v>
      </c>
      <c r="CP18" s="229">
        <v>0.1041</v>
      </c>
      <c r="CQ18" s="230">
        <v>3961650</v>
      </c>
      <c r="CR18" s="230">
        <v>3821650</v>
      </c>
      <c r="CS18" s="230">
        <v>140000</v>
      </c>
      <c r="CT18" s="229">
        <v>3.6600000000000001E-2</v>
      </c>
      <c r="CU18" s="230">
        <v>29956500</v>
      </c>
      <c r="CV18" s="230">
        <v>29268750</v>
      </c>
      <c r="CW18" s="230">
        <v>687750</v>
      </c>
      <c r="CX18" s="229">
        <v>2.35E-2</v>
      </c>
      <c r="CY18" s="228">
        <v>26</v>
      </c>
      <c r="CZ18" s="228">
        <v>25.57</v>
      </c>
      <c r="DA18" s="228">
        <v>0.43</v>
      </c>
      <c r="DB18" s="228">
        <v>0.43</v>
      </c>
      <c r="DC18" s="228">
        <v>29.19</v>
      </c>
      <c r="DD18" s="228">
        <v>29.17</v>
      </c>
      <c r="DE18" s="228">
        <v>-3.19</v>
      </c>
      <c r="DF18" s="228">
        <v>0.02</v>
      </c>
      <c r="DG18" s="228">
        <v>25.75</v>
      </c>
      <c r="DH18" s="228">
        <v>25.38</v>
      </c>
      <c r="DI18" s="228">
        <v>0.37</v>
      </c>
      <c r="DJ18" s="228">
        <v>0.37</v>
      </c>
      <c r="DK18" s="228">
        <v>26.66</v>
      </c>
      <c r="DL18" s="228">
        <v>25.84</v>
      </c>
      <c r="DM18" s="228">
        <v>0.82</v>
      </c>
      <c r="DN18" s="228">
        <v>0.82</v>
      </c>
      <c r="DO18" s="228">
        <v>0.79</v>
      </c>
      <c r="DP18" s="228">
        <v>0.84</v>
      </c>
      <c r="DQ18" s="228">
        <v>-0.05</v>
      </c>
      <c r="DR18" s="229">
        <v>-5.9499999999999997E-2</v>
      </c>
      <c r="DS18" s="231">
        <v>1500</v>
      </c>
      <c r="DT18" s="231">
        <v>1400</v>
      </c>
      <c r="DU18" s="228">
        <v>0.38</v>
      </c>
      <c r="DV18" s="228">
        <v>0.71</v>
      </c>
      <c r="DW18" s="228">
        <v>-0.33</v>
      </c>
      <c r="DX18" s="229">
        <v>-0.46479999999999999</v>
      </c>
      <c r="DY18" s="229">
        <v>2.3900000000000001E-2</v>
      </c>
      <c r="DZ18" s="230">
        <v>483000</v>
      </c>
      <c r="EA18" s="229">
        <v>5.1999999999999998E-3</v>
      </c>
      <c r="EB18" s="229">
        <v>2.3900000000000001E-2</v>
      </c>
      <c r="EC18" s="228">
        <v>6.47</v>
      </c>
      <c r="ED18" s="229">
        <v>4.5999999999999999E-3</v>
      </c>
      <c r="EE18" s="230">
        <v>1361780</v>
      </c>
      <c r="EF18" s="230">
        <v>1869661</v>
      </c>
      <c r="EG18" s="229">
        <v>-0.27160000000000001</v>
      </c>
      <c r="EH18" s="229">
        <v>0.65349999999999997</v>
      </c>
      <c r="EI18" s="231">
        <v>123362.99</v>
      </c>
      <c r="EJ18" s="231">
        <v>44132.81</v>
      </c>
      <c r="EK18" s="231">
        <v>41992.2</v>
      </c>
      <c r="EL18" s="231">
        <v>19024</v>
      </c>
      <c r="EM18" s="231">
        <v>209488</v>
      </c>
      <c r="EN18" s="231">
        <v>116953.64</v>
      </c>
      <c r="EO18" s="231">
        <v>92534.36</v>
      </c>
      <c r="EP18" s="229">
        <v>0.79120000000000001</v>
      </c>
      <c r="EQ18" s="231">
        <v>74792</v>
      </c>
      <c r="ER18" s="231">
        <v>54366</v>
      </c>
      <c r="ES18" s="231">
        <v>296252</v>
      </c>
      <c r="ET18" s="231">
        <v>145993539</v>
      </c>
      <c r="EU18" s="231">
        <v>425411</v>
      </c>
      <c r="EV18" s="231">
        <v>409422</v>
      </c>
      <c r="EW18" s="231">
        <v>15989</v>
      </c>
      <c r="EX18" s="229">
        <v>3.9100000000000003E-2</v>
      </c>
      <c r="EY18" s="229">
        <v>0.20519999999999999</v>
      </c>
    </row>
    <row r="19" spans="1:155" ht="17.25" thickBot="1" x14ac:dyDescent="0.3">
      <c r="A19" s="226">
        <v>45936</v>
      </c>
      <c r="B19" s="227" t="s">
        <v>172</v>
      </c>
      <c r="C19" s="227" t="s">
        <v>224</v>
      </c>
      <c r="D19" s="228">
        <v>976.6</v>
      </c>
      <c r="E19" s="228">
        <v>968.6</v>
      </c>
      <c r="F19" s="228">
        <v>8</v>
      </c>
      <c r="G19" s="229">
        <v>8.3000000000000001E-3</v>
      </c>
      <c r="H19" s="228">
        <v>973.45</v>
      </c>
      <c r="I19" s="228">
        <v>965.15</v>
      </c>
      <c r="J19" s="228">
        <v>8.3000000000000007</v>
      </c>
      <c r="K19" s="229">
        <v>8.6E-3</v>
      </c>
      <c r="L19" s="228">
        <v>976.6</v>
      </c>
      <c r="M19" s="228">
        <v>968.6</v>
      </c>
      <c r="N19" s="228">
        <v>8</v>
      </c>
      <c r="O19" s="229">
        <v>8.3000000000000001E-3</v>
      </c>
      <c r="P19" s="228">
        <v>981.75</v>
      </c>
      <c r="Q19" s="228">
        <v>973.6</v>
      </c>
      <c r="R19" s="228">
        <v>8.15</v>
      </c>
      <c r="S19" s="229">
        <v>8.3999999999999995E-3</v>
      </c>
      <c r="T19" s="228">
        <v>987.5</v>
      </c>
      <c r="U19" s="228">
        <v>979.15</v>
      </c>
      <c r="V19" s="228">
        <v>8.35</v>
      </c>
      <c r="W19" s="229">
        <v>8.5000000000000006E-3</v>
      </c>
      <c r="X19" s="228">
        <v>3.15</v>
      </c>
      <c r="Y19" s="228">
        <v>3.45</v>
      </c>
      <c r="Z19" s="228">
        <v>-0.3</v>
      </c>
      <c r="AA19" s="229">
        <v>3.2000000000000002E-3</v>
      </c>
      <c r="AB19" s="228">
        <v>3.15</v>
      </c>
      <c r="AC19" s="228">
        <v>3.45</v>
      </c>
      <c r="AD19" s="228">
        <v>-0.3</v>
      </c>
      <c r="AE19" s="229">
        <v>3.2000000000000002E-3</v>
      </c>
      <c r="AF19" s="228">
        <v>8.3000000000000007</v>
      </c>
      <c r="AG19" s="228">
        <v>8.4499999999999993</v>
      </c>
      <c r="AH19" s="228">
        <v>-0.15</v>
      </c>
      <c r="AI19" s="229">
        <v>8.5000000000000006E-3</v>
      </c>
      <c r="AJ19" s="228">
        <v>14.05</v>
      </c>
      <c r="AK19" s="228">
        <v>14</v>
      </c>
      <c r="AL19" s="228">
        <v>0.05</v>
      </c>
      <c r="AM19" s="229">
        <v>1.44E-2</v>
      </c>
      <c r="AN19" s="228">
        <v>975.91</v>
      </c>
      <c r="AO19" s="228">
        <v>981.22</v>
      </c>
      <c r="AP19" s="228">
        <v>0</v>
      </c>
      <c r="AQ19" s="230">
        <v>27003</v>
      </c>
      <c r="AR19" s="230">
        <v>29980</v>
      </c>
      <c r="AS19" s="230">
        <v>-2977</v>
      </c>
      <c r="AT19" s="229">
        <v>-9.9299999999999999E-2</v>
      </c>
      <c r="AU19" s="230">
        <v>26081</v>
      </c>
      <c r="AV19" s="230">
        <v>27767</v>
      </c>
      <c r="AW19" s="230">
        <v>-1686</v>
      </c>
      <c r="AX19" s="229">
        <v>-6.0699999999999997E-2</v>
      </c>
      <c r="AY19" s="228">
        <v>841</v>
      </c>
      <c r="AZ19" s="228">
        <v>572</v>
      </c>
      <c r="BA19" s="228">
        <v>269</v>
      </c>
      <c r="BB19" s="229">
        <v>0.4703</v>
      </c>
      <c r="BC19" s="228">
        <v>81</v>
      </c>
      <c r="BD19" s="230">
        <v>1641</v>
      </c>
      <c r="BE19" s="230">
        <v>-1560</v>
      </c>
      <c r="BF19" s="229">
        <v>-0.9506</v>
      </c>
      <c r="BG19" s="230">
        <v>60313</v>
      </c>
      <c r="BH19" s="230">
        <v>49193</v>
      </c>
      <c r="BI19" s="230">
        <v>11120</v>
      </c>
      <c r="BJ19" s="229">
        <v>0.22600000000000001</v>
      </c>
      <c r="BK19" s="230">
        <v>34755</v>
      </c>
      <c r="BL19" s="230">
        <v>28843</v>
      </c>
      <c r="BM19" s="230">
        <v>5912</v>
      </c>
      <c r="BN19" s="229">
        <v>0.20499999999999999</v>
      </c>
      <c r="BO19" s="230">
        <v>122071</v>
      </c>
      <c r="BP19" s="230">
        <v>108016</v>
      </c>
      <c r="BQ19" s="230">
        <v>14055</v>
      </c>
      <c r="BR19" s="229">
        <v>0.13009999999999999</v>
      </c>
      <c r="BS19" s="230">
        <v>19481005</v>
      </c>
      <c r="BT19" s="230">
        <v>27147844</v>
      </c>
      <c r="BU19" s="230">
        <v>-7666839</v>
      </c>
      <c r="BV19" s="229">
        <v>-0.28239999999999998</v>
      </c>
      <c r="BW19" s="230">
        <v>213117300</v>
      </c>
      <c r="BX19" s="230">
        <v>217212600</v>
      </c>
      <c r="BY19" s="230">
        <v>-4095300</v>
      </c>
      <c r="BZ19" s="229">
        <v>-1.89E-2</v>
      </c>
      <c r="CA19" s="230">
        <v>208418100</v>
      </c>
      <c r="CB19" s="230">
        <v>212577200</v>
      </c>
      <c r="CC19" s="230">
        <v>-4159100</v>
      </c>
      <c r="CD19" s="229">
        <v>-1.9599999999999999E-2</v>
      </c>
      <c r="CE19" s="230">
        <v>2883100</v>
      </c>
      <c r="CF19" s="230">
        <v>2833600</v>
      </c>
      <c r="CG19" s="230">
        <v>49500</v>
      </c>
      <c r="CH19" s="229">
        <v>1.7500000000000002E-2</v>
      </c>
      <c r="CI19" s="230">
        <v>1816100</v>
      </c>
      <c r="CJ19" s="230">
        <v>1801800</v>
      </c>
      <c r="CK19" s="230">
        <v>14300</v>
      </c>
      <c r="CL19" s="229">
        <v>7.9000000000000008E-3</v>
      </c>
      <c r="CM19" s="230">
        <v>29918900</v>
      </c>
      <c r="CN19" s="230">
        <v>29898000</v>
      </c>
      <c r="CO19" s="230">
        <v>20900</v>
      </c>
      <c r="CP19" s="229">
        <v>6.9999999999999999E-4</v>
      </c>
      <c r="CQ19" s="230">
        <v>24740100</v>
      </c>
      <c r="CR19" s="230">
        <v>23491600</v>
      </c>
      <c r="CS19" s="230">
        <v>1248500</v>
      </c>
      <c r="CT19" s="229">
        <v>5.3100000000000001E-2</v>
      </c>
      <c r="CU19" s="230">
        <v>267776300</v>
      </c>
      <c r="CV19" s="230">
        <v>270602200</v>
      </c>
      <c r="CW19" s="230">
        <v>-2825900</v>
      </c>
      <c r="CX19" s="229">
        <v>-1.04E-2</v>
      </c>
      <c r="CY19" s="228">
        <v>17.96</v>
      </c>
      <c r="CZ19" s="228">
        <v>17.440000000000001</v>
      </c>
      <c r="DA19" s="228">
        <v>0.52</v>
      </c>
      <c r="DB19" s="228">
        <v>0.52</v>
      </c>
      <c r="DC19" s="228">
        <v>21.46</v>
      </c>
      <c r="DD19" s="228">
        <v>21.48</v>
      </c>
      <c r="DE19" s="228">
        <v>-3.5</v>
      </c>
      <c r="DF19" s="228">
        <v>-0.02</v>
      </c>
      <c r="DG19" s="228">
        <v>17.850000000000001</v>
      </c>
      <c r="DH19" s="228">
        <v>17.22</v>
      </c>
      <c r="DI19" s="228">
        <v>0.63</v>
      </c>
      <c r="DJ19" s="228">
        <v>0.63</v>
      </c>
      <c r="DK19" s="228">
        <v>18.14</v>
      </c>
      <c r="DL19" s="228">
        <v>17.829999999999998</v>
      </c>
      <c r="DM19" s="228">
        <v>0.31</v>
      </c>
      <c r="DN19" s="228">
        <v>0.31</v>
      </c>
      <c r="DO19" s="228">
        <v>0.83</v>
      </c>
      <c r="DP19" s="228">
        <v>0.79</v>
      </c>
      <c r="DQ19" s="228">
        <v>0.04</v>
      </c>
      <c r="DR19" s="229">
        <v>5.0599999999999999E-2</v>
      </c>
      <c r="DS19" s="231">
        <v>1000</v>
      </c>
      <c r="DT19" s="228">
        <v>900</v>
      </c>
      <c r="DU19" s="228">
        <v>0.57999999999999996</v>
      </c>
      <c r="DV19" s="228">
        <v>0.59</v>
      </c>
      <c r="DW19" s="228">
        <v>-0.01</v>
      </c>
      <c r="DX19" s="229">
        <v>-1.6899999999999998E-2</v>
      </c>
      <c r="DY19" s="229">
        <v>2.1999999999999999E-2</v>
      </c>
      <c r="DZ19" s="230">
        <v>4635400</v>
      </c>
      <c r="EA19" s="229">
        <v>5.3E-3</v>
      </c>
      <c r="EB19" s="229">
        <v>2.1999999999999999E-2</v>
      </c>
      <c r="EC19" s="228">
        <v>5.31</v>
      </c>
      <c r="ED19" s="229">
        <v>5.4000000000000003E-3</v>
      </c>
      <c r="EE19" s="230">
        <v>11968118</v>
      </c>
      <c r="EF19" s="230">
        <v>18275237</v>
      </c>
      <c r="EG19" s="229">
        <v>-0.34510000000000002</v>
      </c>
      <c r="EH19" s="229">
        <v>0.61429999999999996</v>
      </c>
      <c r="EI19" s="231">
        <v>664229.11</v>
      </c>
      <c r="EJ19" s="231">
        <v>370396.86</v>
      </c>
      <c r="EK19" s="231">
        <v>289937.17</v>
      </c>
      <c r="EL19" s="231">
        <v>52740</v>
      </c>
      <c r="EM19" s="231">
        <v>1324563.1399999999</v>
      </c>
      <c r="EN19" s="231">
        <v>1161222.71</v>
      </c>
      <c r="EO19" s="231">
        <v>163340.43</v>
      </c>
      <c r="EP19" s="229">
        <v>0.14069999999999999</v>
      </c>
      <c r="EQ19" s="231">
        <v>298384</v>
      </c>
      <c r="ER19" s="231">
        <v>233701</v>
      </c>
      <c r="ES19" s="231">
        <v>2081650</v>
      </c>
      <c r="ET19" s="231">
        <v>1329733550</v>
      </c>
      <c r="EU19" s="231">
        <v>2613735</v>
      </c>
      <c r="EV19" s="231">
        <v>2622927</v>
      </c>
      <c r="EW19" s="231">
        <v>-9192</v>
      </c>
      <c r="EX19" s="229">
        <v>-3.5000000000000001E-3</v>
      </c>
      <c r="EY19" s="229">
        <v>0.2014</v>
      </c>
    </row>
    <row r="20" spans="1:155" ht="17.25" thickBot="1" x14ac:dyDescent="0.3">
      <c r="A20" s="226">
        <v>45936</v>
      </c>
      <c r="B20" s="227" t="s">
        <v>175</v>
      </c>
      <c r="C20" s="227" t="s">
        <v>225</v>
      </c>
      <c r="D20" s="228">
        <v>764.35</v>
      </c>
      <c r="E20" s="228">
        <v>762.4</v>
      </c>
      <c r="F20" s="228">
        <v>1.95</v>
      </c>
      <c r="G20" s="229">
        <v>2.5999999999999999E-3</v>
      </c>
      <c r="H20" s="228">
        <v>763.05</v>
      </c>
      <c r="I20" s="228">
        <v>759.2</v>
      </c>
      <c r="J20" s="228">
        <v>3.85</v>
      </c>
      <c r="K20" s="229">
        <v>5.1000000000000004E-3</v>
      </c>
      <c r="L20" s="228">
        <v>764.35</v>
      </c>
      <c r="M20" s="228">
        <v>762.4</v>
      </c>
      <c r="N20" s="228">
        <v>1.95</v>
      </c>
      <c r="O20" s="229">
        <v>2.5999999999999999E-3</v>
      </c>
      <c r="P20" s="228">
        <v>766.95</v>
      </c>
      <c r="Q20" s="228">
        <v>765.15</v>
      </c>
      <c r="R20" s="228">
        <v>1.8</v>
      </c>
      <c r="S20" s="229">
        <v>2.3999999999999998E-3</v>
      </c>
      <c r="T20" s="228">
        <v>761.5</v>
      </c>
      <c r="U20" s="228">
        <v>765.95</v>
      </c>
      <c r="V20" s="228">
        <v>-4.45</v>
      </c>
      <c r="W20" s="229">
        <v>-5.7999999999999996E-3</v>
      </c>
      <c r="X20" s="228">
        <v>1.3</v>
      </c>
      <c r="Y20" s="228">
        <v>3.2</v>
      </c>
      <c r="Z20" s="228">
        <v>-1.9</v>
      </c>
      <c r="AA20" s="229">
        <v>1.6999999999999999E-3</v>
      </c>
      <c r="AB20" s="228">
        <v>1.3</v>
      </c>
      <c r="AC20" s="228">
        <v>3.2</v>
      </c>
      <c r="AD20" s="228">
        <v>-1.9</v>
      </c>
      <c r="AE20" s="229">
        <v>1.6999999999999999E-3</v>
      </c>
      <c r="AF20" s="228">
        <v>3.9</v>
      </c>
      <c r="AG20" s="228">
        <v>5.95</v>
      </c>
      <c r="AH20" s="228">
        <v>-2.0499999999999998</v>
      </c>
      <c r="AI20" s="229">
        <v>5.1000000000000004E-3</v>
      </c>
      <c r="AJ20" s="228">
        <v>-1.55</v>
      </c>
      <c r="AK20" s="228">
        <v>6.75</v>
      </c>
      <c r="AL20" s="228">
        <v>-8.3000000000000007</v>
      </c>
      <c r="AM20" s="229">
        <v>-2E-3</v>
      </c>
      <c r="AN20" s="228">
        <v>761.18</v>
      </c>
      <c r="AO20" s="228">
        <v>763.9</v>
      </c>
      <c r="AP20" s="228">
        <v>0</v>
      </c>
      <c r="AQ20" s="230">
        <v>2277</v>
      </c>
      <c r="AR20" s="230">
        <v>2797</v>
      </c>
      <c r="AS20" s="228">
        <v>-520</v>
      </c>
      <c r="AT20" s="229">
        <v>-0.18590000000000001</v>
      </c>
      <c r="AU20" s="230">
        <v>2205</v>
      </c>
      <c r="AV20" s="230">
        <v>2740</v>
      </c>
      <c r="AW20" s="228">
        <v>-535</v>
      </c>
      <c r="AX20" s="229">
        <v>-0.1953</v>
      </c>
      <c r="AY20" s="228">
        <v>65</v>
      </c>
      <c r="AZ20" s="228">
        <v>49</v>
      </c>
      <c r="BA20" s="228">
        <v>16</v>
      </c>
      <c r="BB20" s="229">
        <v>0.32650000000000001</v>
      </c>
      <c r="BC20" s="228">
        <v>7</v>
      </c>
      <c r="BD20" s="228">
        <v>8</v>
      </c>
      <c r="BE20" s="228">
        <v>-1</v>
      </c>
      <c r="BF20" s="229">
        <v>-0.125</v>
      </c>
      <c r="BG20" s="230">
        <v>4818</v>
      </c>
      <c r="BH20" s="230">
        <v>4954</v>
      </c>
      <c r="BI20" s="228">
        <v>-136</v>
      </c>
      <c r="BJ20" s="229">
        <v>-2.75E-2</v>
      </c>
      <c r="BK20" s="230">
        <v>2230</v>
      </c>
      <c r="BL20" s="230">
        <v>2340</v>
      </c>
      <c r="BM20" s="228">
        <v>-110</v>
      </c>
      <c r="BN20" s="229">
        <v>-4.7E-2</v>
      </c>
      <c r="BO20" s="230">
        <v>9325</v>
      </c>
      <c r="BP20" s="230">
        <v>10091</v>
      </c>
      <c r="BQ20" s="228">
        <v>-766</v>
      </c>
      <c r="BR20" s="229">
        <v>-7.5899999999999995E-2</v>
      </c>
      <c r="BS20" s="230">
        <v>1367326</v>
      </c>
      <c r="BT20" s="230">
        <v>5462798</v>
      </c>
      <c r="BU20" s="230">
        <v>-4095472</v>
      </c>
      <c r="BV20" s="229">
        <v>-0.74970000000000003</v>
      </c>
      <c r="BW20" s="230">
        <v>28113800</v>
      </c>
      <c r="BX20" s="230">
        <v>28098400</v>
      </c>
      <c r="BY20" s="230">
        <v>15400</v>
      </c>
      <c r="BZ20" s="229">
        <v>5.0000000000000001E-4</v>
      </c>
      <c r="CA20" s="230">
        <v>27821200</v>
      </c>
      <c r="CB20" s="230">
        <v>27808000</v>
      </c>
      <c r="CC20" s="230">
        <v>13200</v>
      </c>
      <c r="CD20" s="229">
        <v>5.0000000000000001E-4</v>
      </c>
      <c r="CE20" s="230">
        <v>281600</v>
      </c>
      <c r="CF20" s="230">
        <v>280500</v>
      </c>
      <c r="CG20" s="230">
        <v>1100</v>
      </c>
      <c r="CH20" s="229">
        <v>3.8999999999999998E-3</v>
      </c>
      <c r="CI20" s="230">
        <v>11000</v>
      </c>
      <c r="CJ20" s="230">
        <v>9900</v>
      </c>
      <c r="CK20" s="230">
        <v>1100</v>
      </c>
      <c r="CL20" s="229">
        <v>0.1111</v>
      </c>
      <c r="CM20" s="230">
        <v>6469100</v>
      </c>
      <c r="CN20" s="230">
        <v>5490100</v>
      </c>
      <c r="CO20" s="230">
        <v>979000</v>
      </c>
      <c r="CP20" s="229">
        <v>0.17829999999999999</v>
      </c>
      <c r="CQ20" s="230">
        <v>4173400</v>
      </c>
      <c r="CR20" s="230">
        <v>3764200</v>
      </c>
      <c r="CS20" s="230">
        <v>409200</v>
      </c>
      <c r="CT20" s="229">
        <v>0.1087</v>
      </c>
      <c r="CU20" s="230">
        <v>38756300</v>
      </c>
      <c r="CV20" s="230">
        <v>37352700</v>
      </c>
      <c r="CW20" s="230">
        <v>1403600</v>
      </c>
      <c r="CX20" s="229">
        <v>3.7600000000000001E-2</v>
      </c>
      <c r="CY20" s="228">
        <v>22.78</v>
      </c>
      <c r="CZ20" s="228">
        <v>21.96</v>
      </c>
      <c r="DA20" s="228">
        <v>0.82</v>
      </c>
      <c r="DB20" s="228">
        <v>0.82</v>
      </c>
      <c r="DC20" s="228">
        <v>26.09</v>
      </c>
      <c r="DD20" s="228">
        <v>26.15</v>
      </c>
      <c r="DE20" s="228">
        <v>-3.31</v>
      </c>
      <c r="DF20" s="228">
        <v>-0.06</v>
      </c>
      <c r="DG20" s="228">
        <v>22.73</v>
      </c>
      <c r="DH20" s="228">
        <v>22.01</v>
      </c>
      <c r="DI20" s="228">
        <v>0.72</v>
      </c>
      <c r="DJ20" s="228">
        <v>0.72</v>
      </c>
      <c r="DK20" s="228">
        <v>22.9</v>
      </c>
      <c r="DL20" s="228">
        <v>21.85</v>
      </c>
      <c r="DM20" s="228">
        <v>1.05</v>
      </c>
      <c r="DN20" s="228">
        <v>1.05</v>
      </c>
      <c r="DO20" s="228">
        <v>0.65</v>
      </c>
      <c r="DP20" s="228">
        <v>0.69</v>
      </c>
      <c r="DQ20" s="228">
        <v>-0.04</v>
      </c>
      <c r="DR20" s="229">
        <v>-5.8000000000000003E-2</v>
      </c>
      <c r="DS20" s="228">
        <v>800</v>
      </c>
      <c r="DT20" s="228">
        <v>760</v>
      </c>
      <c r="DU20" s="228">
        <v>0.46</v>
      </c>
      <c r="DV20" s="228">
        <v>0.47</v>
      </c>
      <c r="DW20" s="228">
        <v>-0.01</v>
      </c>
      <c r="DX20" s="229">
        <v>-2.1299999999999999E-2</v>
      </c>
      <c r="DY20" s="229">
        <v>1.04E-2</v>
      </c>
      <c r="DZ20" s="230">
        <v>290400</v>
      </c>
      <c r="EA20" s="229">
        <v>3.3999999999999998E-3</v>
      </c>
      <c r="EB20" s="229">
        <v>1.04E-2</v>
      </c>
      <c r="EC20" s="228">
        <v>2.72</v>
      </c>
      <c r="ED20" s="229">
        <v>3.5999999999999999E-3</v>
      </c>
      <c r="EE20" s="230">
        <v>660875</v>
      </c>
      <c r="EF20" s="230">
        <v>4100837</v>
      </c>
      <c r="EG20" s="229">
        <v>-0.83879999999999999</v>
      </c>
      <c r="EH20" s="229">
        <v>0.48330000000000001</v>
      </c>
      <c r="EI20" s="231">
        <v>42592.5</v>
      </c>
      <c r="EJ20" s="231">
        <v>18312.89</v>
      </c>
      <c r="EK20" s="231">
        <v>19067.66</v>
      </c>
      <c r="EL20" s="231">
        <v>8118</v>
      </c>
      <c r="EM20" s="231">
        <v>79973.05</v>
      </c>
      <c r="EN20" s="231">
        <v>86373.53</v>
      </c>
      <c r="EO20" s="231">
        <v>-6400.48</v>
      </c>
      <c r="EP20" s="229">
        <v>-7.4099999999999999E-2</v>
      </c>
      <c r="EQ20" s="231">
        <v>52152</v>
      </c>
      <c r="ER20" s="231">
        <v>30706</v>
      </c>
      <c r="ES20" s="231">
        <v>214895</v>
      </c>
      <c r="ET20" s="231">
        <v>119296253</v>
      </c>
      <c r="EU20" s="231">
        <v>297753</v>
      </c>
      <c r="EV20" s="231">
        <v>286115</v>
      </c>
      <c r="EW20" s="231">
        <v>11638</v>
      </c>
      <c r="EX20" s="229">
        <v>4.07E-2</v>
      </c>
      <c r="EY20" s="229">
        <v>0.32490000000000002</v>
      </c>
    </row>
    <row r="21" spans="1:155" ht="17.25" thickBot="1" x14ac:dyDescent="0.3">
      <c r="A21" s="226">
        <v>45936</v>
      </c>
      <c r="B21" s="227" t="s">
        <v>227</v>
      </c>
      <c r="C21" s="227" t="s">
        <v>228</v>
      </c>
      <c r="D21" s="228">
        <v>781.25</v>
      </c>
      <c r="E21" s="228">
        <v>784.55</v>
      </c>
      <c r="F21" s="228">
        <v>-3.3</v>
      </c>
      <c r="G21" s="229">
        <v>-4.1999999999999997E-3</v>
      </c>
      <c r="H21" s="228">
        <v>776.7</v>
      </c>
      <c r="I21" s="228">
        <v>780.35</v>
      </c>
      <c r="J21" s="228">
        <v>-3.65</v>
      </c>
      <c r="K21" s="229">
        <v>-4.7000000000000002E-3</v>
      </c>
      <c r="L21" s="228">
        <v>781.25</v>
      </c>
      <c r="M21" s="228">
        <v>784.55</v>
      </c>
      <c r="N21" s="228">
        <v>-3.3</v>
      </c>
      <c r="O21" s="229">
        <v>-4.1999999999999997E-3</v>
      </c>
      <c r="P21" s="228">
        <v>785.8</v>
      </c>
      <c r="Q21" s="228">
        <v>788.9</v>
      </c>
      <c r="R21" s="228">
        <v>-3.1</v>
      </c>
      <c r="S21" s="229">
        <v>-3.8999999999999998E-3</v>
      </c>
      <c r="T21" s="228">
        <v>789.55</v>
      </c>
      <c r="U21" s="228">
        <v>792.75</v>
      </c>
      <c r="V21" s="228">
        <v>-3.2</v>
      </c>
      <c r="W21" s="229">
        <v>-4.0000000000000001E-3</v>
      </c>
      <c r="X21" s="228">
        <v>4.55</v>
      </c>
      <c r="Y21" s="228">
        <v>4.2</v>
      </c>
      <c r="Z21" s="228">
        <v>0.35</v>
      </c>
      <c r="AA21" s="229">
        <v>5.8999999999999999E-3</v>
      </c>
      <c r="AB21" s="228">
        <v>4.55</v>
      </c>
      <c r="AC21" s="228">
        <v>4.2</v>
      </c>
      <c r="AD21" s="228">
        <v>0.35</v>
      </c>
      <c r="AE21" s="229">
        <v>5.8999999999999999E-3</v>
      </c>
      <c r="AF21" s="228">
        <v>9.1</v>
      </c>
      <c r="AG21" s="228">
        <v>8.5500000000000007</v>
      </c>
      <c r="AH21" s="228">
        <v>0.55000000000000004</v>
      </c>
      <c r="AI21" s="229">
        <v>1.17E-2</v>
      </c>
      <c r="AJ21" s="228">
        <v>12.85</v>
      </c>
      <c r="AK21" s="228">
        <v>12.4</v>
      </c>
      <c r="AL21" s="228">
        <v>0.45</v>
      </c>
      <c r="AM21" s="229">
        <v>1.6500000000000001E-2</v>
      </c>
      <c r="AN21" s="228">
        <v>782.13</v>
      </c>
      <c r="AO21" s="228">
        <v>786.37</v>
      </c>
      <c r="AP21" s="228">
        <v>0</v>
      </c>
      <c r="AQ21" s="230">
        <v>4647</v>
      </c>
      <c r="AR21" s="230">
        <v>8707</v>
      </c>
      <c r="AS21" s="230">
        <v>-4060</v>
      </c>
      <c r="AT21" s="229">
        <v>-0.46629999999999999</v>
      </c>
      <c r="AU21" s="230">
        <v>4353</v>
      </c>
      <c r="AV21" s="230">
        <v>8315</v>
      </c>
      <c r="AW21" s="230">
        <v>-3962</v>
      </c>
      <c r="AX21" s="229">
        <v>-0.47649999999999998</v>
      </c>
      <c r="AY21" s="228">
        <v>261</v>
      </c>
      <c r="AZ21" s="228">
        <v>344</v>
      </c>
      <c r="BA21" s="228">
        <v>-83</v>
      </c>
      <c r="BB21" s="229">
        <v>-0.24129999999999999</v>
      </c>
      <c r="BC21" s="228">
        <v>33</v>
      </c>
      <c r="BD21" s="228">
        <v>48</v>
      </c>
      <c r="BE21" s="228">
        <v>-15</v>
      </c>
      <c r="BF21" s="229">
        <v>-0.3125</v>
      </c>
      <c r="BG21" s="230">
        <v>13489</v>
      </c>
      <c r="BH21" s="230">
        <v>47630</v>
      </c>
      <c r="BI21" s="230">
        <v>-34141</v>
      </c>
      <c r="BJ21" s="229">
        <v>-0.71679999999999999</v>
      </c>
      <c r="BK21" s="230">
        <v>7073</v>
      </c>
      <c r="BL21" s="230">
        <v>19817</v>
      </c>
      <c r="BM21" s="230">
        <v>-12744</v>
      </c>
      <c r="BN21" s="229">
        <v>-0.6431</v>
      </c>
      <c r="BO21" s="230">
        <v>25209</v>
      </c>
      <c r="BP21" s="230">
        <v>76154</v>
      </c>
      <c r="BQ21" s="230">
        <v>-50945</v>
      </c>
      <c r="BR21" s="229">
        <v>-0.66900000000000004</v>
      </c>
      <c r="BS21" s="230">
        <v>3711919</v>
      </c>
      <c r="BT21" s="230">
        <v>6796808</v>
      </c>
      <c r="BU21" s="230">
        <v>-3084889</v>
      </c>
      <c r="BV21" s="229">
        <v>-0.45390000000000003</v>
      </c>
      <c r="BW21" s="230">
        <v>62290200</v>
      </c>
      <c r="BX21" s="230">
        <v>62392400</v>
      </c>
      <c r="BY21" s="230">
        <v>-102200</v>
      </c>
      <c r="BZ21" s="229">
        <v>-1.6000000000000001E-3</v>
      </c>
      <c r="CA21" s="230">
        <v>61588800</v>
      </c>
      <c r="CB21" s="230">
        <v>61713400</v>
      </c>
      <c r="CC21" s="230">
        <v>-124600</v>
      </c>
      <c r="CD21" s="229">
        <v>-2E-3</v>
      </c>
      <c r="CE21" s="230">
        <v>639800</v>
      </c>
      <c r="CF21" s="230">
        <v>644000</v>
      </c>
      <c r="CG21" s="230">
        <v>-4200</v>
      </c>
      <c r="CH21" s="229">
        <v>-6.4999999999999997E-3</v>
      </c>
      <c r="CI21" s="230">
        <v>61600</v>
      </c>
      <c r="CJ21" s="230">
        <v>35000</v>
      </c>
      <c r="CK21" s="230">
        <v>26600</v>
      </c>
      <c r="CL21" s="229">
        <v>0.76</v>
      </c>
      <c r="CM21" s="230">
        <v>13599600</v>
      </c>
      <c r="CN21" s="230">
        <v>12378800</v>
      </c>
      <c r="CO21" s="230">
        <v>1220800</v>
      </c>
      <c r="CP21" s="229">
        <v>9.8599999999999993E-2</v>
      </c>
      <c r="CQ21" s="230">
        <v>10595200</v>
      </c>
      <c r="CR21" s="230">
        <v>10194800</v>
      </c>
      <c r="CS21" s="230">
        <v>400400</v>
      </c>
      <c r="CT21" s="229">
        <v>3.9300000000000002E-2</v>
      </c>
      <c r="CU21" s="230">
        <v>86485000</v>
      </c>
      <c r="CV21" s="230">
        <v>84966000</v>
      </c>
      <c r="CW21" s="230">
        <v>1519000</v>
      </c>
      <c r="CX21" s="229">
        <v>1.7899999999999999E-2</v>
      </c>
      <c r="CY21" s="228">
        <v>24.41</v>
      </c>
      <c r="CZ21" s="228">
        <v>23.68</v>
      </c>
      <c r="DA21" s="228">
        <v>0.73</v>
      </c>
      <c r="DB21" s="228">
        <v>0.73</v>
      </c>
      <c r="DC21" s="228">
        <v>33.54</v>
      </c>
      <c r="DD21" s="228">
        <v>33.619999999999997</v>
      </c>
      <c r="DE21" s="228">
        <v>-9.1300000000000008</v>
      </c>
      <c r="DF21" s="228">
        <v>-0.08</v>
      </c>
      <c r="DG21" s="228">
        <v>24.12</v>
      </c>
      <c r="DH21" s="228">
        <v>23.32</v>
      </c>
      <c r="DI21" s="228">
        <v>0.8</v>
      </c>
      <c r="DJ21" s="228">
        <v>0.8</v>
      </c>
      <c r="DK21" s="228">
        <v>24.97</v>
      </c>
      <c r="DL21" s="228">
        <v>24.54</v>
      </c>
      <c r="DM21" s="228">
        <v>0.43</v>
      </c>
      <c r="DN21" s="228">
        <v>0.43</v>
      </c>
      <c r="DO21" s="228">
        <v>0.78</v>
      </c>
      <c r="DP21" s="228">
        <v>0.82</v>
      </c>
      <c r="DQ21" s="228">
        <v>-0.04</v>
      </c>
      <c r="DR21" s="229">
        <v>-4.8800000000000003E-2</v>
      </c>
      <c r="DS21" s="228">
        <v>800</v>
      </c>
      <c r="DT21" s="228">
        <v>750</v>
      </c>
      <c r="DU21" s="228">
        <v>0.52</v>
      </c>
      <c r="DV21" s="228">
        <v>0.42</v>
      </c>
      <c r="DW21" s="228">
        <v>0.1</v>
      </c>
      <c r="DX21" s="229">
        <v>0.23810000000000001</v>
      </c>
      <c r="DY21" s="229">
        <v>1.1299999999999999E-2</v>
      </c>
      <c r="DZ21" s="230">
        <v>679000</v>
      </c>
      <c r="EA21" s="229">
        <v>5.7999999999999996E-3</v>
      </c>
      <c r="EB21" s="229">
        <v>1.1299999999999999E-2</v>
      </c>
      <c r="EC21" s="228">
        <v>4.24</v>
      </c>
      <c r="ED21" s="229">
        <v>5.4000000000000003E-3</v>
      </c>
      <c r="EE21" s="230">
        <v>1720156</v>
      </c>
      <c r="EF21" s="230">
        <v>3041932</v>
      </c>
      <c r="EG21" s="229">
        <v>-0.4345</v>
      </c>
      <c r="EH21" s="229">
        <v>0.46339999999999998</v>
      </c>
      <c r="EI21" s="231">
        <v>154331.66</v>
      </c>
      <c r="EJ21" s="231">
        <v>76050.61</v>
      </c>
      <c r="EK21" s="231">
        <v>50903.16</v>
      </c>
      <c r="EL21" s="231">
        <v>12259</v>
      </c>
      <c r="EM21" s="231">
        <v>281285.43</v>
      </c>
      <c r="EN21" s="231">
        <v>854032.22</v>
      </c>
      <c r="EO21" s="231">
        <v>-572746.79</v>
      </c>
      <c r="EP21" s="229">
        <v>-0.67059999999999997</v>
      </c>
      <c r="EQ21" s="231">
        <v>109092</v>
      </c>
      <c r="ER21" s="231">
        <v>78291</v>
      </c>
      <c r="ES21" s="231">
        <v>486676</v>
      </c>
      <c r="ET21" s="231">
        <v>176136372</v>
      </c>
      <c r="EU21" s="231">
        <v>674059</v>
      </c>
      <c r="EV21" s="231">
        <v>664285</v>
      </c>
      <c r="EW21" s="231">
        <v>9774</v>
      </c>
      <c r="EX21" s="229">
        <v>1.47E-2</v>
      </c>
      <c r="EY21" s="229">
        <v>0.49099999999999999</v>
      </c>
    </row>
    <row r="22" spans="1:155" ht="17.25" thickBot="1" x14ac:dyDescent="0.3">
      <c r="A22" s="226">
        <v>45936</v>
      </c>
      <c r="B22" s="227" t="s">
        <v>168</v>
      </c>
      <c r="C22" s="227" t="s">
        <v>230</v>
      </c>
      <c r="D22" s="231">
        <v>2556.5</v>
      </c>
      <c r="E22" s="231">
        <v>2552.3000000000002</v>
      </c>
      <c r="F22" s="228">
        <v>4.2</v>
      </c>
      <c r="G22" s="229">
        <v>1.6000000000000001E-3</v>
      </c>
      <c r="H22" s="231">
        <v>2541.8000000000002</v>
      </c>
      <c r="I22" s="231">
        <v>2544.9</v>
      </c>
      <c r="J22" s="228">
        <v>-3.1</v>
      </c>
      <c r="K22" s="229">
        <v>-1.1999999999999999E-3</v>
      </c>
      <c r="L22" s="231">
        <v>2556.5</v>
      </c>
      <c r="M22" s="231">
        <v>2552.3000000000002</v>
      </c>
      <c r="N22" s="228">
        <v>4.2</v>
      </c>
      <c r="O22" s="229">
        <v>1.6000000000000001E-3</v>
      </c>
      <c r="P22" s="231">
        <v>2549.8000000000002</v>
      </c>
      <c r="Q22" s="231">
        <v>2544.4</v>
      </c>
      <c r="R22" s="228">
        <v>5.4</v>
      </c>
      <c r="S22" s="229">
        <v>2.0999999999999999E-3</v>
      </c>
      <c r="T22" s="231">
        <v>2561.4</v>
      </c>
      <c r="U22" s="231">
        <v>2561.1999999999998</v>
      </c>
      <c r="V22" s="228">
        <v>0.2</v>
      </c>
      <c r="W22" s="229">
        <v>1E-4</v>
      </c>
      <c r="X22" s="228">
        <v>14.7</v>
      </c>
      <c r="Y22" s="228">
        <v>7.4</v>
      </c>
      <c r="Z22" s="228">
        <v>7.3</v>
      </c>
      <c r="AA22" s="229">
        <v>5.7999999999999996E-3</v>
      </c>
      <c r="AB22" s="228">
        <v>14.7</v>
      </c>
      <c r="AC22" s="228">
        <v>7.4</v>
      </c>
      <c r="AD22" s="228">
        <v>7.3</v>
      </c>
      <c r="AE22" s="229">
        <v>5.7999999999999996E-3</v>
      </c>
      <c r="AF22" s="228">
        <v>8</v>
      </c>
      <c r="AG22" s="228">
        <v>-0.5</v>
      </c>
      <c r="AH22" s="228">
        <v>8.5</v>
      </c>
      <c r="AI22" s="229">
        <v>3.0999999999999999E-3</v>
      </c>
      <c r="AJ22" s="228">
        <v>19.600000000000001</v>
      </c>
      <c r="AK22" s="228">
        <v>16.3</v>
      </c>
      <c r="AL22" s="228">
        <v>3.3</v>
      </c>
      <c r="AM22" s="229">
        <v>7.7000000000000002E-3</v>
      </c>
      <c r="AN22" s="231">
        <v>2546.14</v>
      </c>
      <c r="AO22" s="231">
        <v>2550.85</v>
      </c>
      <c r="AP22" s="228">
        <v>0</v>
      </c>
      <c r="AQ22" s="230">
        <v>4568</v>
      </c>
      <c r="AR22" s="230">
        <v>5772</v>
      </c>
      <c r="AS22" s="230">
        <v>-1204</v>
      </c>
      <c r="AT22" s="229">
        <v>-0.20860000000000001</v>
      </c>
      <c r="AU22" s="230">
        <v>4252</v>
      </c>
      <c r="AV22" s="230">
        <v>5637</v>
      </c>
      <c r="AW22" s="230">
        <v>-1385</v>
      </c>
      <c r="AX22" s="229">
        <v>-0.2457</v>
      </c>
      <c r="AY22" s="228">
        <v>302</v>
      </c>
      <c r="AZ22" s="228">
        <v>125</v>
      </c>
      <c r="BA22" s="228">
        <v>177</v>
      </c>
      <c r="BB22" s="229">
        <v>1.4159999999999999</v>
      </c>
      <c r="BC22" s="228">
        <v>14</v>
      </c>
      <c r="BD22" s="228">
        <v>10</v>
      </c>
      <c r="BE22" s="228">
        <v>4</v>
      </c>
      <c r="BF22" s="229">
        <v>0.4</v>
      </c>
      <c r="BG22" s="230">
        <v>11043</v>
      </c>
      <c r="BH22" s="230">
        <v>13275</v>
      </c>
      <c r="BI22" s="230">
        <v>-2232</v>
      </c>
      <c r="BJ22" s="229">
        <v>-0.1681</v>
      </c>
      <c r="BK22" s="230">
        <v>7249</v>
      </c>
      <c r="BL22" s="230">
        <v>10008</v>
      </c>
      <c r="BM22" s="230">
        <v>-2759</v>
      </c>
      <c r="BN22" s="229">
        <v>-0.2757</v>
      </c>
      <c r="BO22" s="230">
        <v>22860</v>
      </c>
      <c r="BP22" s="230">
        <v>29055</v>
      </c>
      <c r="BQ22" s="230">
        <v>-6195</v>
      </c>
      <c r="BR22" s="229">
        <v>-0.2132</v>
      </c>
      <c r="BS22" s="230">
        <v>872380</v>
      </c>
      <c r="BT22" s="230">
        <v>1285039</v>
      </c>
      <c r="BU22" s="230">
        <v>-412659</v>
      </c>
      <c r="BV22" s="229">
        <v>-0.3211</v>
      </c>
      <c r="BW22" s="230">
        <v>14598900</v>
      </c>
      <c r="BX22" s="230">
        <v>14887200</v>
      </c>
      <c r="BY22" s="230">
        <v>-288300</v>
      </c>
      <c r="BZ22" s="229">
        <v>-1.9400000000000001E-2</v>
      </c>
      <c r="CA22" s="230">
        <v>14246400</v>
      </c>
      <c r="CB22" s="230">
        <v>14566800</v>
      </c>
      <c r="CC22" s="230">
        <v>-320400</v>
      </c>
      <c r="CD22" s="229">
        <v>-2.1999999999999999E-2</v>
      </c>
      <c r="CE22" s="230">
        <v>346800</v>
      </c>
      <c r="CF22" s="230">
        <v>317400</v>
      </c>
      <c r="CG22" s="230">
        <v>29400</v>
      </c>
      <c r="CH22" s="229">
        <v>9.2600000000000002E-2</v>
      </c>
      <c r="CI22" s="230">
        <v>5700</v>
      </c>
      <c r="CJ22" s="230">
        <v>3000</v>
      </c>
      <c r="CK22" s="230">
        <v>2700</v>
      </c>
      <c r="CL22" s="229">
        <v>0.9</v>
      </c>
      <c r="CM22" s="230">
        <v>3600300</v>
      </c>
      <c r="CN22" s="230">
        <v>3660000</v>
      </c>
      <c r="CO22" s="230">
        <v>-59700</v>
      </c>
      <c r="CP22" s="229">
        <v>-1.6299999999999999E-2</v>
      </c>
      <c r="CQ22" s="230">
        <v>2358000</v>
      </c>
      <c r="CR22" s="230">
        <v>2383500</v>
      </c>
      <c r="CS22" s="230">
        <v>-25500</v>
      </c>
      <c r="CT22" s="229">
        <v>-1.0699999999999999E-2</v>
      </c>
      <c r="CU22" s="230">
        <v>20557200</v>
      </c>
      <c r="CV22" s="230">
        <v>20930700</v>
      </c>
      <c r="CW22" s="230">
        <v>-373500</v>
      </c>
      <c r="CX22" s="229">
        <v>-1.78E-2</v>
      </c>
      <c r="CY22" s="228">
        <v>18.579999999999998</v>
      </c>
      <c r="CZ22" s="228">
        <v>17.91</v>
      </c>
      <c r="DA22" s="228">
        <v>0.67</v>
      </c>
      <c r="DB22" s="228">
        <v>0.67</v>
      </c>
      <c r="DC22" s="228">
        <v>22.81</v>
      </c>
      <c r="DD22" s="228">
        <v>22.87</v>
      </c>
      <c r="DE22" s="228">
        <v>-4.2300000000000004</v>
      </c>
      <c r="DF22" s="228">
        <v>-0.06</v>
      </c>
      <c r="DG22" s="228">
        <v>18.489999999999998</v>
      </c>
      <c r="DH22" s="228">
        <v>17.72</v>
      </c>
      <c r="DI22" s="228">
        <v>0.77</v>
      </c>
      <c r="DJ22" s="228">
        <v>0.77</v>
      </c>
      <c r="DK22" s="228">
        <v>18.72</v>
      </c>
      <c r="DL22" s="228">
        <v>18.16</v>
      </c>
      <c r="DM22" s="228">
        <v>0.56000000000000005</v>
      </c>
      <c r="DN22" s="228">
        <v>0.56000000000000005</v>
      </c>
      <c r="DO22" s="228">
        <v>0.65</v>
      </c>
      <c r="DP22" s="228">
        <v>0.65</v>
      </c>
      <c r="DQ22" s="228">
        <v>0</v>
      </c>
      <c r="DR22" s="229">
        <v>0</v>
      </c>
      <c r="DS22" s="231">
        <v>2600</v>
      </c>
      <c r="DT22" s="231">
        <v>2500</v>
      </c>
      <c r="DU22" s="228">
        <v>0.66</v>
      </c>
      <c r="DV22" s="228">
        <v>0.75</v>
      </c>
      <c r="DW22" s="228">
        <v>-0.09</v>
      </c>
      <c r="DX22" s="229">
        <v>-0.12</v>
      </c>
      <c r="DY22" s="229">
        <v>2.41E-2</v>
      </c>
      <c r="DZ22" s="230">
        <v>320400</v>
      </c>
      <c r="EA22" s="229">
        <v>-2.5999999999999999E-3</v>
      </c>
      <c r="EB22" s="229">
        <v>2.41E-2</v>
      </c>
      <c r="EC22" s="228">
        <v>4.71</v>
      </c>
      <c r="ED22" s="229">
        <v>1.8E-3</v>
      </c>
      <c r="EE22" s="230">
        <v>546038</v>
      </c>
      <c r="EF22" s="230">
        <v>962482</v>
      </c>
      <c r="EG22" s="229">
        <v>-0.43269999999999997</v>
      </c>
      <c r="EH22" s="229">
        <v>0.62590000000000001</v>
      </c>
      <c r="EI22" s="231">
        <v>87147.89</v>
      </c>
      <c r="EJ22" s="231">
        <v>54947.49</v>
      </c>
      <c r="EK22" s="231">
        <v>34897.1</v>
      </c>
      <c r="EL22" s="231">
        <v>15970</v>
      </c>
      <c r="EM22" s="231">
        <v>176992.48</v>
      </c>
      <c r="EN22" s="231">
        <v>224567.57</v>
      </c>
      <c r="EO22" s="231">
        <v>-47575.09</v>
      </c>
      <c r="EP22" s="229">
        <v>-0.21190000000000001</v>
      </c>
      <c r="EQ22" s="231">
        <v>95401</v>
      </c>
      <c r="ER22" s="231">
        <v>58415</v>
      </c>
      <c r="ES22" s="231">
        <v>373198</v>
      </c>
      <c r="ET22" s="231">
        <v>89517840</v>
      </c>
      <c r="EU22" s="231">
        <v>527014</v>
      </c>
      <c r="EV22" s="231">
        <v>535835</v>
      </c>
      <c r="EW22" s="231">
        <v>-8821</v>
      </c>
      <c r="EX22" s="229">
        <v>-1.6500000000000001E-2</v>
      </c>
      <c r="EY22" s="229">
        <v>0.2296</v>
      </c>
    </row>
    <row r="23" spans="1:155" ht="17.25" thickBot="1" x14ac:dyDescent="0.3">
      <c r="A23" s="226">
        <v>45936</v>
      </c>
      <c r="B23" s="227" t="s">
        <v>172</v>
      </c>
      <c r="C23" s="227" t="s">
        <v>232</v>
      </c>
      <c r="D23" s="231">
        <v>1368.3</v>
      </c>
      <c r="E23" s="231">
        <v>1371</v>
      </c>
      <c r="F23" s="228">
        <v>-2.7</v>
      </c>
      <c r="G23" s="229">
        <v>-2E-3</v>
      </c>
      <c r="H23" s="231">
        <v>1363.4</v>
      </c>
      <c r="I23" s="231">
        <v>1365.2</v>
      </c>
      <c r="J23" s="228">
        <v>-1.8</v>
      </c>
      <c r="K23" s="229">
        <v>-1.2999999999999999E-3</v>
      </c>
      <c r="L23" s="231">
        <v>1368.3</v>
      </c>
      <c r="M23" s="231">
        <v>1371</v>
      </c>
      <c r="N23" s="228">
        <v>-2.7</v>
      </c>
      <c r="O23" s="229">
        <v>-2E-3</v>
      </c>
      <c r="P23" s="231">
        <v>1375.6</v>
      </c>
      <c r="Q23" s="231">
        <v>1378.3</v>
      </c>
      <c r="R23" s="228">
        <v>-2.7</v>
      </c>
      <c r="S23" s="229">
        <v>-2E-3</v>
      </c>
      <c r="T23" s="231">
        <v>1384.6</v>
      </c>
      <c r="U23" s="231">
        <v>1386.4</v>
      </c>
      <c r="V23" s="228">
        <v>-1.8</v>
      </c>
      <c r="W23" s="229">
        <v>-1.2999999999999999E-3</v>
      </c>
      <c r="X23" s="228">
        <v>4.9000000000000004</v>
      </c>
      <c r="Y23" s="228">
        <v>5.8</v>
      </c>
      <c r="Z23" s="228">
        <v>-0.9</v>
      </c>
      <c r="AA23" s="229">
        <v>3.5999999999999999E-3</v>
      </c>
      <c r="AB23" s="228">
        <v>4.9000000000000004</v>
      </c>
      <c r="AC23" s="228">
        <v>5.8</v>
      </c>
      <c r="AD23" s="228">
        <v>-0.9</v>
      </c>
      <c r="AE23" s="229">
        <v>3.5999999999999999E-3</v>
      </c>
      <c r="AF23" s="228">
        <v>12.2</v>
      </c>
      <c r="AG23" s="228">
        <v>13.1</v>
      </c>
      <c r="AH23" s="228">
        <v>-0.9</v>
      </c>
      <c r="AI23" s="229">
        <v>8.8999999999999999E-3</v>
      </c>
      <c r="AJ23" s="228">
        <v>21.2</v>
      </c>
      <c r="AK23" s="228">
        <v>21.2</v>
      </c>
      <c r="AL23" s="228">
        <v>0</v>
      </c>
      <c r="AM23" s="229">
        <v>1.55E-2</v>
      </c>
      <c r="AN23" s="231">
        <v>1370.48</v>
      </c>
      <c r="AO23" s="231">
        <v>1377.48</v>
      </c>
      <c r="AP23" s="228">
        <v>0</v>
      </c>
      <c r="AQ23" s="230">
        <v>20731</v>
      </c>
      <c r="AR23" s="230">
        <v>20169</v>
      </c>
      <c r="AS23" s="228">
        <v>562</v>
      </c>
      <c r="AT23" s="229">
        <v>2.7900000000000001E-2</v>
      </c>
      <c r="AU23" s="230">
        <v>20010</v>
      </c>
      <c r="AV23" s="230">
        <v>18662</v>
      </c>
      <c r="AW23" s="230">
        <v>1348</v>
      </c>
      <c r="AX23" s="229">
        <v>7.22E-2</v>
      </c>
      <c r="AY23" s="228">
        <v>654</v>
      </c>
      <c r="AZ23" s="228">
        <v>462</v>
      </c>
      <c r="BA23" s="228">
        <v>192</v>
      </c>
      <c r="BB23" s="229">
        <v>0.41560000000000002</v>
      </c>
      <c r="BC23" s="228">
        <v>67</v>
      </c>
      <c r="BD23" s="230">
        <v>1045</v>
      </c>
      <c r="BE23" s="228">
        <v>-978</v>
      </c>
      <c r="BF23" s="229">
        <v>-0.93589999999999995</v>
      </c>
      <c r="BG23" s="230">
        <v>48393</v>
      </c>
      <c r="BH23" s="230">
        <v>36399</v>
      </c>
      <c r="BI23" s="230">
        <v>11994</v>
      </c>
      <c r="BJ23" s="229">
        <v>0.32950000000000002</v>
      </c>
      <c r="BK23" s="230">
        <v>26895</v>
      </c>
      <c r="BL23" s="230">
        <v>22846</v>
      </c>
      <c r="BM23" s="230">
        <v>4049</v>
      </c>
      <c r="BN23" s="229">
        <v>0.1772</v>
      </c>
      <c r="BO23" s="230">
        <v>96019</v>
      </c>
      <c r="BP23" s="230">
        <v>79414</v>
      </c>
      <c r="BQ23" s="230">
        <v>16605</v>
      </c>
      <c r="BR23" s="229">
        <v>0.20910000000000001</v>
      </c>
      <c r="BS23" s="230">
        <v>14532621</v>
      </c>
      <c r="BT23" s="230">
        <v>12873433</v>
      </c>
      <c r="BU23" s="230">
        <v>1659188</v>
      </c>
      <c r="BV23" s="229">
        <v>0.12889999999999999</v>
      </c>
      <c r="BW23" s="230">
        <v>119729400</v>
      </c>
      <c r="BX23" s="230">
        <v>120013600</v>
      </c>
      <c r="BY23" s="230">
        <v>-284200</v>
      </c>
      <c r="BZ23" s="229">
        <v>-2.3999999999999998E-3</v>
      </c>
      <c r="CA23" s="230">
        <v>115868900</v>
      </c>
      <c r="CB23" s="230">
        <v>116315500</v>
      </c>
      <c r="CC23" s="230">
        <v>-446600</v>
      </c>
      <c r="CD23" s="229">
        <v>-3.8E-3</v>
      </c>
      <c r="CE23" s="230">
        <v>3087700</v>
      </c>
      <c r="CF23" s="230">
        <v>2963800</v>
      </c>
      <c r="CG23" s="230">
        <v>123900</v>
      </c>
      <c r="CH23" s="229">
        <v>4.1799999999999997E-2</v>
      </c>
      <c r="CI23" s="230">
        <v>772800</v>
      </c>
      <c r="CJ23" s="230">
        <v>734300</v>
      </c>
      <c r="CK23" s="230">
        <v>38500</v>
      </c>
      <c r="CL23" s="229">
        <v>5.2400000000000002E-2</v>
      </c>
      <c r="CM23" s="230">
        <v>22659700</v>
      </c>
      <c r="CN23" s="230">
        <v>18346300</v>
      </c>
      <c r="CO23" s="230">
        <v>4313400</v>
      </c>
      <c r="CP23" s="229">
        <v>0.2351</v>
      </c>
      <c r="CQ23" s="230">
        <v>16943500</v>
      </c>
      <c r="CR23" s="230">
        <v>14590800</v>
      </c>
      <c r="CS23" s="230">
        <v>2352700</v>
      </c>
      <c r="CT23" s="229">
        <v>0.16120000000000001</v>
      </c>
      <c r="CU23" s="230">
        <v>159332600</v>
      </c>
      <c r="CV23" s="230">
        <v>152950700</v>
      </c>
      <c r="CW23" s="230">
        <v>6381900</v>
      </c>
      <c r="CX23" s="229">
        <v>4.1700000000000001E-2</v>
      </c>
      <c r="CY23" s="228">
        <v>18.760000000000002</v>
      </c>
      <c r="CZ23" s="228">
        <v>17.149999999999999</v>
      </c>
      <c r="DA23" s="228">
        <v>1.61</v>
      </c>
      <c r="DB23" s="228">
        <v>1.61</v>
      </c>
      <c r="DC23" s="228">
        <v>21.13</v>
      </c>
      <c r="DD23" s="228">
        <v>21.18</v>
      </c>
      <c r="DE23" s="228">
        <v>-2.37</v>
      </c>
      <c r="DF23" s="228">
        <v>-0.05</v>
      </c>
      <c r="DG23" s="228">
        <v>18.72</v>
      </c>
      <c r="DH23" s="228">
        <v>17.010000000000002</v>
      </c>
      <c r="DI23" s="228">
        <v>1.71</v>
      </c>
      <c r="DJ23" s="228">
        <v>1.71</v>
      </c>
      <c r="DK23" s="228">
        <v>18.84</v>
      </c>
      <c r="DL23" s="228">
        <v>17.38</v>
      </c>
      <c r="DM23" s="228">
        <v>1.46</v>
      </c>
      <c r="DN23" s="228">
        <v>1.46</v>
      </c>
      <c r="DO23" s="228">
        <v>0.75</v>
      </c>
      <c r="DP23" s="228">
        <v>0.8</v>
      </c>
      <c r="DQ23" s="228">
        <v>-0.05</v>
      </c>
      <c r="DR23" s="229">
        <v>-6.25E-2</v>
      </c>
      <c r="DS23" s="231">
        <v>1400</v>
      </c>
      <c r="DT23" s="231">
        <v>1400</v>
      </c>
      <c r="DU23" s="228">
        <v>0.56000000000000005</v>
      </c>
      <c r="DV23" s="228">
        <v>0.63</v>
      </c>
      <c r="DW23" s="228">
        <v>-7.0000000000000007E-2</v>
      </c>
      <c r="DX23" s="229">
        <v>-0.1111</v>
      </c>
      <c r="DY23" s="229">
        <v>3.2199999999999999E-2</v>
      </c>
      <c r="DZ23" s="230">
        <v>3698100</v>
      </c>
      <c r="EA23" s="229">
        <v>5.3E-3</v>
      </c>
      <c r="EB23" s="229">
        <v>3.2199999999999999E-2</v>
      </c>
      <c r="EC23" s="228">
        <v>7</v>
      </c>
      <c r="ED23" s="229">
        <v>5.1000000000000004E-3</v>
      </c>
      <c r="EE23" s="230">
        <v>9138682</v>
      </c>
      <c r="EF23" s="230">
        <v>8477249</v>
      </c>
      <c r="EG23" s="229">
        <v>7.8E-2</v>
      </c>
      <c r="EH23" s="229">
        <v>0.62880000000000003</v>
      </c>
      <c r="EI23" s="231">
        <v>477680.61</v>
      </c>
      <c r="EJ23" s="231">
        <v>257215.48</v>
      </c>
      <c r="EK23" s="231">
        <v>198918.23</v>
      </c>
      <c r="EL23" s="231">
        <v>47214</v>
      </c>
      <c r="EM23" s="231">
        <v>933814.32</v>
      </c>
      <c r="EN23" s="231">
        <v>772969.86</v>
      </c>
      <c r="EO23" s="231">
        <v>160844.46</v>
      </c>
      <c r="EP23" s="229">
        <v>0.20810000000000001</v>
      </c>
      <c r="EQ23" s="231">
        <v>319121</v>
      </c>
      <c r="ER23" s="231">
        <v>229751</v>
      </c>
      <c r="ES23" s="231">
        <v>1638609</v>
      </c>
      <c r="ET23" s="231">
        <v>579785172</v>
      </c>
      <c r="EU23" s="231">
        <v>2187480</v>
      </c>
      <c r="EV23" s="231">
        <v>2102923</v>
      </c>
      <c r="EW23" s="231">
        <v>84557</v>
      </c>
      <c r="EX23" s="229">
        <v>4.02E-2</v>
      </c>
      <c r="EY23" s="229">
        <v>0.27479999999999999</v>
      </c>
    </row>
    <row r="24" spans="1:155" ht="17.25" thickBot="1" x14ac:dyDescent="0.3">
      <c r="A24" s="226">
        <v>45936</v>
      </c>
      <c r="B24" s="227" t="s">
        <v>215</v>
      </c>
      <c r="C24" s="227" t="s">
        <v>238</v>
      </c>
      <c r="D24" s="231">
        <v>5715</v>
      </c>
      <c r="E24" s="231">
        <v>5684.5</v>
      </c>
      <c r="F24" s="228">
        <v>30.5</v>
      </c>
      <c r="G24" s="229">
        <v>5.4000000000000003E-3</v>
      </c>
      <c r="H24" s="231">
        <v>5694.5</v>
      </c>
      <c r="I24" s="231">
        <v>5657</v>
      </c>
      <c r="J24" s="228">
        <v>37.5</v>
      </c>
      <c r="K24" s="229">
        <v>6.6E-3</v>
      </c>
      <c r="L24" s="231">
        <v>5715</v>
      </c>
      <c r="M24" s="231">
        <v>5684.5</v>
      </c>
      <c r="N24" s="228">
        <v>30.5</v>
      </c>
      <c r="O24" s="229">
        <v>5.4000000000000003E-3</v>
      </c>
      <c r="P24" s="231">
        <v>5735</v>
      </c>
      <c r="Q24" s="231">
        <v>5704</v>
      </c>
      <c r="R24" s="228">
        <v>31</v>
      </c>
      <c r="S24" s="229">
        <v>5.4000000000000003E-3</v>
      </c>
      <c r="T24" s="231">
        <v>5764</v>
      </c>
      <c r="U24" s="231">
        <v>5731</v>
      </c>
      <c r="V24" s="228">
        <v>33</v>
      </c>
      <c r="W24" s="229">
        <v>5.7999999999999996E-3</v>
      </c>
      <c r="X24" s="228">
        <v>20.5</v>
      </c>
      <c r="Y24" s="228">
        <v>27.5</v>
      </c>
      <c r="Z24" s="228">
        <v>-7</v>
      </c>
      <c r="AA24" s="229">
        <v>3.5999999999999999E-3</v>
      </c>
      <c r="AB24" s="228">
        <v>20.5</v>
      </c>
      <c r="AC24" s="228">
        <v>27.5</v>
      </c>
      <c r="AD24" s="228">
        <v>-7</v>
      </c>
      <c r="AE24" s="229">
        <v>3.5999999999999999E-3</v>
      </c>
      <c r="AF24" s="228">
        <v>40.5</v>
      </c>
      <c r="AG24" s="228">
        <v>47</v>
      </c>
      <c r="AH24" s="228">
        <v>-6.5</v>
      </c>
      <c r="AI24" s="229">
        <v>7.1000000000000004E-3</v>
      </c>
      <c r="AJ24" s="228">
        <v>69.5</v>
      </c>
      <c r="AK24" s="228">
        <v>74</v>
      </c>
      <c r="AL24" s="228">
        <v>-4.5</v>
      </c>
      <c r="AM24" s="229">
        <v>1.2200000000000001E-2</v>
      </c>
      <c r="AN24" s="231">
        <v>5681.26</v>
      </c>
      <c r="AO24" s="231">
        <v>5706.21</v>
      </c>
      <c r="AP24" s="228">
        <v>0</v>
      </c>
      <c r="AQ24" s="230">
        <v>4494</v>
      </c>
      <c r="AR24" s="230">
        <v>5000</v>
      </c>
      <c r="AS24" s="228">
        <v>-506</v>
      </c>
      <c r="AT24" s="229">
        <v>-0.1012</v>
      </c>
      <c r="AU24" s="230">
        <v>4303</v>
      </c>
      <c r="AV24" s="230">
        <v>4688</v>
      </c>
      <c r="AW24" s="228">
        <v>-385</v>
      </c>
      <c r="AX24" s="229">
        <v>-8.2100000000000006E-2</v>
      </c>
      <c r="AY24" s="228">
        <v>175</v>
      </c>
      <c r="AZ24" s="228">
        <v>268</v>
      </c>
      <c r="BA24" s="228">
        <v>-93</v>
      </c>
      <c r="BB24" s="229">
        <v>-0.34699999999999998</v>
      </c>
      <c r="BC24" s="228">
        <v>16</v>
      </c>
      <c r="BD24" s="228">
        <v>44</v>
      </c>
      <c r="BE24" s="228">
        <v>-28</v>
      </c>
      <c r="BF24" s="229">
        <v>-0.63639999999999997</v>
      </c>
      <c r="BG24" s="230">
        <v>13034</v>
      </c>
      <c r="BH24" s="230">
        <v>18107</v>
      </c>
      <c r="BI24" s="230">
        <v>-5073</v>
      </c>
      <c r="BJ24" s="229">
        <v>-0.2802</v>
      </c>
      <c r="BK24" s="230">
        <v>6311</v>
      </c>
      <c r="BL24" s="230">
        <v>5954</v>
      </c>
      <c r="BM24" s="228">
        <v>357</v>
      </c>
      <c r="BN24" s="229">
        <v>0.06</v>
      </c>
      <c r="BO24" s="230">
        <v>23839</v>
      </c>
      <c r="BP24" s="230">
        <v>29061</v>
      </c>
      <c r="BQ24" s="230">
        <v>-5222</v>
      </c>
      <c r="BR24" s="229">
        <v>-0.1797</v>
      </c>
      <c r="BS24" s="230">
        <v>652323</v>
      </c>
      <c r="BT24" s="230">
        <v>873570</v>
      </c>
      <c r="BU24" s="230">
        <v>-221247</v>
      </c>
      <c r="BV24" s="229">
        <v>-0.25330000000000003</v>
      </c>
      <c r="BW24" s="230">
        <v>8198400</v>
      </c>
      <c r="BX24" s="230">
        <v>8290050</v>
      </c>
      <c r="BY24" s="230">
        <v>-91650</v>
      </c>
      <c r="BZ24" s="229">
        <v>-1.11E-2</v>
      </c>
      <c r="CA24" s="230">
        <v>8088300</v>
      </c>
      <c r="CB24" s="230">
        <v>8183250</v>
      </c>
      <c r="CC24" s="230">
        <v>-94950</v>
      </c>
      <c r="CD24" s="229">
        <v>-1.1599999999999999E-2</v>
      </c>
      <c r="CE24" s="230">
        <v>102000</v>
      </c>
      <c r="CF24" s="230">
        <v>99300</v>
      </c>
      <c r="CG24" s="230">
        <v>2700</v>
      </c>
      <c r="CH24" s="229">
        <v>2.7199999999999998E-2</v>
      </c>
      <c r="CI24" s="230">
        <v>8100</v>
      </c>
      <c r="CJ24" s="230">
        <v>7500</v>
      </c>
      <c r="CK24" s="228">
        <v>600</v>
      </c>
      <c r="CL24" s="229">
        <v>0.08</v>
      </c>
      <c r="CM24" s="230">
        <v>1707600</v>
      </c>
      <c r="CN24" s="230">
        <v>1657500</v>
      </c>
      <c r="CO24" s="230">
        <v>50100</v>
      </c>
      <c r="CP24" s="229">
        <v>3.0200000000000001E-2</v>
      </c>
      <c r="CQ24" s="230">
        <v>1222650</v>
      </c>
      <c r="CR24" s="230">
        <v>1182900</v>
      </c>
      <c r="CS24" s="230">
        <v>39750</v>
      </c>
      <c r="CT24" s="229">
        <v>3.3599999999999998E-2</v>
      </c>
      <c r="CU24" s="230">
        <v>11128650</v>
      </c>
      <c r="CV24" s="230">
        <v>11130450</v>
      </c>
      <c r="CW24" s="230">
        <v>-1800</v>
      </c>
      <c r="CX24" s="229">
        <v>-2.0000000000000001E-4</v>
      </c>
      <c r="CY24" s="228">
        <v>20.41</v>
      </c>
      <c r="CZ24" s="228">
        <v>19.829999999999998</v>
      </c>
      <c r="DA24" s="228">
        <v>0.57999999999999996</v>
      </c>
      <c r="DB24" s="228">
        <v>0.57999999999999996</v>
      </c>
      <c r="DC24" s="228">
        <v>33.15</v>
      </c>
      <c r="DD24" s="228">
        <v>33.22</v>
      </c>
      <c r="DE24" s="228">
        <v>-12.74</v>
      </c>
      <c r="DF24" s="228">
        <v>-7.0000000000000007E-2</v>
      </c>
      <c r="DG24" s="228">
        <v>19.82</v>
      </c>
      <c r="DH24" s="228">
        <v>19.559999999999999</v>
      </c>
      <c r="DI24" s="228">
        <v>0.26</v>
      </c>
      <c r="DJ24" s="228">
        <v>0.26</v>
      </c>
      <c r="DK24" s="228">
        <v>21.64</v>
      </c>
      <c r="DL24" s="228">
        <v>20.68</v>
      </c>
      <c r="DM24" s="228">
        <v>0.96</v>
      </c>
      <c r="DN24" s="228">
        <v>0.96</v>
      </c>
      <c r="DO24" s="228">
        <v>0.72</v>
      </c>
      <c r="DP24" s="228">
        <v>0.71</v>
      </c>
      <c r="DQ24" s="228">
        <v>0.01</v>
      </c>
      <c r="DR24" s="229">
        <v>1.41E-2</v>
      </c>
      <c r="DS24" s="231">
        <v>6000</v>
      </c>
      <c r="DT24" s="231">
        <v>5500</v>
      </c>
      <c r="DU24" s="228">
        <v>0.48</v>
      </c>
      <c r="DV24" s="228">
        <v>0.33</v>
      </c>
      <c r="DW24" s="228">
        <v>0.15</v>
      </c>
      <c r="DX24" s="229">
        <v>0.45450000000000002</v>
      </c>
      <c r="DY24" s="229">
        <v>1.34E-2</v>
      </c>
      <c r="DZ24" s="230">
        <v>106800</v>
      </c>
      <c r="EA24" s="229">
        <v>3.5000000000000001E-3</v>
      </c>
      <c r="EB24" s="229">
        <v>1.34E-2</v>
      </c>
      <c r="EC24" s="228">
        <v>24.95</v>
      </c>
      <c r="ED24" s="229">
        <v>4.4000000000000003E-3</v>
      </c>
      <c r="EE24" s="230">
        <v>390617</v>
      </c>
      <c r="EF24" s="230">
        <v>605126</v>
      </c>
      <c r="EG24" s="229">
        <v>-0.35449999999999998</v>
      </c>
      <c r="EH24" s="229">
        <v>0.5988</v>
      </c>
      <c r="EI24" s="231">
        <v>114800.83</v>
      </c>
      <c r="EJ24" s="231">
        <v>52768.52</v>
      </c>
      <c r="EK24" s="231">
        <v>38305.480000000003</v>
      </c>
      <c r="EL24" s="231">
        <v>30814</v>
      </c>
      <c r="EM24" s="231">
        <v>205874.83</v>
      </c>
      <c r="EN24" s="231">
        <v>252088.45</v>
      </c>
      <c r="EO24" s="231">
        <v>-46213.62</v>
      </c>
      <c r="EP24" s="229">
        <v>-0.18329999999999999</v>
      </c>
      <c r="EQ24" s="231">
        <v>100127</v>
      </c>
      <c r="ER24" s="231">
        <v>68671</v>
      </c>
      <c r="ES24" s="231">
        <v>468563</v>
      </c>
      <c r="ET24" s="231">
        <v>32732860</v>
      </c>
      <c r="EU24" s="231">
        <v>637360</v>
      </c>
      <c r="EV24" s="231">
        <v>634887</v>
      </c>
      <c r="EW24" s="231">
        <v>2473</v>
      </c>
      <c r="EX24" s="229">
        <v>3.8999999999999998E-3</v>
      </c>
      <c r="EY24" s="229">
        <v>0.34</v>
      </c>
    </row>
    <row r="25" spans="1:155" ht="17.25" thickBot="1" x14ac:dyDescent="0.3">
      <c r="A25" s="226">
        <v>45936</v>
      </c>
      <c r="B25" s="227" t="s">
        <v>221</v>
      </c>
      <c r="C25" s="227" t="s">
        <v>240</v>
      </c>
      <c r="D25" s="231">
        <v>1471.1</v>
      </c>
      <c r="E25" s="231">
        <v>1442.3</v>
      </c>
      <c r="F25" s="228">
        <v>28.8</v>
      </c>
      <c r="G25" s="229">
        <v>0.02</v>
      </c>
      <c r="H25" s="231">
        <v>1476</v>
      </c>
      <c r="I25" s="231">
        <v>1446.6</v>
      </c>
      <c r="J25" s="228">
        <v>29.4</v>
      </c>
      <c r="K25" s="229">
        <v>2.0299999999999999E-2</v>
      </c>
      <c r="L25" s="231">
        <v>1471.1</v>
      </c>
      <c r="M25" s="231">
        <v>1442.3</v>
      </c>
      <c r="N25" s="228">
        <v>28.8</v>
      </c>
      <c r="O25" s="229">
        <v>0.02</v>
      </c>
      <c r="P25" s="231">
        <v>1461.4</v>
      </c>
      <c r="Q25" s="231">
        <v>1434.7</v>
      </c>
      <c r="R25" s="228">
        <v>26.7</v>
      </c>
      <c r="S25" s="229">
        <v>1.8599999999999998E-2</v>
      </c>
      <c r="T25" s="231">
        <v>1467.2</v>
      </c>
      <c r="U25" s="231">
        <v>1441</v>
      </c>
      <c r="V25" s="228">
        <v>26.2</v>
      </c>
      <c r="W25" s="229">
        <v>1.8200000000000001E-2</v>
      </c>
      <c r="X25" s="228">
        <v>-4.9000000000000004</v>
      </c>
      <c r="Y25" s="228">
        <v>-4.3</v>
      </c>
      <c r="Z25" s="228">
        <v>-0.6</v>
      </c>
      <c r="AA25" s="229">
        <v>-3.3E-3</v>
      </c>
      <c r="AB25" s="228">
        <v>-4.9000000000000004</v>
      </c>
      <c r="AC25" s="228">
        <v>-4.3</v>
      </c>
      <c r="AD25" s="228">
        <v>-0.6</v>
      </c>
      <c r="AE25" s="229">
        <v>-3.3E-3</v>
      </c>
      <c r="AF25" s="228">
        <v>-14.6</v>
      </c>
      <c r="AG25" s="228">
        <v>-11.9</v>
      </c>
      <c r="AH25" s="228">
        <v>-2.7</v>
      </c>
      <c r="AI25" s="229">
        <v>-9.9000000000000008E-3</v>
      </c>
      <c r="AJ25" s="228">
        <v>-8.8000000000000007</v>
      </c>
      <c r="AK25" s="228">
        <v>-5.6</v>
      </c>
      <c r="AL25" s="228">
        <v>-3.2</v>
      </c>
      <c r="AM25" s="229">
        <v>-6.0000000000000001E-3</v>
      </c>
      <c r="AN25" s="231">
        <v>1459.66</v>
      </c>
      <c r="AO25" s="231">
        <v>1451.31</v>
      </c>
      <c r="AP25" s="228">
        <v>0</v>
      </c>
      <c r="AQ25" s="230">
        <v>28556</v>
      </c>
      <c r="AR25" s="230">
        <v>16761</v>
      </c>
      <c r="AS25" s="230">
        <v>11795</v>
      </c>
      <c r="AT25" s="229">
        <v>0.70369999999999999</v>
      </c>
      <c r="AU25" s="230">
        <v>25859</v>
      </c>
      <c r="AV25" s="230">
        <v>15596</v>
      </c>
      <c r="AW25" s="230">
        <v>10263</v>
      </c>
      <c r="AX25" s="229">
        <v>0.65810000000000002</v>
      </c>
      <c r="AY25" s="230">
        <v>2512</v>
      </c>
      <c r="AZ25" s="228">
        <v>929</v>
      </c>
      <c r="BA25" s="230">
        <v>1583</v>
      </c>
      <c r="BB25" s="229">
        <v>1.704</v>
      </c>
      <c r="BC25" s="228">
        <v>185</v>
      </c>
      <c r="BD25" s="228">
        <v>236</v>
      </c>
      <c r="BE25" s="228">
        <v>-51</v>
      </c>
      <c r="BF25" s="229">
        <v>-0.21609999999999999</v>
      </c>
      <c r="BG25" s="230">
        <v>68191</v>
      </c>
      <c r="BH25" s="230">
        <v>36379</v>
      </c>
      <c r="BI25" s="230">
        <v>31812</v>
      </c>
      <c r="BJ25" s="229">
        <v>0.87450000000000006</v>
      </c>
      <c r="BK25" s="230">
        <v>34171</v>
      </c>
      <c r="BL25" s="230">
        <v>19065</v>
      </c>
      <c r="BM25" s="230">
        <v>15106</v>
      </c>
      <c r="BN25" s="229">
        <v>0.7923</v>
      </c>
      <c r="BO25" s="230">
        <v>130918</v>
      </c>
      <c r="BP25" s="230">
        <v>72205</v>
      </c>
      <c r="BQ25" s="230">
        <v>58713</v>
      </c>
      <c r="BR25" s="229">
        <v>0.81310000000000004</v>
      </c>
      <c r="BS25" s="230">
        <v>4709117</v>
      </c>
      <c r="BT25" s="230">
        <v>7016992</v>
      </c>
      <c r="BU25" s="230">
        <v>-2307875</v>
      </c>
      <c r="BV25" s="229">
        <v>-0.32890000000000003</v>
      </c>
      <c r="BW25" s="230">
        <v>61686000</v>
      </c>
      <c r="BX25" s="230">
        <v>61210000</v>
      </c>
      <c r="BY25" s="230">
        <v>476000</v>
      </c>
      <c r="BZ25" s="229">
        <v>7.7999999999999996E-3</v>
      </c>
      <c r="CA25" s="230">
        <v>41775600</v>
      </c>
      <c r="CB25" s="230">
        <v>41575200</v>
      </c>
      <c r="CC25" s="230">
        <v>200400</v>
      </c>
      <c r="CD25" s="229">
        <v>4.7999999999999996E-3</v>
      </c>
      <c r="CE25" s="230">
        <v>19802400</v>
      </c>
      <c r="CF25" s="230">
        <v>19527600</v>
      </c>
      <c r="CG25" s="230">
        <v>274800</v>
      </c>
      <c r="CH25" s="229">
        <v>1.41E-2</v>
      </c>
      <c r="CI25" s="230">
        <v>108000</v>
      </c>
      <c r="CJ25" s="230">
        <v>107200</v>
      </c>
      <c r="CK25" s="228">
        <v>800</v>
      </c>
      <c r="CL25" s="229">
        <v>7.4999999999999997E-3</v>
      </c>
      <c r="CM25" s="230">
        <v>16860800</v>
      </c>
      <c r="CN25" s="230">
        <v>17142800</v>
      </c>
      <c r="CO25" s="230">
        <v>-282000</v>
      </c>
      <c r="CP25" s="229">
        <v>-1.6500000000000001E-2</v>
      </c>
      <c r="CQ25" s="230">
        <v>14902400</v>
      </c>
      <c r="CR25" s="230">
        <v>15046800</v>
      </c>
      <c r="CS25" s="230">
        <v>-144400</v>
      </c>
      <c r="CT25" s="229">
        <v>-9.5999999999999992E-3</v>
      </c>
      <c r="CU25" s="230">
        <v>93449200</v>
      </c>
      <c r="CV25" s="230">
        <v>93399600</v>
      </c>
      <c r="CW25" s="230">
        <v>49600</v>
      </c>
      <c r="CX25" s="229">
        <v>5.0000000000000001E-4</v>
      </c>
      <c r="CY25" s="228">
        <v>27.34</v>
      </c>
      <c r="CZ25" s="228">
        <v>27.19</v>
      </c>
      <c r="DA25" s="228">
        <v>0.15</v>
      </c>
      <c r="DB25" s="228">
        <v>0.15</v>
      </c>
      <c r="DC25" s="228">
        <v>29.51</v>
      </c>
      <c r="DD25" s="228">
        <v>29.45</v>
      </c>
      <c r="DE25" s="228">
        <v>-2.17</v>
      </c>
      <c r="DF25" s="228">
        <v>0.06</v>
      </c>
      <c r="DG25" s="228">
        <v>27</v>
      </c>
      <c r="DH25" s="228">
        <v>27.22</v>
      </c>
      <c r="DI25" s="228">
        <v>-0.22</v>
      </c>
      <c r="DJ25" s="228">
        <v>-0.22</v>
      </c>
      <c r="DK25" s="228">
        <v>28.03</v>
      </c>
      <c r="DL25" s="228">
        <v>27.14</v>
      </c>
      <c r="DM25" s="228">
        <v>0.89</v>
      </c>
      <c r="DN25" s="228">
        <v>0.89</v>
      </c>
      <c r="DO25" s="228">
        <v>0.88</v>
      </c>
      <c r="DP25" s="228">
        <v>0.88</v>
      </c>
      <c r="DQ25" s="228">
        <v>0</v>
      </c>
      <c r="DR25" s="229">
        <v>0</v>
      </c>
      <c r="DS25" s="231">
        <v>1500</v>
      </c>
      <c r="DT25" s="231">
        <v>1500</v>
      </c>
      <c r="DU25" s="228">
        <v>0.5</v>
      </c>
      <c r="DV25" s="228">
        <v>0.52</v>
      </c>
      <c r="DW25" s="228">
        <v>-0.02</v>
      </c>
      <c r="DX25" s="229">
        <v>-3.85E-2</v>
      </c>
      <c r="DY25" s="229">
        <v>0.32279999999999998</v>
      </c>
      <c r="DZ25" s="230">
        <v>19634800</v>
      </c>
      <c r="EA25" s="229">
        <v>-6.6E-3</v>
      </c>
      <c r="EB25" s="229">
        <v>0.32279999999999998</v>
      </c>
      <c r="EC25" s="228">
        <v>-8.35</v>
      </c>
      <c r="ED25" s="229">
        <v>-5.7000000000000002E-3</v>
      </c>
      <c r="EE25" s="230">
        <v>2687853</v>
      </c>
      <c r="EF25" s="230">
        <v>4550091</v>
      </c>
      <c r="EG25" s="229">
        <v>-0.4093</v>
      </c>
      <c r="EH25" s="229">
        <v>0.57079999999999997</v>
      </c>
      <c r="EI25" s="231">
        <v>418752.61</v>
      </c>
      <c r="EJ25" s="231">
        <v>195669.1</v>
      </c>
      <c r="EK25" s="231">
        <v>166640.17000000001</v>
      </c>
      <c r="EL25" s="231">
        <v>51269</v>
      </c>
      <c r="EM25" s="231">
        <v>781061.88</v>
      </c>
      <c r="EN25" s="231">
        <v>426265.99</v>
      </c>
      <c r="EO25" s="231">
        <v>354795.89</v>
      </c>
      <c r="EP25" s="229">
        <v>0.83230000000000004</v>
      </c>
      <c r="EQ25" s="231">
        <v>259108</v>
      </c>
      <c r="ER25" s="231">
        <v>213734</v>
      </c>
      <c r="ES25" s="231">
        <v>905538</v>
      </c>
      <c r="ET25" s="231">
        <v>341789333</v>
      </c>
      <c r="EU25" s="231">
        <v>1378380</v>
      </c>
      <c r="EV25" s="231">
        <v>1359509</v>
      </c>
      <c r="EW25" s="231">
        <v>18871</v>
      </c>
      <c r="EX25" s="229">
        <v>1.3899999999999999E-2</v>
      </c>
      <c r="EY25" s="229">
        <v>0.27339999999999998</v>
      </c>
    </row>
    <row r="26" spans="1:155" ht="17.25" thickBot="1" x14ac:dyDescent="0.3">
      <c r="A26" s="226">
        <v>45936</v>
      </c>
      <c r="B26" s="227" t="s">
        <v>168</v>
      </c>
      <c r="C26" s="227" t="s">
        <v>242</v>
      </c>
      <c r="D26" s="228">
        <v>403.15</v>
      </c>
      <c r="E26" s="228">
        <v>406.15</v>
      </c>
      <c r="F26" s="228">
        <v>-3</v>
      </c>
      <c r="G26" s="229">
        <v>-7.4000000000000003E-3</v>
      </c>
      <c r="H26" s="228">
        <v>400.75</v>
      </c>
      <c r="I26" s="228">
        <v>404.3</v>
      </c>
      <c r="J26" s="228">
        <v>-3.55</v>
      </c>
      <c r="K26" s="229">
        <v>-8.8000000000000005E-3</v>
      </c>
      <c r="L26" s="228">
        <v>403.15</v>
      </c>
      <c r="M26" s="228">
        <v>406.15</v>
      </c>
      <c r="N26" s="228">
        <v>-3</v>
      </c>
      <c r="O26" s="229">
        <v>-7.4000000000000003E-3</v>
      </c>
      <c r="P26" s="228">
        <v>405.35</v>
      </c>
      <c r="Q26" s="228">
        <v>408.4</v>
      </c>
      <c r="R26" s="228">
        <v>-3.05</v>
      </c>
      <c r="S26" s="229">
        <v>-7.4999999999999997E-3</v>
      </c>
      <c r="T26" s="228">
        <v>407.85</v>
      </c>
      <c r="U26" s="228">
        <v>410.65</v>
      </c>
      <c r="V26" s="228">
        <v>-2.8</v>
      </c>
      <c r="W26" s="229">
        <v>-6.7999999999999996E-3</v>
      </c>
      <c r="X26" s="228">
        <v>2.4</v>
      </c>
      <c r="Y26" s="228">
        <v>1.85</v>
      </c>
      <c r="Z26" s="228">
        <v>0.55000000000000004</v>
      </c>
      <c r="AA26" s="229">
        <v>6.0000000000000001E-3</v>
      </c>
      <c r="AB26" s="228">
        <v>2.4</v>
      </c>
      <c r="AC26" s="228">
        <v>1.85</v>
      </c>
      <c r="AD26" s="228">
        <v>0.55000000000000004</v>
      </c>
      <c r="AE26" s="229">
        <v>6.0000000000000001E-3</v>
      </c>
      <c r="AF26" s="228">
        <v>4.5999999999999996</v>
      </c>
      <c r="AG26" s="228">
        <v>4.0999999999999996</v>
      </c>
      <c r="AH26" s="228">
        <v>0.5</v>
      </c>
      <c r="AI26" s="229">
        <v>1.15E-2</v>
      </c>
      <c r="AJ26" s="228">
        <v>7.1</v>
      </c>
      <c r="AK26" s="228">
        <v>6.35</v>
      </c>
      <c r="AL26" s="228">
        <v>0.75</v>
      </c>
      <c r="AM26" s="229">
        <v>1.77E-2</v>
      </c>
      <c r="AN26" s="228">
        <v>403.15</v>
      </c>
      <c r="AO26" s="228">
        <v>405.25</v>
      </c>
      <c r="AP26" s="228">
        <v>0</v>
      </c>
      <c r="AQ26" s="230">
        <v>9275</v>
      </c>
      <c r="AR26" s="230">
        <v>7691</v>
      </c>
      <c r="AS26" s="230">
        <v>1584</v>
      </c>
      <c r="AT26" s="229">
        <v>0.20599999999999999</v>
      </c>
      <c r="AU26" s="230">
        <v>8595</v>
      </c>
      <c r="AV26" s="230">
        <v>7428</v>
      </c>
      <c r="AW26" s="230">
        <v>1167</v>
      </c>
      <c r="AX26" s="229">
        <v>0.15709999999999999</v>
      </c>
      <c r="AY26" s="228">
        <v>568</v>
      </c>
      <c r="AZ26" s="228">
        <v>198</v>
      </c>
      <c r="BA26" s="228">
        <v>370</v>
      </c>
      <c r="BB26" s="229">
        <v>1.8687</v>
      </c>
      <c r="BC26" s="228">
        <v>112</v>
      </c>
      <c r="BD26" s="228">
        <v>65</v>
      </c>
      <c r="BE26" s="228">
        <v>47</v>
      </c>
      <c r="BF26" s="229">
        <v>0.72309999999999997</v>
      </c>
      <c r="BG26" s="230">
        <v>23445</v>
      </c>
      <c r="BH26" s="230">
        <v>24943</v>
      </c>
      <c r="BI26" s="230">
        <v>-1498</v>
      </c>
      <c r="BJ26" s="229">
        <v>-6.0100000000000001E-2</v>
      </c>
      <c r="BK26" s="230">
        <v>12538</v>
      </c>
      <c r="BL26" s="230">
        <v>14722</v>
      </c>
      <c r="BM26" s="230">
        <v>-2184</v>
      </c>
      <c r="BN26" s="229">
        <v>-0.14829999999999999</v>
      </c>
      <c r="BO26" s="230">
        <v>45258</v>
      </c>
      <c r="BP26" s="230">
        <v>47356</v>
      </c>
      <c r="BQ26" s="230">
        <v>-2098</v>
      </c>
      <c r="BR26" s="229">
        <v>-4.4299999999999999E-2</v>
      </c>
      <c r="BS26" s="230">
        <v>14517298</v>
      </c>
      <c r="BT26" s="230">
        <v>17617068</v>
      </c>
      <c r="BU26" s="230">
        <v>-3099770</v>
      </c>
      <c r="BV26" s="229">
        <v>-0.17599999999999999</v>
      </c>
      <c r="BW26" s="230">
        <v>114969600</v>
      </c>
      <c r="BX26" s="230">
        <v>110142400</v>
      </c>
      <c r="BY26" s="230">
        <v>4827200</v>
      </c>
      <c r="BZ26" s="229">
        <v>4.3799999999999999E-2</v>
      </c>
      <c r="CA26" s="230">
        <v>110899200</v>
      </c>
      <c r="CB26" s="230">
        <v>106704000</v>
      </c>
      <c r="CC26" s="230">
        <v>4195200</v>
      </c>
      <c r="CD26" s="229">
        <v>3.9300000000000002E-2</v>
      </c>
      <c r="CE26" s="230">
        <v>3846400</v>
      </c>
      <c r="CF26" s="230">
        <v>3360000</v>
      </c>
      <c r="CG26" s="230">
        <v>486400</v>
      </c>
      <c r="CH26" s="229">
        <v>0.14480000000000001</v>
      </c>
      <c r="CI26" s="230">
        <v>224000</v>
      </c>
      <c r="CJ26" s="230">
        <v>78400</v>
      </c>
      <c r="CK26" s="230">
        <v>145600</v>
      </c>
      <c r="CL26" s="229">
        <v>1.8571</v>
      </c>
      <c r="CM26" s="230">
        <v>40446400</v>
      </c>
      <c r="CN26" s="230">
        <v>35262400</v>
      </c>
      <c r="CO26" s="230">
        <v>5184000</v>
      </c>
      <c r="CP26" s="229">
        <v>0.14699999999999999</v>
      </c>
      <c r="CQ26" s="230">
        <v>28292800</v>
      </c>
      <c r="CR26" s="230">
        <v>24728000</v>
      </c>
      <c r="CS26" s="230">
        <v>3564800</v>
      </c>
      <c r="CT26" s="229">
        <v>0.14419999999999999</v>
      </c>
      <c r="CU26" s="230">
        <v>183708800</v>
      </c>
      <c r="CV26" s="230">
        <v>170132800</v>
      </c>
      <c r="CW26" s="230">
        <v>13576000</v>
      </c>
      <c r="CX26" s="229">
        <v>7.9799999999999996E-2</v>
      </c>
      <c r="CY26" s="228">
        <v>15.61</v>
      </c>
      <c r="CZ26" s="228">
        <v>14.28</v>
      </c>
      <c r="DA26" s="228">
        <v>1.33</v>
      </c>
      <c r="DB26" s="228">
        <v>1.33</v>
      </c>
      <c r="DC26" s="228">
        <v>19.86</v>
      </c>
      <c r="DD26" s="228">
        <v>19.87</v>
      </c>
      <c r="DE26" s="228">
        <v>-4.25</v>
      </c>
      <c r="DF26" s="228">
        <v>-0.01</v>
      </c>
      <c r="DG26" s="228">
        <v>15.75</v>
      </c>
      <c r="DH26" s="228">
        <v>14.16</v>
      </c>
      <c r="DI26" s="228">
        <v>1.59</v>
      </c>
      <c r="DJ26" s="228">
        <v>1.59</v>
      </c>
      <c r="DK26" s="228">
        <v>15.33</v>
      </c>
      <c r="DL26" s="228">
        <v>14.49</v>
      </c>
      <c r="DM26" s="228">
        <v>0.84</v>
      </c>
      <c r="DN26" s="228">
        <v>0.84</v>
      </c>
      <c r="DO26" s="228">
        <v>0.7</v>
      </c>
      <c r="DP26" s="228">
        <v>0.7</v>
      </c>
      <c r="DQ26" s="228">
        <v>0</v>
      </c>
      <c r="DR26" s="229">
        <v>0</v>
      </c>
      <c r="DS26" s="228">
        <v>410</v>
      </c>
      <c r="DT26" s="228">
        <v>400</v>
      </c>
      <c r="DU26" s="228">
        <v>0.53</v>
      </c>
      <c r="DV26" s="228">
        <v>0.59</v>
      </c>
      <c r="DW26" s="228">
        <v>-0.06</v>
      </c>
      <c r="DX26" s="229">
        <v>-0.1017</v>
      </c>
      <c r="DY26" s="229">
        <v>3.5400000000000001E-2</v>
      </c>
      <c r="DZ26" s="230">
        <v>3438400</v>
      </c>
      <c r="EA26" s="229">
        <v>5.4999999999999997E-3</v>
      </c>
      <c r="EB26" s="229">
        <v>3.5400000000000001E-2</v>
      </c>
      <c r="EC26" s="228">
        <v>2.1</v>
      </c>
      <c r="ED26" s="229">
        <v>5.1999999999999998E-3</v>
      </c>
      <c r="EE26" s="230">
        <v>10931239</v>
      </c>
      <c r="EF26" s="230">
        <v>13838444</v>
      </c>
      <c r="EG26" s="229">
        <v>-0.21010000000000001</v>
      </c>
      <c r="EH26" s="229">
        <v>0.753</v>
      </c>
      <c r="EI26" s="231">
        <v>155681.07999999999</v>
      </c>
      <c r="EJ26" s="231">
        <v>81055.320000000007</v>
      </c>
      <c r="EK26" s="231">
        <v>59855.07</v>
      </c>
      <c r="EL26" s="231">
        <v>22765</v>
      </c>
      <c r="EM26" s="231">
        <v>296591.46999999997</v>
      </c>
      <c r="EN26" s="231">
        <v>311101.32</v>
      </c>
      <c r="EO26" s="231">
        <v>-14509.85</v>
      </c>
      <c r="EP26" s="229">
        <v>-4.6600000000000003E-2</v>
      </c>
      <c r="EQ26" s="231">
        <v>168467</v>
      </c>
      <c r="ER26" s="231">
        <v>113448</v>
      </c>
      <c r="ES26" s="231">
        <v>463595</v>
      </c>
      <c r="ET26" s="231">
        <v>1251412841</v>
      </c>
      <c r="EU26" s="231">
        <v>745509</v>
      </c>
      <c r="EV26" s="231">
        <v>693943</v>
      </c>
      <c r="EW26" s="231">
        <v>51566</v>
      </c>
      <c r="EX26" s="229">
        <v>7.4300000000000005E-2</v>
      </c>
      <c r="EY26" s="229">
        <v>0.14680000000000001</v>
      </c>
    </row>
    <row r="27" spans="1:155" ht="17.25" thickBot="1" x14ac:dyDescent="0.3">
      <c r="A27" s="226">
        <v>45936</v>
      </c>
      <c r="B27" s="227" t="s">
        <v>175</v>
      </c>
      <c r="C27" s="227" t="s">
        <v>571</v>
      </c>
      <c r="D27" s="228">
        <v>308.05</v>
      </c>
      <c r="E27" s="228">
        <v>303.2</v>
      </c>
      <c r="F27" s="228">
        <v>4.8499999999999996</v>
      </c>
      <c r="G27" s="229">
        <v>1.6E-2</v>
      </c>
      <c r="H27" s="228">
        <v>306.25</v>
      </c>
      <c r="I27" s="228">
        <v>301.7</v>
      </c>
      <c r="J27" s="228">
        <v>4.55</v>
      </c>
      <c r="K27" s="229">
        <v>1.5100000000000001E-2</v>
      </c>
      <c r="L27" s="228">
        <v>308.05</v>
      </c>
      <c r="M27" s="228">
        <v>303.2</v>
      </c>
      <c r="N27" s="228">
        <v>4.8499999999999996</v>
      </c>
      <c r="O27" s="229">
        <v>1.6E-2</v>
      </c>
      <c r="P27" s="228">
        <v>309.64999999999998</v>
      </c>
      <c r="Q27" s="228">
        <v>304.75</v>
      </c>
      <c r="R27" s="228">
        <v>4.9000000000000004</v>
      </c>
      <c r="S27" s="229">
        <v>1.61E-2</v>
      </c>
      <c r="T27" s="228">
        <v>311.7</v>
      </c>
      <c r="U27" s="228">
        <v>306.75</v>
      </c>
      <c r="V27" s="228">
        <v>4.95</v>
      </c>
      <c r="W27" s="229">
        <v>1.61E-2</v>
      </c>
      <c r="X27" s="228">
        <v>1.8</v>
      </c>
      <c r="Y27" s="228">
        <v>1.5</v>
      </c>
      <c r="Z27" s="228">
        <v>0.3</v>
      </c>
      <c r="AA27" s="229">
        <v>5.8999999999999999E-3</v>
      </c>
      <c r="AB27" s="228">
        <v>1.8</v>
      </c>
      <c r="AC27" s="228">
        <v>1.5</v>
      </c>
      <c r="AD27" s="228">
        <v>0.3</v>
      </c>
      <c r="AE27" s="229">
        <v>5.8999999999999999E-3</v>
      </c>
      <c r="AF27" s="228">
        <v>3.4</v>
      </c>
      <c r="AG27" s="228">
        <v>3.05</v>
      </c>
      <c r="AH27" s="228">
        <v>0.35</v>
      </c>
      <c r="AI27" s="229">
        <v>1.11E-2</v>
      </c>
      <c r="AJ27" s="228">
        <v>5.45</v>
      </c>
      <c r="AK27" s="228">
        <v>5.05</v>
      </c>
      <c r="AL27" s="228">
        <v>0.4</v>
      </c>
      <c r="AM27" s="229">
        <v>1.78E-2</v>
      </c>
      <c r="AN27" s="228">
        <v>306.20999999999998</v>
      </c>
      <c r="AO27" s="228">
        <v>307.52999999999997</v>
      </c>
      <c r="AP27" s="228">
        <v>0</v>
      </c>
      <c r="AQ27" s="230">
        <v>7917</v>
      </c>
      <c r="AR27" s="230">
        <v>5089</v>
      </c>
      <c r="AS27" s="230">
        <v>2828</v>
      </c>
      <c r="AT27" s="229">
        <v>0.55569999999999997</v>
      </c>
      <c r="AU27" s="230">
        <v>7148</v>
      </c>
      <c r="AV27" s="230">
        <v>4599</v>
      </c>
      <c r="AW27" s="230">
        <v>2549</v>
      </c>
      <c r="AX27" s="229">
        <v>0.55430000000000001</v>
      </c>
      <c r="AY27" s="228">
        <v>664</v>
      </c>
      <c r="AZ27" s="228">
        <v>392</v>
      </c>
      <c r="BA27" s="228">
        <v>272</v>
      </c>
      <c r="BB27" s="229">
        <v>0.69389999999999996</v>
      </c>
      <c r="BC27" s="228">
        <v>105</v>
      </c>
      <c r="BD27" s="228">
        <v>98</v>
      </c>
      <c r="BE27" s="228">
        <v>7</v>
      </c>
      <c r="BF27" s="229">
        <v>7.1400000000000005E-2</v>
      </c>
      <c r="BG27" s="230">
        <v>24317</v>
      </c>
      <c r="BH27" s="230">
        <v>15833</v>
      </c>
      <c r="BI27" s="230">
        <v>8484</v>
      </c>
      <c r="BJ27" s="229">
        <v>0.53580000000000005</v>
      </c>
      <c r="BK27" s="230">
        <v>9261</v>
      </c>
      <c r="BL27" s="230">
        <v>7028</v>
      </c>
      <c r="BM27" s="230">
        <v>2233</v>
      </c>
      <c r="BN27" s="229">
        <v>0.31769999999999998</v>
      </c>
      <c r="BO27" s="230">
        <v>41495</v>
      </c>
      <c r="BP27" s="230">
        <v>27950</v>
      </c>
      <c r="BQ27" s="230">
        <v>13545</v>
      </c>
      <c r="BR27" s="229">
        <v>0.48459999999999998</v>
      </c>
      <c r="BS27" s="230">
        <v>9970853</v>
      </c>
      <c r="BT27" s="230">
        <v>9464501</v>
      </c>
      <c r="BU27" s="230">
        <v>506352</v>
      </c>
      <c r="BV27" s="229">
        <v>5.3499999999999999E-2</v>
      </c>
      <c r="BW27" s="230">
        <v>138184700</v>
      </c>
      <c r="BX27" s="230">
        <v>138457300</v>
      </c>
      <c r="BY27" s="230">
        <v>-272600</v>
      </c>
      <c r="BZ27" s="229">
        <v>-2E-3</v>
      </c>
      <c r="CA27" s="230">
        <v>130925550</v>
      </c>
      <c r="CB27" s="230">
        <v>131520100</v>
      </c>
      <c r="CC27" s="230">
        <v>-594550</v>
      </c>
      <c r="CD27" s="229">
        <v>-4.4999999999999997E-3</v>
      </c>
      <c r="CE27" s="230">
        <v>6857300</v>
      </c>
      <c r="CF27" s="230">
        <v>6655200</v>
      </c>
      <c r="CG27" s="230">
        <v>202100</v>
      </c>
      <c r="CH27" s="229">
        <v>3.04E-2</v>
      </c>
      <c r="CI27" s="230">
        <v>401850</v>
      </c>
      <c r="CJ27" s="230">
        <v>282000</v>
      </c>
      <c r="CK27" s="230">
        <v>119850</v>
      </c>
      <c r="CL27" s="229">
        <v>0.42499999999999999</v>
      </c>
      <c r="CM27" s="230">
        <v>46983550</v>
      </c>
      <c r="CN27" s="230">
        <v>47383050</v>
      </c>
      <c r="CO27" s="230">
        <v>-399500</v>
      </c>
      <c r="CP27" s="229">
        <v>-8.3999999999999995E-3</v>
      </c>
      <c r="CQ27" s="230">
        <v>35900950</v>
      </c>
      <c r="CR27" s="230">
        <v>35691800</v>
      </c>
      <c r="CS27" s="230">
        <v>209150</v>
      </c>
      <c r="CT27" s="229">
        <v>5.8999999999999999E-3</v>
      </c>
      <c r="CU27" s="230">
        <v>221069200</v>
      </c>
      <c r="CV27" s="230">
        <v>221532150</v>
      </c>
      <c r="CW27" s="230">
        <v>-462950</v>
      </c>
      <c r="CX27" s="229">
        <v>-2.0999999999999999E-3</v>
      </c>
      <c r="CY27" s="228">
        <v>25.71</v>
      </c>
      <c r="CZ27" s="228">
        <v>25.24</v>
      </c>
      <c r="DA27" s="228">
        <v>0.47</v>
      </c>
      <c r="DB27" s="228">
        <v>0.47</v>
      </c>
      <c r="DC27" s="228">
        <v>36.56</v>
      </c>
      <c r="DD27" s="228">
        <v>36.590000000000003</v>
      </c>
      <c r="DE27" s="228">
        <v>-10.85</v>
      </c>
      <c r="DF27" s="228">
        <v>-0.03</v>
      </c>
      <c r="DG27" s="228">
        <v>25.6</v>
      </c>
      <c r="DH27" s="228">
        <v>25.34</v>
      </c>
      <c r="DI27" s="228">
        <v>0.26</v>
      </c>
      <c r="DJ27" s="228">
        <v>0.26</v>
      </c>
      <c r="DK27" s="228">
        <v>26.01</v>
      </c>
      <c r="DL27" s="228">
        <v>25.01</v>
      </c>
      <c r="DM27" s="228">
        <v>1</v>
      </c>
      <c r="DN27" s="228">
        <v>1</v>
      </c>
      <c r="DO27" s="228">
        <v>0.76</v>
      </c>
      <c r="DP27" s="228">
        <v>0.75</v>
      </c>
      <c r="DQ27" s="228">
        <v>0.01</v>
      </c>
      <c r="DR27" s="229">
        <v>1.3299999999999999E-2</v>
      </c>
      <c r="DS27" s="228">
        <v>320</v>
      </c>
      <c r="DT27" s="228">
        <v>300</v>
      </c>
      <c r="DU27" s="228">
        <v>0.38</v>
      </c>
      <c r="DV27" s="228">
        <v>0.44</v>
      </c>
      <c r="DW27" s="228">
        <v>-0.06</v>
      </c>
      <c r="DX27" s="229">
        <v>-0.13639999999999999</v>
      </c>
      <c r="DY27" s="229">
        <v>5.2499999999999998E-2</v>
      </c>
      <c r="DZ27" s="230">
        <v>6937200</v>
      </c>
      <c r="EA27" s="229">
        <v>5.1999999999999998E-3</v>
      </c>
      <c r="EB27" s="229">
        <v>5.2499999999999998E-2</v>
      </c>
      <c r="EC27" s="228">
        <v>1.32</v>
      </c>
      <c r="ED27" s="229">
        <v>4.3E-3</v>
      </c>
      <c r="EE27" s="230">
        <v>4798226</v>
      </c>
      <c r="EF27" s="230">
        <v>4947701</v>
      </c>
      <c r="EG27" s="229">
        <v>-3.0200000000000001E-2</v>
      </c>
      <c r="EH27" s="229">
        <v>0.48120000000000002</v>
      </c>
      <c r="EI27" s="231">
        <v>182973.33</v>
      </c>
      <c r="EJ27" s="231">
        <v>65755.89</v>
      </c>
      <c r="EK27" s="231">
        <v>57000.24</v>
      </c>
      <c r="EL27" s="231">
        <v>17590</v>
      </c>
      <c r="EM27" s="231">
        <v>305729.46000000002</v>
      </c>
      <c r="EN27" s="231">
        <v>204190.34</v>
      </c>
      <c r="EO27" s="231">
        <v>101539.12</v>
      </c>
      <c r="EP27" s="229">
        <v>0.49730000000000002</v>
      </c>
      <c r="EQ27" s="231">
        <v>151509</v>
      </c>
      <c r="ER27" s="231">
        <v>109693</v>
      </c>
      <c r="ES27" s="231">
        <v>425802</v>
      </c>
      <c r="ET27" s="231">
        <v>446457456</v>
      </c>
      <c r="EU27" s="231">
        <v>687005</v>
      </c>
      <c r="EV27" s="231">
        <v>681552</v>
      </c>
      <c r="EW27" s="231">
        <v>5453</v>
      </c>
      <c r="EX27" s="229">
        <v>8.0000000000000002E-3</v>
      </c>
      <c r="EY27" s="229">
        <v>0.49519999999999997</v>
      </c>
    </row>
    <row r="28" spans="1:155" ht="17.25" thickBot="1" x14ac:dyDescent="0.3">
      <c r="A28" s="226">
        <v>45936</v>
      </c>
      <c r="B28" s="227" t="s">
        <v>227</v>
      </c>
      <c r="C28" s="227" t="s">
        <v>244</v>
      </c>
      <c r="D28" s="231">
        <v>1167.5</v>
      </c>
      <c r="E28" s="231">
        <v>1169.3</v>
      </c>
      <c r="F28" s="228">
        <v>-1.8</v>
      </c>
      <c r="G28" s="229">
        <v>-1.5E-3</v>
      </c>
      <c r="H28" s="231">
        <v>1159.9000000000001</v>
      </c>
      <c r="I28" s="231">
        <v>1161.7</v>
      </c>
      <c r="J28" s="228">
        <v>-1.8</v>
      </c>
      <c r="K28" s="229">
        <v>-1.5E-3</v>
      </c>
      <c r="L28" s="231">
        <v>1167.5</v>
      </c>
      <c r="M28" s="231">
        <v>1169.3</v>
      </c>
      <c r="N28" s="228">
        <v>-1.8</v>
      </c>
      <c r="O28" s="229">
        <v>-1.5E-3</v>
      </c>
      <c r="P28" s="231">
        <v>1173.5999999999999</v>
      </c>
      <c r="Q28" s="231">
        <v>1175.3</v>
      </c>
      <c r="R28" s="228">
        <v>-1.7</v>
      </c>
      <c r="S28" s="229">
        <v>-1.4E-3</v>
      </c>
      <c r="T28" s="231">
        <v>1178.9000000000001</v>
      </c>
      <c r="U28" s="231">
        <v>1177</v>
      </c>
      <c r="V28" s="228">
        <v>1.9</v>
      </c>
      <c r="W28" s="229">
        <v>1.6000000000000001E-3</v>
      </c>
      <c r="X28" s="228">
        <v>7.6</v>
      </c>
      <c r="Y28" s="228">
        <v>7.6</v>
      </c>
      <c r="Z28" s="228">
        <v>0</v>
      </c>
      <c r="AA28" s="229">
        <v>6.6E-3</v>
      </c>
      <c r="AB28" s="228">
        <v>7.6</v>
      </c>
      <c r="AC28" s="228">
        <v>7.6</v>
      </c>
      <c r="AD28" s="228">
        <v>0</v>
      </c>
      <c r="AE28" s="229">
        <v>6.6E-3</v>
      </c>
      <c r="AF28" s="228">
        <v>13.7</v>
      </c>
      <c r="AG28" s="228">
        <v>13.6</v>
      </c>
      <c r="AH28" s="228">
        <v>0.1</v>
      </c>
      <c r="AI28" s="229">
        <v>1.18E-2</v>
      </c>
      <c r="AJ28" s="228">
        <v>19</v>
      </c>
      <c r="AK28" s="228">
        <v>15.3</v>
      </c>
      <c r="AL28" s="228">
        <v>3.7</v>
      </c>
      <c r="AM28" s="229">
        <v>1.6400000000000001E-2</v>
      </c>
      <c r="AN28" s="231">
        <v>1162.19</v>
      </c>
      <c r="AO28" s="231">
        <v>1167.43</v>
      </c>
      <c r="AP28" s="228">
        <v>0</v>
      </c>
      <c r="AQ28" s="230">
        <v>2841</v>
      </c>
      <c r="AR28" s="230">
        <v>7030</v>
      </c>
      <c r="AS28" s="230">
        <v>-4189</v>
      </c>
      <c r="AT28" s="229">
        <v>-0.59589999999999999</v>
      </c>
      <c r="AU28" s="230">
        <v>2707</v>
      </c>
      <c r="AV28" s="230">
        <v>6799</v>
      </c>
      <c r="AW28" s="230">
        <v>-4092</v>
      </c>
      <c r="AX28" s="229">
        <v>-0.60189999999999999</v>
      </c>
      <c r="AY28" s="228">
        <v>118</v>
      </c>
      <c r="AZ28" s="228">
        <v>208</v>
      </c>
      <c r="BA28" s="228">
        <v>-90</v>
      </c>
      <c r="BB28" s="229">
        <v>-0.43269999999999997</v>
      </c>
      <c r="BC28" s="228">
        <v>16</v>
      </c>
      <c r="BD28" s="228">
        <v>23</v>
      </c>
      <c r="BE28" s="228">
        <v>-7</v>
      </c>
      <c r="BF28" s="229">
        <v>-0.30430000000000001</v>
      </c>
      <c r="BG28" s="230">
        <v>9351</v>
      </c>
      <c r="BH28" s="230">
        <v>23775</v>
      </c>
      <c r="BI28" s="230">
        <v>-14424</v>
      </c>
      <c r="BJ28" s="229">
        <v>-0.60670000000000002</v>
      </c>
      <c r="BK28" s="230">
        <v>4719</v>
      </c>
      <c r="BL28" s="230">
        <v>10112</v>
      </c>
      <c r="BM28" s="230">
        <v>-5393</v>
      </c>
      <c r="BN28" s="229">
        <v>-0.5333</v>
      </c>
      <c r="BO28" s="230">
        <v>16911</v>
      </c>
      <c r="BP28" s="230">
        <v>40917</v>
      </c>
      <c r="BQ28" s="230">
        <v>-24006</v>
      </c>
      <c r="BR28" s="229">
        <v>-0.5867</v>
      </c>
      <c r="BS28" s="230">
        <v>1050171</v>
      </c>
      <c r="BT28" s="230">
        <v>2271185</v>
      </c>
      <c r="BU28" s="230">
        <v>-1221014</v>
      </c>
      <c r="BV28" s="229">
        <v>-0.53759999999999997</v>
      </c>
      <c r="BW28" s="230">
        <v>44828100</v>
      </c>
      <c r="BX28" s="230">
        <v>44777475</v>
      </c>
      <c r="BY28" s="230">
        <v>50625</v>
      </c>
      <c r="BZ28" s="229">
        <v>1.1000000000000001E-3</v>
      </c>
      <c r="CA28" s="230">
        <v>44629650</v>
      </c>
      <c r="CB28" s="230">
        <v>44595900</v>
      </c>
      <c r="CC28" s="230">
        <v>33750</v>
      </c>
      <c r="CD28" s="229">
        <v>8.0000000000000004E-4</v>
      </c>
      <c r="CE28" s="230">
        <v>184275</v>
      </c>
      <c r="CF28" s="230">
        <v>170775</v>
      </c>
      <c r="CG28" s="230">
        <v>13500</v>
      </c>
      <c r="CH28" s="229">
        <v>7.9100000000000004E-2</v>
      </c>
      <c r="CI28" s="230">
        <v>14175</v>
      </c>
      <c r="CJ28" s="230">
        <v>10800</v>
      </c>
      <c r="CK28" s="230">
        <v>3375</v>
      </c>
      <c r="CL28" s="229">
        <v>0.3125</v>
      </c>
      <c r="CM28" s="230">
        <v>4926825</v>
      </c>
      <c r="CN28" s="230">
        <v>4807350</v>
      </c>
      <c r="CO28" s="230">
        <v>119475</v>
      </c>
      <c r="CP28" s="229">
        <v>2.4899999999999999E-2</v>
      </c>
      <c r="CQ28" s="230">
        <v>3192750</v>
      </c>
      <c r="CR28" s="230">
        <v>3062475</v>
      </c>
      <c r="CS28" s="230">
        <v>130275</v>
      </c>
      <c r="CT28" s="229">
        <v>4.2500000000000003E-2</v>
      </c>
      <c r="CU28" s="230">
        <v>52947675</v>
      </c>
      <c r="CV28" s="230">
        <v>52647300</v>
      </c>
      <c r="CW28" s="230">
        <v>300375</v>
      </c>
      <c r="CX28" s="229">
        <v>5.7000000000000002E-3</v>
      </c>
      <c r="CY28" s="228">
        <v>24.09</v>
      </c>
      <c r="CZ28" s="228">
        <v>23.18</v>
      </c>
      <c r="DA28" s="228">
        <v>0.91</v>
      </c>
      <c r="DB28" s="228">
        <v>0.91</v>
      </c>
      <c r="DC28" s="228">
        <v>29.73</v>
      </c>
      <c r="DD28" s="228">
        <v>29.8</v>
      </c>
      <c r="DE28" s="228">
        <v>-5.64</v>
      </c>
      <c r="DF28" s="228">
        <v>-7.0000000000000007E-2</v>
      </c>
      <c r="DG28" s="228">
        <v>24.12</v>
      </c>
      <c r="DH28" s="228">
        <v>23.06</v>
      </c>
      <c r="DI28" s="228">
        <v>1.06</v>
      </c>
      <c r="DJ28" s="228">
        <v>1.06</v>
      </c>
      <c r="DK28" s="228">
        <v>24.03</v>
      </c>
      <c r="DL28" s="228">
        <v>23.46</v>
      </c>
      <c r="DM28" s="228">
        <v>0.56999999999999995</v>
      </c>
      <c r="DN28" s="228">
        <v>0.56999999999999995</v>
      </c>
      <c r="DO28" s="228">
        <v>0.65</v>
      </c>
      <c r="DP28" s="228">
        <v>0.64</v>
      </c>
      <c r="DQ28" s="228">
        <v>0.01</v>
      </c>
      <c r="DR28" s="229">
        <v>1.5599999999999999E-2</v>
      </c>
      <c r="DS28" s="231">
        <v>1300</v>
      </c>
      <c r="DT28" s="231">
        <v>1100</v>
      </c>
      <c r="DU28" s="228">
        <v>0.5</v>
      </c>
      <c r="DV28" s="228">
        <v>0.43</v>
      </c>
      <c r="DW28" s="228">
        <v>7.0000000000000007E-2</v>
      </c>
      <c r="DX28" s="229">
        <v>0.1628</v>
      </c>
      <c r="DY28" s="229">
        <v>4.4000000000000003E-3</v>
      </c>
      <c r="DZ28" s="230">
        <v>181575</v>
      </c>
      <c r="EA28" s="229">
        <v>5.1999999999999998E-3</v>
      </c>
      <c r="EB28" s="229">
        <v>4.4000000000000003E-3</v>
      </c>
      <c r="EC28" s="228">
        <v>5.24</v>
      </c>
      <c r="ED28" s="229">
        <v>4.4999999999999997E-3</v>
      </c>
      <c r="EE28" s="230">
        <v>448797</v>
      </c>
      <c r="EF28" s="230">
        <v>839693</v>
      </c>
      <c r="EG28" s="229">
        <v>-0.46550000000000002</v>
      </c>
      <c r="EH28" s="229">
        <v>0.4274</v>
      </c>
      <c r="EI28" s="231">
        <v>76778.720000000001</v>
      </c>
      <c r="EJ28" s="231">
        <v>36595.79</v>
      </c>
      <c r="EK28" s="231">
        <v>22292.49</v>
      </c>
      <c r="EL28" s="231">
        <v>16978</v>
      </c>
      <c r="EM28" s="231">
        <v>135667</v>
      </c>
      <c r="EN28" s="231">
        <v>329096.82</v>
      </c>
      <c r="EO28" s="231">
        <v>-193429.82</v>
      </c>
      <c r="EP28" s="229">
        <v>-0.58779999999999999</v>
      </c>
      <c r="EQ28" s="231">
        <v>59398</v>
      </c>
      <c r="ER28" s="231">
        <v>34877</v>
      </c>
      <c r="ES28" s="231">
        <v>523381</v>
      </c>
      <c r="ET28" s="231">
        <v>133166619</v>
      </c>
      <c r="EU28" s="231">
        <v>617656</v>
      </c>
      <c r="EV28" s="231">
        <v>614921</v>
      </c>
      <c r="EW28" s="231">
        <v>2735</v>
      </c>
      <c r="EX28" s="229">
        <v>4.4000000000000003E-3</v>
      </c>
      <c r="EY28" s="229">
        <v>0.39760000000000001</v>
      </c>
    </row>
    <row r="29" spans="1:155" ht="17.25" thickBot="1" x14ac:dyDescent="0.3">
      <c r="A29" s="226">
        <v>45936</v>
      </c>
      <c r="B29" s="227" t="s">
        <v>172</v>
      </c>
      <c r="C29" s="227" t="s">
        <v>246</v>
      </c>
      <c r="D29" s="231">
        <v>2152.9</v>
      </c>
      <c r="E29" s="231">
        <v>2108.8000000000002</v>
      </c>
      <c r="F29" s="228">
        <v>44.1</v>
      </c>
      <c r="G29" s="229">
        <v>2.0899999999999998E-2</v>
      </c>
      <c r="H29" s="231">
        <v>2146</v>
      </c>
      <c r="I29" s="231">
        <v>2100.5</v>
      </c>
      <c r="J29" s="228">
        <v>45.5</v>
      </c>
      <c r="K29" s="229">
        <v>2.1700000000000001E-2</v>
      </c>
      <c r="L29" s="231">
        <v>2152.9</v>
      </c>
      <c r="M29" s="231">
        <v>2108.8000000000002</v>
      </c>
      <c r="N29" s="228">
        <v>44.1</v>
      </c>
      <c r="O29" s="229">
        <v>2.0899999999999998E-2</v>
      </c>
      <c r="P29" s="231">
        <v>2163.9</v>
      </c>
      <c r="Q29" s="231">
        <v>2119.5</v>
      </c>
      <c r="R29" s="228">
        <v>44.4</v>
      </c>
      <c r="S29" s="229">
        <v>2.0899999999999998E-2</v>
      </c>
      <c r="T29" s="231">
        <v>2177.3000000000002</v>
      </c>
      <c r="U29" s="231">
        <v>2132.6999999999998</v>
      </c>
      <c r="V29" s="228">
        <v>44.6</v>
      </c>
      <c r="W29" s="229">
        <v>2.0899999999999998E-2</v>
      </c>
      <c r="X29" s="228">
        <v>6.9</v>
      </c>
      <c r="Y29" s="228">
        <v>8.3000000000000007</v>
      </c>
      <c r="Z29" s="228">
        <v>-1.4</v>
      </c>
      <c r="AA29" s="229">
        <v>3.2000000000000002E-3</v>
      </c>
      <c r="AB29" s="228">
        <v>6.9</v>
      </c>
      <c r="AC29" s="228">
        <v>8.3000000000000007</v>
      </c>
      <c r="AD29" s="228">
        <v>-1.4</v>
      </c>
      <c r="AE29" s="229">
        <v>3.2000000000000002E-3</v>
      </c>
      <c r="AF29" s="228">
        <v>17.899999999999999</v>
      </c>
      <c r="AG29" s="228">
        <v>19</v>
      </c>
      <c r="AH29" s="228">
        <v>-1.1000000000000001</v>
      </c>
      <c r="AI29" s="229">
        <v>8.3000000000000001E-3</v>
      </c>
      <c r="AJ29" s="228">
        <v>31.3</v>
      </c>
      <c r="AK29" s="228">
        <v>32.200000000000003</v>
      </c>
      <c r="AL29" s="228">
        <v>-0.9</v>
      </c>
      <c r="AM29" s="229">
        <v>1.46E-2</v>
      </c>
      <c r="AN29" s="231">
        <v>2138.29</v>
      </c>
      <c r="AO29" s="231">
        <v>2150.61</v>
      </c>
      <c r="AP29" s="228">
        <v>0</v>
      </c>
      <c r="AQ29" s="230">
        <v>28552</v>
      </c>
      <c r="AR29" s="230">
        <v>20232</v>
      </c>
      <c r="AS29" s="230">
        <v>8320</v>
      </c>
      <c r="AT29" s="229">
        <v>0.41120000000000001</v>
      </c>
      <c r="AU29" s="230">
        <v>26463</v>
      </c>
      <c r="AV29" s="230">
        <v>18870</v>
      </c>
      <c r="AW29" s="230">
        <v>7593</v>
      </c>
      <c r="AX29" s="229">
        <v>0.40239999999999998</v>
      </c>
      <c r="AY29" s="228">
        <v>907</v>
      </c>
      <c r="AZ29" s="228">
        <v>622</v>
      </c>
      <c r="BA29" s="228">
        <v>285</v>
      </c>
      <c r="BB29" s="229">
        <v>0.4582</v>
      </c>
      <c r="BC29" s="230">
        <v>1182</v>
      </c>
      <c r="BD29" s="228">
        <v>740</v>
      </c>
      <c r="BE29" s="228">
        <v>442</v>
      </c>
      <c r="BF29" s="229">
        <v>0.59730000000000005</v>
      </c>
      <c r="BG29" s="230">
        <v>90079</v>
      </c>
      <c r="BH29" s="230">
        <v>74743</v>
      </c>
      <c r="BI29" s="230">
        <v>15336</v>
      </c>
      <c r="BJ29" s="229">
        <v>0.20519999999999999</v>
      </c>
      <c r="BK29" s="230">
        <v>53455</v>
      </c>
      <c r="BL29" s="230">
        <v>41738</v>
      </c>
      <c r="BM29" s="230">
        <v>11717</v>
      </c>
      <c r="BN29" s="229">
        <v>0.28070000000000001</v>
      </c>
      <c r="BO29" s="230">
        <v>172086</v>
      </c>
      <c r="BP29" s="230">
        <v>136713</v>
      </c>
      <c r="BQ29" s="230">
        <v>35373</v>
      </c>
      <c r="BR29" s="229">
        <v>0.25869999999999999</v>
      </c>
      <c r="BS29" s="230">
        <v>5352450</v>
      </c>
      <c r="BT29" s="230">
        <v>5458783</v>
      </c>
      <c r="BU29" s="230">
        <v>-106333</v>
      </c>
      <c r="BV29" s="229">
        <v>-1.95E-2</v>
      </c>
      <c r="BW29" s="230">
        <v>36163600</v>
      </c>
      <c r="BX29" s="230">
        <v>36871200</v>
      </c>
      <c r="BY29" s="230">
        <v>-707600</v>
      </c>
      <c r="BZ29" s="229">
        <v>-1.9199999999999998E-2</v>
      </c>
      <c r="CA29" s="230">
        <v>34936400</v>
      </c>
      <c r="CB29" s="230">
        <v>36137200</v>
      </c>
      <c r="CC29" s="230">
        <v>-1200800</v>
      </c>
      <c r="CD29" s="229">
        <v>-3.32E-2</v>
      </c>
      <c r="CE29" s="230">
        <v>530000</v>
      </c>
      <c r="CF29" s="230">
        <v>465600</v>
      </c>
      <c r="CG29" s="230">
        <v>64400</v>
      </c>
      <c r="CH29" s="229">
        <v>0.13830000000000001</v>
      </c>
      <c r="CI29" s="230">
        <v>697200</v>
      </c>
      <c r="CJ29" s="230">
        <v>268400</v>
      </c>
      <c r="CK29" s="230">
        <v>428800</v>
      </c>
      <c r="CL29" s="229">
        <v>1.5975999999999999</v>
      </c>
      <c r="CM29" s="230">
        <v>7756000</v>
      </c>
      <c r="CN29" s="230">
        <v>6129600</v>
      </c>
      <c r="CO29" s="230">
        <v>1626400</v>
      </c>
      <c r="CP29" s="229">
        <v>0.26529999999999998</v>
      </c>
      <c r="CQ29" s="230">
        <v>8820800</v>
      </c>
      <c r="CR29" s="230">
        <v>7182000</v>
      </c>
      <c r="CS29" s="230">
        <v>1638800</v>
      </c>
      <c r="CT29" s="229">
        <v>0.22819999999999999</v>
      </c>
      <c r="CU29" s="230">
        <v>52740400</v>
      </c>
      <c r="CV29" s="230">
        <v>50182800</v>
      </c>
      <c r="CW29" s="230">
        <v>2557600</v>
      </c>
      <c r="CX29" s="229">
        <v>5.0999999999999997E-2</v>
      </c>
      <c r="CY29" s="228">
        <v>20.79</v>
      </c>
      <c r="CZ29" s="228">
        <v>20.309999999999999</v>
      </c>
      <c r="DA29" s="228">
        <v>0.48</v>
      </c>
      <c r="DB29" s="228">
        <v>0.48</v>
      </c>
      <c r="DC29" s="228">
        <v>27.86</v>
      </c>
      <c r="DD29" s="228">
        <v>27.78</v>
      </c>
      <c r="DE29" s="228">
        <v>-7.07</v>
      </c>
      <c r="DF29" s="228">
        <v>0.08</v>
      </c>
      <c r="DG29" s="228">
        <v>19.97</v>
      </c>
      <c r="DH29" s="228">
        <v>19.739999999999998</v>
      </c>
      <c r="DI29" s="228">
        <v>0.23</v>
      </c>
      <c r="DJ29" s="228">
        <v>0.23</v>
      </c>
      <c r="DK29" s="228">
        <v>22.17</v>
      </c>
      <c r="DL29" s="228">
        <v>21.32</v>
      </c>
      <c r="DM29" s="228">
        <v>0.85</v>
      </c>
      <c r="DN29" s="228">
        <v>0.85</v>
      </c>
      <c r="DO29" s="228">
        <v>1.1399999999999999</v>
      </c>
      <c r="DP29" s="228">
        <v>1.17</v>
      </c>
      <c r="DQ29" s="228">
        <v>-0.03</v>
      </c>
      <c r="DR29" s="229">
        <v>-2.5600000000000001E-2</v>
      </c>
      <c r="DS29" s="231">
        <v>2100</v>
      </c>
      <c r="DT29" s="231">
        <v>2100</v>
      </c>
      <c r="DU29" s="228">
        <v>0.59</v>
      </c>
      <c r="DV29" s="228">
        <v>0.56000000000000005</v>
      </c>
      <c r="DW29" s="228">
        <v>0.03</v>
      </c>
      <c r="DX29" s="229">
        <v>5.3600000000000002E-2</v>
      </c>
      <c r="DY29" s="229">
        <v>3.39E-2</v>
      </c>
      <c r="DZ29" s="230">
        <v>734000</v>
      </c>
      <c r="EA29" s="229">
        <v>5.1000000000000004E-3</v>
      </c>
      <c r="EB29" s="229">
        <v>3.39E-2</v>
      </c>
      <c r="EC29" s="228">
        <v>12.32</v>
      </c>
      <c r="ED29" s="229">
        <v>5.7999999999999996E-3</v>
      </c>
      <c r="EE29" s="230">
        <v>3087422</v>
      </c>
      <c r="EF29" s="230">
        <v>3975073</v>
      </c>
      <c r="EG29" s="229">
        <v>-0.2233</v>
      </c>
      <c r="EH29" s="229">
        <v>0.57679999999999998</v>
      </c>
      <c r="EI29" s="231">
        <v>795240.23</v>
      </c>
      <c r="EJ29" s="231">
        <v>448063.58</v>
      </c>
      <c r="EK29" s="231">
        <v>244431.15</v>
      </c>
      <c r="EL29" s="231">
        <v>32726</v>
      </c>
      <c r="EM29" s="231">
        <v>1487734.96</v>
      </c>
      <c r="EN29" s="231">
        <v>1163644.1599999999</v>
      </c>
      <c r="EO29" s="231">
        <v>324090.8</v>
      </c>
      <c r="EP29" s="229">
        <v>0.27850000000000003</v>
      </c>
      <c r="EQ29" s="231">
        <v>166842</v>
      </c>
      <c r="ER29" s="231">
        <v>180103</v>
      </c>
      <c r="ES29" s="231">
        <v>778795</v>
      </c>
      <c r="ET29" s="231">
        <v>215751979</v>
      </c>
      <c r="EU29" s="231">
        <v>1125740</v>
      </c>
      <c r="EV29" s="231">
        <v>1052473</v>
      </c>
      <c r="EW29" s="231">
        <v>73267</v>
      </c>
      <c r="EX29" s="229">
        <v>6.9599999999999995E-2</v>
      </c>
      <c r="EY29" s="229">
        <v>0.24440000000000001</v>
      </c>
    </row>
    <row r="30" spans="1:155" ht="17.25" thickBot="1" x14ac:dyDescent="0.3">
      <c r="A30" s="226">
        <v>45936</v>
      </c>
      <c r="B30" s="227" t="s">
        <v>184</v>
      </c>
      <c r="C30" s="227" t="s">
        <v>249</v>
      </c>
      <c r="D30" s="231">
        <v>3753.4</v>
      </c>
      <c r="E30" s="231">
        <v>3751.1</v>
      </c>
      <c r="F30" s="228">
        <v>2.2999999999999998</v>
      </c>
      <c r="G30" s="229">
        <v>5.9999999999999995E-4</v>
      </c>
      <c r="H30" s="231">
        <v>3737</v>
      </c>
      <c r="I30" s="231">
        <v>3733.1</v>
      </c>
      <c r="J30" s="228">
        <v>3.9</v>
      </c>
      <c r="K30" s="229">
        <v>1E-3</v>
      </c>
      <c r="L30" s="231">
        <v>3753.4</v>
      </c>
      <c r="M30" s="231">
        <v>3751.1</v>
      </c>
      <c r="N30" s="228">
        <v>2.2999999999999998</v>
      </c>
      <c r="O30" s="229">
        <v>5.9999999999999995E-4</v>
      </c>
      <c r="P30" s="231">
        <v>3777.1</v>
      </c>
      <c r="Q30" s="231">
        <v>3772.1</v>
      </c>
      <c r="R30" s="228">
        <v>5</v>
      </c>
      <c r="S30" s="229">
        <v>1.2999999999999999E-3</v>
      </c>
      <c r="T30" s="231">
        <v>3792.8</v>
      </c>
      <c r="U30" s="231">
        <v>3790.9</v>
      </c>
      <c r="V30" s="228">
        <v>1.9</v>
      </c>
      <c r="W30" s="229">
        <v>5.0000000000000001E-4</v>
      </c>
      <c r="X30" s="228">
        <v>16.399999999999999</v>
      </c>
      <c r="Y30" s="228">
        <v>18</v>
      </c>
      <c r="Z30" s="228">
        <v>-1.6</v>
      </c>
      <c r="AA30" s="229">
        <v>4.4000000000000003E-3</v>
      </c>
      <c r="AB30" s="228">
        <v>16.399999999999999</v>
      </c>
      <c r="AC30" s="228">
        <v>18</v>
      </c>
      <c r="AD30" s="228">
        <v>-1.6</v>
      </c>
      <c r="AE30" s="229">
        <v>4.4000000000000003E-3</v>
      </c>
      <c r="AF30" s="228">
        <v>40.1</v>
      </c>
      <c r="AG30" s="228">
        <v>39</v>
      </c>
      <c r="AH30" s="228">
        <v>1.1000000000000001</v>
      </c>
      <c r="AI30" s="229">
        <v>1.0699999999999999E-2</v>
      </c>
      <c r="AJ30" s="228">
        <v>55.8</v>
      </c>
      <c r="AK30" s="228">
        <v>57.8</v>
      </c>
      <c r="AL30" s="228">
        <v>-2</v>
      </c>
      <c r="AM30" s="229">
        <v>1.49E-2</v>
      </c>
      <c r="AN30" s="231">
        <v>3754.34</v>
      </c>
      <c r="AO30" s="231">
        <v>3775</v>
      </c>
      <c r="AP30" s="228">
        <v>0</v>
      </c>
      <c r="AQ30" s="230">
        <v>10236</v>
      </c>
      <c r="AR30" s="230">
        <v>14434</v>
      </c>
      <c r="AS30" s="230">
        <v>-4198</v>
      </c>
      <c r="AT30" s="229">
        <v>-0.2908</v>
      </c>
      <c r="AU30" s="230">
        <v>9782</v>
      </c>
      <c r="AV30" s="230">
        <v>13016</v>
      </c>
      <c r="AW30" s="230">
        <v>-3234</v>
      </c>
      <c r="AX30" s="229">
        <v>-0.2485</v>
      </c>
      <c r="AY30" s="228">
        <v>360</v>
      </c>
      <c r="AZ30" s="228">
        <v>380</v>
      </c>
      <c r="BA30" s="228">
        <v>-20</v>
      </c>
      <c r="BB30" s="229">
        <v>-5.2600000000000001E-2</v>
      </c>
      <c r="BC30" s="228">
        <v>94</v>
      </c>
      <c r="BD30" s="230">
        <v>1038</v>
      </c>
      <c r="BE30" s="228">
        <v>-944</v>
      </c>
      <c r="BF30" s="229">
        <v>-0.90939999999999999</v>
      </c>
      <c r="BG30" s="230">
        <v>60040</v>
      </c>
      <c r="BH30" s="230">
        <v>48245</v>
      </c>
      <c r="BI30" s="230">
        <v>11795</v>
      </c>
      <c r="BJ30" s="229">
        <v>0.2445</v>
      </c>
      <c r="BK30" s="230">
        <v>16822</v>
      </c>
      <c r="BL30" s="230">
        <v>17133</v>
      </c>
      <c r="BM30" s="228">
        <v>-311</v>
      </c>
      <c r="BN30" s="229">
        <v>-1.8200000000000001E-2</v>
      </c>
      <c r="BO30" s="230">
        <v>87098</v>
      </c>
      <c r="BP30" s="230">
        <v>79812</v>
      </c>
      <c r="BQ30" s="230">
        <v>7286</v>
      </c>
      <c r="BR30" s="229">
        <v>9.1300000000000006E-2</v>
      </c>
      <c r="BS30" s="230">
        <v>1698977</v>
      </c>
      <c r="BT30" s="230">
        <v>2040998</v>
      </c>
      <c r="BU30" s="230">
        <v>-342021</v>
      </c>
      <c r="BV30" s="229">
        <v>-0.1676</v>
      </c>
      <c r="BW30" s="230">
        <v>16647925</v>
      </c>
      <c r="BX30" s="230">
        <v>16642325</v>
      </c>
      <c r="BY30" s="230">
        <v>5600</v>
      </c>
      <c r="BZ30" s="229">
        <v>2.9999999999999997E-4</v>
      </c>
      <c r="CA30" s="230">
        <v>16291450</v>
      </c>
      <c r="CB30" s="230">
        <v>16297575</v>
      </c>
      <c r="CC30" s="230">
        <v>-6125</v>
      </c>
      <c r="CD30" s="229">
        <v>-4.0000000000000002E-4</v>
      </c>
      <c r="CE30" s="230">
        <v>170625</v>
      </c>
      <c r="CF30" s="230">
        <v>165550</v>
      </c>
      <c r="CG30" s="230">
        <v>5075</v>
      </c>
      <c r="CH30" s="229">
        <v>3.0700000000000002E-2</v>
      </c>
      <c r="CI30" s="230">
        <v>185850</v>
      </c>
      <c r="CJ30" s="230">
        <v>179200</v>
      </c>
      <c r="CK30" s="230">
        <v>6650</v>
      </c>
      <c r="CL30" s="229">
        <v>3.7100000000000001E-2</v>
      </c>
      <c r="CM30" s="230">
        <v>5266975</v>
      </c>
      <c r="CN30" s="230">
        <v>4538100</v>
      </c>
      <c r="CO30" s="230">
        <v>728875</v>
      </c>
      <c r="CP30" s="229">
        <v>0.16059999999999999</v>
      </c>
      <c r="CQ30" s="230">
        <v>2620450</v>
      </c>
      <c r="CR30" s="230">
        <v>2496900</v>
      </c>
      <c r="CS30" s="230">
        <v>123550</v>
      </c>
      <c r="CT30" s="229">
        <v>4.9500000000000002E-2</v>
      </c>
      <c r="CU30" s="230">
        <v>24535350</v>
      </c>
      <c r="CV30" s="230">
        <v>23677325</v>
      </c>
      <c r="CW30" s="230">
        <v>858025</v>
      </c>
      <c r="CX30" s="229">
        <v>3.6200000000000003E-2</v>
      </c>
      <c r="CY30" s="228">
        <v>19.47</v>
      </c>
      <c r="CZ30" s="228">
        <v>18.59</v>
      </c>
      <c r="DA30" s="228">
        <v>0.88</v>
      </c>
      <c r="DB30" s="228">
        <v>0.88</v>
      </c>
      <c r="DC30" s="228">
        <v>28.33</v>
      </c>
      <c r="DD30" s="228">
        <v>28.4</v>
      </c>
      <c r="DE30" s="228">
        <v>-8.86</v>
      </c>
      <c r="DF30" s="228">
        <v>-7.0000000000000007E-2</v>
      </c>
      <c r="DG30" s="228">
        <v>19.48</v>
      </c>
      <c r="DH30" s="228">
        <v>18.52</v>
      </c>
      <c r="DI30" s="228">
        <v>0.96</v>
      </c>
      <c r="DJ30" s="228">
        <v>0.96</v>
      </c>
      <c r="DK30" s="228">
        <v>19.43</v>
      </c>
      <c r="DL30" s="228">
        <v>18.8</v>
      </c>
      <c r="DM30" s="228">
        <v>0.63</v>
      </c>
      <c r="DN30" s="228">
        <v>0.63</v>
      </c>
      <c r="DO30" s="228">
        <v>0.5</v>
      </c>
      <c r="DP30" s="228">
        <v>0.55000000000000004</v>
      </c>
      <c r="DQ30" s="228">
        <v>-0.05</v>
      </c>
      <c r="DR30" s="229">
        <v>-9.0899999999999995E-2</v>
      </c>
      <c r="DS30" s="231">
        <v>3800</v>
      </c>
      <c r="DT30" s="231">
        <v>3600</v>
      </c>
      <c r="DU30" s="228">
        <v>0.28000000000000003</v>
      </c>
      <c r="DV30" s="228">
        <v>0.36</v>
      </c>
      <c r="DW30" s="228">
        <v>-0.08</v>
      </c>
      <c r="DX30" s="229">
        <v>-0.22220000000000001</v>
      </c>
      <c r="DY30" s="229">
        <v>2.1399999999999999E-2</v>
      </c>
      <c r="DZ30" s="230">
        <v>344750</v>
      </c>
      <c r="EA30" s="229">
        <v>6.3E-3</v>
      </c>
      <c r="EB30" s="229">
        <v>2.1399999999999999E-2</v>
      </c>
      <c r="EC30" s="228">
        <v>20.66</v>
      </c>
      <c r="ED30" s="229">
        <v>5.4999999999999997E-3</v>
      </c>
      <c r="EE30" s="230">
        <v>1021931</v>
      </c>
      <c r="EF30" s="230">
        <v>1319348</v>
      </c>
      <c r="EG30" s="229">
        <v>-0.22539999999999999</v>
      </c>
      <c r="EH30" s="229">
        <v>0.60150000000000003</v>
      </c>
      <c r="EI30" s="231">
        <v>408547.14</v>
      </c>
      <c r="EJ30" s="231">
        <v>109085.75999999999</v>
      </c>
      <c r="EK30" s="231">
        <v>67271.13</v>
      </c>
      <c r="EL30" s="231">
        <v>29725</v>
      </c>
      <c r="EM30" s="231">
        <v>584904.03</v>
      </c>
      <c r="EN30" s="231">
        <v>529082.68999999994</v>
      </c>
      <c r="EO30" s="231">
        <v>55821.34</v>
      </c>
      <c r="EP30" s="229">
        <v>0.1055</v>
      </c>
      <c r="EQ30" s="231">
        <v>203089</v>
      </c>
      <c r="ER30" s="231">
        <v>94870</v>
      </c>
      <c r="ES30" s="231">
        <v>624977</v>
      </c>
      <c r="ET30" s="231">
        <v>136007303</v>
      </c>
      <c r="EU30" s="231">
        <v>922936</v>
      </c>
      <c r="EV30" s="231">
        <v>889134</v>
      </c>
      <c r="EW30" s="231">
        <v>33802</v>
      </c>
      <c r="EX30" s="229">
        <v>3.7999999999999999E-2</v>
      </c>
      <c r="EY30" s="229">
        <v>0.1804</v>
      </c>
    </row>
    <row r="31" spans="1:155" ht="17.25" thickBot="1" x14ac:dyDescent="0.3">
      <c r="A31" s="226">
        <v>45936</v>
      </c>
      <c r="B31" s="227" t="s">
        <v>162</v>
      </c>
      <c r="C31" s="227" t="s">
        <v>251</v>
      </c>
      <c r="D31" s="231">
        <v>3492.2</v>
      </c>
      <c r="E31" s="231">
        <v>3474.3</v>
      </c>
      <c r="F31" s="228">
        <v>17.899999999999999</v>
      </c>
      <c r="G31" s="229">
        <v>5.1999999999999998E-3</v>
      </c>
      <c r="H31" s="231">
        <v>3472</v>
      </c>
      <c r="I31" s="231">
        <v>3462</v>
      </c>
      <c r="J31" s="228">
        <v>10</v>
      </c>
      <c r="K31" s="229">
        <v>2.8999999999999998E-3</v>
      </c>
      <c r="L31" s="231">
        <v>3492.2</v>
      </c>
      <c r="M31" s="231">
        <v>3474.3</v>
      </c>
      <c r="N31" s="228">
        <v>17.899999999999999</v>
      </c>
      <c r="O31" s="229">
        <v>5.1999999999999998E-3</v>
      </c>
      <c r="P31" s="231">
        <v>3511.7</v>
      </c>
      <c r="Q31" s="231">
        <v>3492.3</v>
      </c>
      <c r="R31" s="228">
        <v>19.399999999999999</v>
      </c>
      <c r="S31" s="229">
        <v>5.5999999999999999E-3</v>
      </c>
      <c r="T31" s="231">
        <v>3529.2</v>
      </c>
      <c r="U31" s="231">
        <v>3509.3</v>
      </c>
      <c r="V31" s="228">
        <v>19.899999999999999</v>
      </c>
      <c r="W31" s="229">
        <v>5.7000000000000002E-3</v>
      </c>
      <c r="X31" s="228">
        <v>20.2</v>
      </c>
      <c r="Y31" s="228">
        <v>12.3</v>
      </c>
      <c r="Z31" s="228">
        <v>7.9</v>
      </c>
      <c r="AA31" s="229">
        <v>5.7999999999999996E-3</v>
      </c>
      <c r="AB31" s="228">
        <v>20.2</v>
      </c>
      <c r="AC31" s="228">
        <v>12.3</v>
      </c>
      <c r="AD31" s="228">
        <v>7.9</v>
      </c>
      <c r="AE31" s="229">
        <v>5.7999999999999996E-3</v>
      </c>
      <c r="AF31" s="228">
        <v>39.700000000000003</v>
      </c>
      <c r="AG31" s="228">
        <v>30.3</v>
      </c>
      <c r="AH31" s="228">
        <v>9.4</v>
      </c>
      <c r="AI31" s="229">
        <v>1.14E-2</v>
      </c>
      <c r="AJ31" s="228">
        <v>57.2</v>
      </c>
      <c r="AK31" s="228">
        <v>47.3</v>
      </c>
      <c r="AL31" s="228">
        <v>9.9</v>
      </c>
      <c r="AM31" s="229">
        <v>1.6500000000000001E-2</v>
      </c>
      <c r="AN31" s="231">
        <v>3475.76</v>
      </c>
      <c r="AO31" s="231">
        <v>3492.63</v>
      </c>
      <c r="AP31" s="228">
        <v>0</v>
      </c>
      <c r="AQ31" s="230">
        <v>6488</v>
      </c>
      <c r="AR31" s="230">
        <v>16386</v>
      </c>
      <c r="AS31" s="230">
        <v>-9898</v>
      </c>
      <c r="AT31" s="229">
        <v>-0.60409999999999997</v>
      </c>
      <c r="AU31" s="230">
        <v>6204</v>
      </c>
      <c r="AV31" s="230">
        <v>15415</v>
      </c>
      <c r="AW31" s="230">
        <v>-9211</v>
      </c>
      <c r="AX31" s="229">
        <v>-0.59750000000000003</v>
      </c>
      <c r="AY31" s="228">
        <v>249</v>
      </c>
      <c r="AZ31" s="228">
        <v>387</v>
      </c>
      <c r="BA31" s="228">
        <v>-138</v>
      </c>
      <c r="BB31" s="229">
        <v>-0.35659999999999997</v>
      </c>
      <c r="BC31" s="228">
        <v>35</v>
      </c>
      <c r="BD31" s="228">
        <v>584</v>
      </c>
      <c r="BE31" s="228">
        <v>-549</v>
      </c>
      <c r="BF31" s="229">
        <v>-0.94010000000000005</v>
      </c>
      <c r="BG31" s="230">
        <v>23949</v>
      </c>
      <c r="BH31" s="230">
        <v>31774</v>
      </c>
      <c r="BI31" s="230">
        <v>-7825</v>
      </c>
      <c r="BJ31" s="229">
        <v>-0.24629999999999999</v>
      </c>
      <c r="BK31" s="230">
        <v>10026</v>
      </c>
      <c r="BL31" s="230">
        <v>17948</v>
      </c>
      <c r="BM31" s="230">
        <v>-7922</v>
      </c>
      <c r="BN31" s="229">
        <v>-0.44140000000000001</v>
      </c>
      <c r="BO31" s="230">
        <v>40463</v>
      </c>
      <c r="BP31" s="230">
        <v>66108</v>
      </c>
      <c r="BQ31" s="230">
        <v>-25645</v>
      </c>
      <c r="BR31" s="229">
        <v>-0.38790000000000002</v>
      </c>
      <c r="BS31" s="230">
        <v>1218133</v>
      </c>
      <c r="BT31" s="230">
        <v>2392186</v>
      </c>
      <c r="BU31" s="230">
        <v>-1174053</v>
      </c>
      <c r="BV31" s="229">
        <v>-0.49080000000000001</v>
      </c>
      <c r="BW31" s="230">
        <v>20078800</v>
      </c>
      <c r="BX31" s="230">
        <v>20074000</v>
      </c>
      <c r="BY31" s="230">
        <v>4800</v>
      </c>
      <c r="BZ31" s="229">
        <v>2.0000000000000001E-4</v>
      </c>
      <c r="CA31" s="230">
        <v>19745800</v>
      </c>
      <c r="CB31" s="230">
        <v>19745800</v>
      </c>
      <c r="CC31" s="228">
        <v>0</v>
      </c>
      <c r="CD31" s="229">
        <v>0</v>
      </c>
      <c r="CE31" s="230">
        <v>222400</v>
      </c>
      <c r="CF31" s="230">
        <v>219200</v>
      </c>
      <c r="CG31" s="230">
        <v>3200</v>
      </c>
      <c r="CH31" s="229">
        <v>1.46E-2</v>
      </c>
      <c r="CI31" s="230">
        <v>110600</v>
      </c>
      <c r="CJ31" s="230">
        <v>109000</v>
      </c>
      <c r="CK31" s="230">
        <v>1600</v>
      </c>
      <c r="CL31" s="229">
        <v>1.47E-2</v>
      </c>
      <c r="CM31" s="230">
        <v>4454600</v>
      </c>
      <c r="CN31" s="230">
        <v>4207400</v>
      </c>
      <c r="CO31" s="230">
        <v>247200</v>
      </c>
      <c r="CP31" s="229">
        <v>5.8799999999999998E-2</v>
      </c>
      <c r="CQ31" s="230">
        <v>2681600</v>
      </c>
      <c r="CR31" s="230">
        <v>2719000</v>
      </c>
      <c r="CS31" s="230">
        <v>-37400</v>
      </c>
      <c r="CT31" s="229">
        <v>-1.38E-2</v>
      </c>
      <c r="CU31" s="230">
        <v>27215000</v>
      </c>
      <c r="CV31" s="230">
        <v>27000400</v>
      </c>
      <c r="CW31" s="230">
        <v>214600</v>
      </c>
      <c r="CX31" s="229">
        <v>7.9000000000000008E-3</v>
      </c>
      <c r="CY31" s="228">
        <v>24.32</v>
      </c>
      <c r="CZ31" s="228">
        <v>24.27</v>
      </c>
      <c r="DA31" s="228">
        <v>0.05</v>
      </c>
      <c r="DB31" s="228">
        <v>0.05</v>
      </c>
      <c r="DC31" s="228">
        <v>34.69</v>
      </c>
      <c r="DD31" s="228">
        <v>34.78</v>
      </c>
      <c r="DE31" s="228">
        <v>-10.37</v>
      </c>
      <c r="DF31" s="228">
        <v>-0.09</v>
      </c>
      <c r="DG31" s="228">
        <v>24.23</v>
      </c>
      <c r="DH31" s="228">
        <v>24.27</v>
      </c>
      <c r="DI31" s="228">
        <v>-0.04</v>
      </c>
      <c r="DJ31" s="228">
        <v>-0.04</v>
      </c>
      <c r="DK31" s="228">
        <v>24.53</v>
      </c>
      <c r="DL31" s="228">
        <v>24.28</v>
      </c>
      <c r="DM31" s="228">
        <v>0.25</v>
      </c>
      <c r="DN31" s="228">
        <v>0.25</v>
      </c>
      <c r="DO31" s="228">
        <v>0.6</v>
      </c>
      <c r="DP31" s="228">
        <v>0.65</v>
      </c>
      <c r="DQ31" s="228">
        <v>-0.05</v>
      </c>
      <c r="DR31" s="229">
        <v>-7.6899999999999996E-2</v>
      </c>
      <c r="DS31" s="231">
        <v>3600</v>
      </c>
      <c r="DT31" s="231">
        <v>3400</v>
      </c>
      <c r="DU31" s="228">
        <v>0.42</v>
      </c>
      <c r="DV31" s="228">
        <v>0.56000000000000005</v>
      </c>
      <c r="DW31" s="228">
        <v>-0.14000000000000001</v>
      </c>
      <c r="DX31" s="229">
        <v>-0.25</v>
      </c>
      <c r="DY31" s="229">
        <v>1.66E-2</v>
      </c>
      <c r="DZ31" s="230">
        <v>328200</v>
      </c>
      <c r="EA31" s="229">
        <v>5.5999999999999999E-3</v>
      </c>
      <c r="EB31" s="229">
        <v>1.66E-2</v>
      </c>
      <c r="EC31" s="228">
        <v>16.87</v>
      </c>
      <c r="ED31" s="229">
        <v>4.8999999999999998E-3</v>
      </c>
      <c r="EE31" s="230">
        <v>654915</v>
      </c>
      <c r="EF31" s="230">
        <v>1548515</v>
      </c>
      <c r="EG31" s="229">
        <v>-0.57709999999999995</v>
      </c>
      <c r="EH31" s="229">
        <v>0.53759999999999997</v>
      </c>
      <c r="EI31" s="231">
        <v>174546.21</v>
      </c>
      <c r="EJ31" s="231">
        <v>67880.990000000005</v>
      </c>
      <c r="EK31" s="231">
        <v>45112.31</v>
      </c>
      <c r="EL31" s="231">
        <v>25767</v>
      </c>
      <c r="EM31" s="231">
        <v>287539.51</v>
      </c>
      <c r="EN31" s="231">
        <v>466773.26</v>
      </c>
      <c r="EO31" s="231">
        <v>-179233.75</v>
      </c>
      <c r="EP31" s="229">
        <v>-0.38400000000000001</v>
      </c>
      <c r="EQ31" s="231">
        <v>162467</v>
      </c>
      <c r="ER31" s="231">
        <v>90460</v>
      </c>
      <c r="ES31" s="231">
        <v>701276</v>
      </c>
      <c r="ET31" s="231">
        <v>100261459</v>
      </c>
      <c r="EU31" s="231">
        <v>954203</v>
      </c>
      <c r="EV31" s="231">
        <v>942427</v>
      </c>
      <c r="EW31" s="231">
        <v>11776</v>
      </c>
      <c r="EX31" s="229">
        <v>1.2500000000000001E-2</v>
      </c>
      <c r="EY31" s="229">
        <v>0.27139999999999997</v>
      </c>
    </row>
    <row r="32" spans="1:155" ht="17.25" thickBot="1" x14ac:dyDescent="0.3">
      <c r="A32" s="226">
        <v>45936</v>
      </c>
      <c r="B32" s="227" t="s">
        <v>162</v>
      </c>
      <c r="C32" s="227" t="s">
        <v>255</v>
      </c>
      <c r="D32" s="231">
        <v>16063</v>
      </c>
      <c r="E32" s="231">
        <v>15904</v>
      </c>
      <c r="F32" s="228">
        <v>159</v>
      </c>
      <c r="G32" s="229">
        <v>0.01</v>
      </c>
      <c r="H32" s="231">
        <v>15998</v>
      </c>
      <c r="I32" s="231">
        <v>15806</v>
      </c>
      <c r="J32" s="228">
        <v>192</v>
      </c>
      <c r="K32" s="229">
        <v>1.21E-2</v>
      </c>
      <c r="L32" s="231">
        <v>16063</v>
      </c>
      <c r="M32" s="231">
        <v>15904</v>
      </c>
      <c r="N32" s="228">
        <v>159</v>
      </c>
      <c r="O32" s="229">
        <v>0.01</v>
      </c>
      <c r="P32" s="231">
        <v>16150</v>
      </c>
      <c r="Q32" s="231">
        <v>15985</v>
      </c>
      <c r="R32" s="228">
        <v>165</v>
      </c>
      <c r="S32" s="229">
        <v>1.03E-2</v>
      </c>
      <c r="T32" s="231">
        <v>16218</v>
      </c>
      <c r="U32" s="231">
        <v>16056</v>
      </c>
      <c r="V32" s="228">
        <v>162</v>
      </c>
      <c r="W32" s="229">
        <v>1.01E-2</v>
      </c>
      <c r="X32" s="228">
        <v>65</v>
      </c>
      <c r="Y32" s="228">
        <v>98</v>
      </c>
      <c r="Z32" s="228">
        <v>-33</v>
      </c>
      <c r="AA32" s="229">
        <v>4.1000000000000003E-3</v>
      </c>
      <c r="AB32" s="228">
        <v>65</v>
      </c>
      <c r="AC32" s="228">
        <v>98</v>
      </c>
      <c r="AD32" s="228">
        <v>-33</v>
      </c>
      <c r="AE32" s="229">
        <v>4.1000000000000003E-3</v>
      </c>
      <c r="AF32" s="228">
        <v>152</v>
      </c>
      <c r="AG32" s="228">
        <v>179</v>
      </c>
      <c r="AH32" s="228">
        <v>-27</v>
      </c>
      <c r="AI32" s="229">
        <v>9.4999999999999998E-3</v>
      </c>
      <c r="AJ32" s="228">
        <v>220</v>
      </c>
      <c r="AK32" s="228">
        <v>250</v>
      </c>
      <c r="AL32" s="228">
        <v>-30</v>
      </c>
      <c r="AM32" s="229">
        <v>1.38E-2</v>
      </c>
      <c r="AN32" s="231">
        <v>16014.23</v>
      </c>
      <c r="AO32" s="231">
        <v>16127.21</v>
      </c>
      <c r="AP32" s="228">
        <v>0</v>
      </c>
      <c r="AQ32" s="230">
        <v>11209</v>
      </c>
      <c r="AR32" s="230">
        <v>16296</v>
      </c>
      <c r="AS32" s="230">
        <v>-5087</v>
      </c>
      <c r="AT32" s="229">
        <v>-0.31219999999999998</v>
      </c>
      <c r="AU32" s="230">
        <v>10454</v>
      </c>
      <c r="AV32" s="230">
        <v>15747</v>
      </c>
      <c r="AW32" s="230">
        <v>-5293</v>
      </c>
      <c r="AX32" s="229">
        <v>-0.33610000000000001</v>
      </c>
      <c r="AY32" s="228">
        <v>696</v>
      </c>
      <c r="AZ32" s="228">
        <v>500</v>
      </c>
      <c r="BA32" s="228">
        <v>196</v>
      </c>
      <c r="BB32" s="229">
        <v>0.39200000000000002</v>
      </c>
      <c r="BC32" s="228">
        <v>59</v>
      </c>
      <c r="BD32" s="228">
        <v>49</v>
      </c>
      <c r="BE32" s="228">
        <v>10</v>
      </c>
      <c r="BF32" s="229">
        <v>0.2041</v>
      </c>
      <c r="BG32" s="230">
        <v>96122</v>
      </c>
      <c r="BH32" s="230">
        <v>91696</v>
      </c>
      <c r="BI32" s="230">
        <v>4426</v>
      </c>
      <c r="BJ32" s="229">
        <v>4.8300000000000003E-2</v>
      </c>
      <c r="BK32" s="230">
        <v>41114</v>
      </c>
      <c r="BL32" s="230">
        <v>48288</v>
      </c>
      <c r="BM32" s="230">
        <v>-7174</v>
      </c>
      <c r="BN32" s="229">
        <v>-0.14860000000000001</v>
      </c>
      <c r="BO32" s="230">
        <v>148445</v>
      </c>
      <c r="BP32" s="230">
        <v>156280</v>
      </c>
      <c r="BQ32" s="230">
        <v>-7835</v>
      </c>
      <c r="BR32" s="229">
        <v>-5.0099999999999999E-2</v>
      </c>
      <c r="BS32" s="230">
        <v>287363</v>
      </c>
      <c r="BT32" s="230">
        <v>480702</v>
      </c>
      <c r="BU32" s="230">
        <v>-193339</v>
      </c>
      <c r="BV32" s="229">
        <v>-0.4022</v>
      </c>
      <c r="BW32" s="230">
        <v>2861650</v>
      </c>
      <c r="BX32" s="230">
        <v>2905900</v>
      </c>
      <c r="BY32" s="230">
        <v>-44250</v>
      </c>
      <c r="BZ32" s="229">
        <v>-1.52E-2</v>
      </c>
      <c r="CA32" s="230">
        <v>2788800</v>
      </c>
      <c r="CB32" s="230">
        <v>2826050</v>
      </c>
      <c r="CC32" s="230">
        <v>-37250</v>
      </c>
      <c r="CD32" s="229">
        <v>-1.32E-2</v>
      </c>
      <c r="CE32" s="230">
        <v>69950</v>
      </c>
      <c r="CF32" s="230">
        <v>77550</v>
      </c>
      <c r="CG32" s="230">
        <v>-7600</v>
      </c>
      <c r="CH32" s="229">
        <v>-9.8000000000000004E-2</v>
      </c>
      <c r="CI32" s="230">
        <v>2900</v>
      </c>
      <c r="CJ32" s="230">
        <v>2300</v>
      </c>
      <c r="CK32" s="228">
        <v>600</v>
      </c>
      <c r="CL32" s="229">
        <v>0.26090000000000002</v>
      </c>
      <c r="CM32" s="230">
        <v>2383850</v>
      </c>
      <c r="CN32" s="230">
        <v>2336800</v>
      </c>
      <c r="CO32" s="230">
        <v>47050</v>
      </c>
      <c r="CP32" s="229">
        <v>2.01E-2</v>
      </c>
      <c r="CQ32" s="230">
        <v>1303500</v>
      </c>
      <c r="CR32" s="230">
        <v>1197550</v>
      </c>
      <c r="CS32" s="230">
        <v>105950</v>
      </c>
      <c r="CT32" s="229">
        <v>8.8499999999999995E-2</v>
      </c>
      <c r="CU32" s="230">
        <v>6549000</v>
      </c>
      <c r="CV32" s="230">
        <v>6440250</v>
      </c>
      <c r="CW32" s="230">
        <v>108750</v>
      </c>
      <c r="CX32" s="229">
        <v>1.6899999999999998E-2</v>
      </c>
      <c r="CY32" s="228">
        <v>19.559999999999999</v>
      </c>
      <c r="CZ32" s="228">
        <v>20.170000000000002</v>
      </c>
      <c r="DA32" s="228">
        <v>-0.61</v>
      </c>
      <c r="DB32" s="228">
        <v>-0.61</v>
      </c>
      <c r="DC32" s="228">
        <v>26.09</v>
      </c>
      <c r="DD32" s="228">
        <v>26.1</v>
      </c>
      <c r="DE32" s="228">
        <v>-6.53</v>
      </c>
      <c r="DF32" s="228">
        <v>-0.01</v>
      </c>
      <c r="DG32" s="228">
        <v>19.38</v>
      </c>
      <c r="DH32" s="228">
        <v>20.32</v>
      </c>
      <c r="DI32" s="228">
        <v>-0.94</v>
      </c>
      <c r="DJ32" s="228">
        <v>-0.94</v>
      </c>
      <c r="DK32" s="228">
        <v>19.989999999999998</v>
      </c>
      <c r="DL32" s="228">
        <v>19.89</v>
      </c>
      <c r="DM32" s="228">
        <v>0.1</v>
      </c>
      <c r="DN32" s="228">
        <v>0.1</v>
      </c>
      <c r="DO32" s="228">
        <v>0.55000000000000004</v>
      </c>
      <c r="DP32" s="228">
        <v>0.51</v>
      </c>
      <c r="DQ32" s="228">
        <v>0.04</v>
      </c>
      <c r="DR32" s="229">
        <v>7.8399999999999997E-2</v>
      </c>
      <c r="DS32" s="231">
        <v>17000</v>
      </c>
      <c r="DT32" s="231">
        <v>15000</v>
      </c>
      <c r="DU32" s="228">
        <v>0.43</v>
      </c>
      <c r="DV32" s="228">
        <v>0.53</v>
      </c>
      <c r="DW32" s="228">
        <v>-0.1</v>
      </c>
      <c r="DX32" s="229">
        <v>-0.18870000000000001</v>
      </c>
      <c r="DY32" s="229">
        <v>2.5499999999999998E-2</v>
      </c>
      <c r="DZ32" s="230">
        <v>79850</v>
      </c>
      <c r="EA32" s="229">
        <v>5.4000000000000003E-3</v>
      </c>
      <c r="EB32" s="229">
        <v>2.5499999999999998E-2</v>
      </c>
      <c r="EC32" s="228">
        <v>112.98</v>
      </c>
      <c r="ED32" s="229">
        <v>7.1000000000000004E-3</v>
      </c>
      <c r="EE32" s="230">
        <v>142948</v>
      </c>
      <c r="EF32" s="230">
        <v>292068</v>
      </c>
      <c r="EG32" s="229">
        <v>-0.51060000000000005</v>
      </c>
      <c r="EH32" s="229">
        <v>0.49740000000000001</v>
      </c>
      <c r="EI32" s="231">
        <v>802404.49</v>
      </c>
      <c r="EJ32" s="231">
        <v>321881.32</v>
      </c>
      <c r="EK32" s="231">
        <v>89795.57</v>
      </c>
      <c r="EL32" s="231">
        <v>28951</v>
      </c>
      <c r="EM32" s="231">
        <v>1214081.3799999999</v>
      </c>
      <c r="EN32" s="231">
        <v>1275061.1499999999</v>
      </c>
      <c r="EO32" s="231">
        <v>-60979.77</v>
      </c>
      <c r="EP32" s="229">
        <v>-4.7800000000000002E-2</v>
      </c>
      <c r="EQ32" s="231">
        <v>399766</v>
      </c>
      <c r="ER32" s="231">
        <v>197611</v>
      </c>
      <c r="ES32" s="231">
        <v>459732</v>
      </c>
      <c r="ET32" s="231">
        <v>16752897</v>
      </c>
      <c r="EU32" s="231">
        <v>1057110</v>
      </c>
      <c r="EV32" s="231">
        <v>1035117</v>
      </c>
      <c r="EW32" s="231">
        <v>21993</v>
      </c>
      <c r="EX32" s="229">
        <v>2.12E-2</v>
      </c>
      <c r="EY32" s="229">
        <v>0.39090000000000003</v>
      </c>
    </row>
    <row r="33" spans="1:155" ht="17.25" thickBot="1" x14ac:dyDescent="0.3">
      <c r="A33" s="226">
        <v>45936</v>
      </c>
      <c r="B33" s="227" t="s">
        <v>170</v>
      </c>
      <c r="C33" s="227" t="s">
        <v>604</v>
      </c>
      <c r="D33" s="231">
        <v>1143.2</v>
      </c>
      <c r="E33" s="231">
        <v>1073.5</v>
      </c>
      <c r="F33" s="228">
        <v>69.7</v>
      </c>
      <c r="G33" s="229">
        <v>6.4899999999999999E-2</v>
      </c>
      <c r="H33" s="231">
        <v>1139.7</v>
      </c>
      <c r="I33" s="231">
        <v>1069.2</v>
      </c>
      <c r="J33" s="228">
        <v>70.5</v>
      </c>
      <c r="K33" s="229">
        <v>6.59E-2</v>
      </c>
      <c r="L33" s="231">
        <v>1143.2</v>
      </c>
      <c r="M33" s="231">
        <v>1073.5</v>
      </c>
      <c r="N33" s="228">
        <v>69.7</v>
      </c>
      <c r="O33" s="229">
        <v>6.4899999999999999E-2</v>
      </c>
      <c r="P33" s="231">
        <v>1149</v>
      </c>
      <c r="Q33" s="231">
        <v>1080</v>
      </c>
      <c r="R33" s="228">
        <v>69</v>
      </c>
      <c r="S33" s="229">
        <v>6.3899999999999998E-2</v>
      </c>
      <c r="T33" s="231">
        <v>1153.5999999999999</v>
      </c>
      <c r="U33" s="231">
        <v>1086.4000000000001</v>
      </c>
      <c r="V33" s="228">
        <v>67.2</v>
      </c>
      <c r="W33" s="229">
        <v>6.1899999999999997E-2</v>
      </c>
      <c r="X33" s="228">
        <v>3.5</v>
      </c>
      <c r="Y33" s="228">
        <v>4.3</v>
      </c>
      <c r="Z33" s="228">
        <v>-0.8</v>
      </c>
      <c r="AA33" s="229">
        <v>3.0999999999999999E-3</v>
      </c>
      <c r="AB33" s="228">
        <v>3.5</v>
      </c>
      <c r="AC33" s="228">
        <v>4.3</v>
      </c>
      <c r="AD33" s="228">
        <v>-0.8</v>
      </c>
      <c r="AE33" s="229">
        <v>3.0999999999999999E-3</v>
      </c>
      <c r="AF33" s="228">
        <v>9.3000000000000007</v>
      </c>
      <c r="AG33" s="228">
        <v>10.8</v>
      </c>
      <c r="AH33" s="228">
        <v>-1.5</v>
      </c>
      <c r="AI33" s="229">
        <v>8.2000000000000007E-3</v>
      </c>
      <c r="AJ33" s="228">
        <v>13.9</v>
      </c>
      <c r="AK33" s="228">
        <v>17.2</v>
      </c>
      <c r="AL33" s="228">
        <v>-3.3</v>
      </c>
      <c r="AM33" s="229">
        <v>1.2200000000000001E-2</v>
      </c>
      <c r="AN33" s="231">
        <v>1122.43</v>
      </c>
      <c r="AO33" s="231">
        <v>1126.17</v>
      </c>
      <c r="AP33" s="228">
        <v>0</v>
      </c>
      <c r="AQ33" s="230">
        <v>15524</v>
      </c>
      <c r="AR33" s="230">
        <v>8316</v>
      </c>
      <c r="AS33" s="230">
        <v>7208</v>
      </c>
      <c r="AT33" s="229">
        <v>0.86680000000000001</v>
      </c>
      <c r="AU33" s="230">
        <v>14707</v>
      </c>
      <c r="AV33" s="230">
        <v>7756</v>
      </c>
      <c r="AW33" s="230">
        <v>6951</v>
      </c>
      <c r="AX33" s="229">
        <v>0.8962</v>
      </c>
      <c r="AY33" s="228">
        <v>705</v>
      </c>
      <c r="AZ33" s="228">
        <v>494</v>
      </c>
      <c r="BA33" s="228">
        <v>211</v>
      </c>
      <c r="BB33" s="229">
        <v>0.42709999999999998</v>
      </c>
      <c r="BC33" s="228">
        <v>112</v>
      </c>
      <c r="BD33" s="228">
        <v>66</v>
      </c>
      <c r="BE33" s="228">
        <v>46</v>
      </c>
      <c r="BF33" s="229">
        <v>0.69699999999999995</v>
      </c>
      <c r="BG33" s="230">
        <v>62071</v>
      </c>
      <c r="BH33" s="230">
        <v>25398</v>
      </c>
      <c r="BI33" s="230">
        <v>36673</v>
      </c>
      <c r="BJ33" s="229">
        <v>1.4439</v>
      </c>
      <c r="BK33" s="230">
        <v>28774</v>
      </c>
      <c r="BL33" s="230">
        <v>21432</v>
      </c>
      <c r="BM33" s="230">
        <v>7342</v>
      </c>
      <c r="BN33" s="229">
        <v>0.34260000000000002</v>
      </c>
      <c r="BO33" s="230">
        <v>106369</v>
      </c>
      <c r="BP33" s="230">
        <v>55146</v>
      </c>
      <c r="BQ33" s="230">
        <v>51223</v>
      </c>
      <c r="BR33" s="229">
        <v>0.92889999999999995</v>
      </c>
      <c r="BS33" s="230">
        <v>8798675</v>
      </c>
      <c r="BT33" s="230">
        <v>6094094</v>
      </c>
      <c r="BU33" s="230">
        <v>2704581</v>
      </c>
      <c r="BV33" s="229">
        <v>0.44379999999999997</v>
      </c>
      <c r="BW33" s="230">
        <v>18011700</v>
      </c>
      <c r="BX33" s="230">
        <v>18792375</v>
      </c>
      <c r="BY33" s="230">
        <v>-780675</v>
      </c>
      <c r="BZ33" s="229">
        <v>-4.1500000000000002E-2</v>
      </c>
      <c r="CA33" s="230">
        <v>17754450</v>
      </c>
      <c r="CB33" s="230">
        <v>18425925</v>
      </c>
      <c r="CC33" s="230">
        <v>-671475</v>
      </c>
      <c r="CD33" s="229">
        <v>-3.6400000000000002E-2</v>
      </c>
      <c r="CE33" s="230">
        <v>235200</v>
      </c>
      <c r="CF33" s="230">
        <v>335475</v>
      </c>
      <c r="CG33" s="230">
        <v>-100275</v>
      </c>
      <c r="CH33" s="229">
        <v>-0.2989</v>
      </c>
      <c r="CI33" s="230">
        <v>22050</v>
      </c>
      <c r="CJ33" s="230">
        <v>30975</v>
      </c>
      <c r="CK33" s="230">
        <v>-8925</v>
      </c>
      <c r="CL33" s="229">
        <v>-0.28810000000000002</v>
      </c>
      <c r="CM33" s="230">
        <v>3564225</v>
      </c>
      <c r="CN33" s="230">
        <v>4943400</v>
      </c>
      <c r="CO33" s="230">
        <v>-1379175</v>
      </c>
      <c r="CP33" s="229">
        <v>-0.27900000000000003</v>
      </c>
      <c r="CQ33" s="230">
        <v>2924775</v>
      </c>
      <c r="CR33" s="230">
        <v>2464875</v>
      </c>
      <c r="CS33" s="230">
        <v>459900</v>
      </c>
      <c r="CT33" s="229">
        <v>0.18659999999999999</v>
      </c>
      <c r="CU33" s="230">
        <v>24500700</v>
      </c>
      <c r="CV33" s="230">
        <v>26200650</v>
      </c>
      <c r="CW33" s="230">
        <v>-1699950</v>
      </c>
      <c r="CX33" s="229">
        <v>-6.4899999999999999E-2</v>
      </c>
      <c r="CY33" s="228">
        <v>28.43</v>
      </c>
      <c r="CZ33" s="228">
        <v>28.6</v>
      </c>
      <c r="DA33" s="228">
        <v>-0.17</v>
      </c>
      <c r="DB33" s="228">
        <v>-0.17</v>
      </c>
      <c r="DC33" s="228">
        <v>41.77</v>
      </c>
      <c r="DD33" s="228">
        <v>40.97</v>
      </c>
      <c r="DE33" s="228">
        <v>-13.34</v>
      </c>
      <c r="DF33" s="228">
        <v>0.8</v>
      </c>
      <c r="DG33" s="228">
        <v>27.7</v>
      </c>
      <c r="DH33" s="228">
        <v>28.74</v>
      </c>
      <c r="DI33" s="228">
        <v>-1.04</v>
      </c>
      <c r="DJ33" s="228">
        <v>-1.04</v>
      </c>
      <c r="DK33" s="228">
        <v>30</v>
      </c>
      <c r="DL33" s="228">
        <v>28.44</v>
      </c>
      <c r="DM33" s="228">
        <v>1.56</v>
      </c>
      <c r="DN33" s="228">
        <v>1.56</v>
      </c>
      <c r="DO33" s="228">
        <v>0.82</v>
      </c>
      <c r="DP33" s="228">
        <v>0.5</v>
      </c>
      <c r="DQ33" s="228">
        <v>0.32</v>
      </c>
      <c r="DR33" s="229">
        <v>0.64</v>
      </c>
      <c r="DS33" s="231">
        <v>1200</v>
      </c>
      <c r="DT33" s="231">
        <v>1060</v>
      </c>
      <c r="DU33" s="228">
        <v>0.46</v>
      </c>
      <c r="DV33" s="228">
        <v>0.84</v>
      </c>
      <c r="DW33" s="228">
        <v>-0.38</v>
      </c>
      <c r="DX33" s="229">
        <v>-0.45240000000000002</v>
      </c>
      <c r="DY33" s="229">
        <v>1.43E-2</v>
      </c>
      <c r="DZ33" s="230">
        <v>366450</v>
      </c>
      <c r="EA33" s="229">
        <v>5.1000000000000004E-3</v>
      </c>
      <c r="EB33" s="229">
        <v>1.43E-2</v>
      </c>
      <c r="EC33" s="228">
        <v>3.74</v>
      </c>
      <c r="ED33" s="229">
        <v>3.3E-3</v>
      </c>
      <c r="EE33" s="230">
        <v>3355792</v>
      </c>
      <c r="EF33" s="230">
        <v>3600769</v>
      </c>
      <c r="EG33" s="229">
        <v>-6.8000000000000005E-2</v>
      </c>
      <c r="EH33" s="229">
        <v>0.38140000000000002</v>
      </c>
      <c r="EI33" s="231">
        <v>382824.04</v>
      </c>
      <c r="EJ33" s="231">
        <v>166326.48000000001</v>
      </c>
      <c r="EK33" s="231">
        <v>91497.61</v>
      </c>
      <c r="EL33" s="231">
        <v>17820</v>
      </c>
      <c r="EM33" s="231">
        <v>640648.13</v>
      </c>
      <c r="EN33" s="231">
        <v>319879.90999999997</v>
      </c>
      <c r="EO33" s="231">
        <v>320768.21999999997</v>
      </c>
      <c r="EP33" s="229">
        <v>1.0027999999999999</v>
      </c>
      <c r="EQ33" s="231">
        <v>41972</v>
      </c>
      <c r="ER33" s="231">
        <v>32124</v>
      </c>
      <c r="ES33" s="231">
        <v>205926</v>
      </c>
      <c r="ET33" s="231">
        <v>97211768</v>
      </c>
      <c r="EU33" s="231">
        <v>280022</v>
      </c>
      <c r="EV33" s="231">
        <v>285621</v>
      </c>
      <c r="EW33" s="231">
        <v>-5599</v>
      </c>
      <c r="EX33" s="229">
        <v>-1.9599999999999999E-2</v>
      </c>
      <c r="EY33" s="229">
        <v>0.252</v>
      </c>
    </row>
    <row r="34" spans="1:155" ht="17.25" thickBot="1" x14ac:dyDescent="0.3">
      <c r="A34" s="226">
        <v>45936</v>
      </c>
      <c r="B34" s="227" t="s">
        <v>168</v>
      </c>
      <c r="C34" s="227" t="s">
        <v>265</v>
      </c>
      <c r="D34" s="231">
        <v>1185.4000000000001</v>
      </c>
      <c r="E34" s="231">
        <v>1174.2</v>
      </c>
      <c r="F34" s="228">
        <v>11.2</v>
      </c>
      <c r="G34" s="229">
        <v>9.4999999999999998E-3</v>
      </c>
      <c r="H34" s="231">
        <v>1181.7</v>
      </c>
      <c r="I34" s="231">
        <v>1169.9000000000001</v>
      </c>
      <c r="J34" s="228">
        <v>11.8</v>
      </c>
      <c r="K34" s="229">
        <v>1.01E-2</v>
      </c>
      <c r="L34" s="231">
        <v>1185.4000000000001</v>
      </c>
      <c r="M34" s="231">
        <v>1174.2</v>
      </c>
      <c r="N34" s="228">
        <v>11.2</v>
      </c>
      <c r="O34" s="229">
        <v>9.4999999999999998E-3</v>
      </c>
      <c r="P34" s="231">
        <v>1191.4000000000001</v>
      </c>
      <c r="Q34" s="231">
        <v>1179.5999999999999</v>
      </c>
      <c r="R34" s="228">
        <v>11.8</v>
      </c>
      <c r="S34" s="229">
        <v>0.01</v>
      </c>
      <c r="T34" s="231">
        <v>1197.5</v>
      </c>
      <c r="U34" s="231">
        <v>1186.5999999999999</v>
      </c>
      <c r="V34" s="228">
        <v>10.9</v>
      </c>
      <c r="W34" s="229">
        <v>9.1999999999999998E-3</v>
      </c>
      <c r="X34" s="228">
        <v>3.7</v>
      </c>
      <c r="Y34" s="228">
        <v>4.3</v>
      </c>
      <c r="Z34" s="228">
        <v>-0.6</v>
      </c>
      <c r="AA34" s="229">
        <v>3.0999999999999999E-3</v>
      </c>
      <c r="AB34" s="228">
        <v>3.7</v>
      </c>
      <c r="AC34" s="228">
        <v>4.3</v>
      </c>
      <c r="AD34" s="228">
        <v>-0.6</v>
      </c>
      <c r="AE34" s="229">
        <v>3.0999999999999999E-3</v>
      </c>
      <c r="AF34" s="228">
        <v>9.6999999999999993</v>
      </c>
      <c r="AG34" s="228">
        <v>9.6999999999999993</v>
      </c>
      <c r="AH34" s="228">
        <v>0</v>
      </c>
      <c r="AI34" s="229">
        <v>8.2000000000000007E-3</v>
      </c>
      <c r="AJ34" s="228">
        <v>15.8</v>
      </c>
      <c r="AK34" s="228">
        <v>16.7</v>
      </c>
      <c r="AL34" s="228">
        <v>-0.9</v>
      </c>
      <c r="AM34" s="229">
        <v>1.34E-2</v>
      </c>
      <c r="AN34" s="231">
        <v>1181.08</v>
      </c>
      <c r="AO34" s="231">
        <v>1184.5999999999999</v>
      </c>
      <c r="AP34" s="228">
        <v>0</v>
      </c>
      <c r="AQ34" s="230">
        <v>2296</v>
      </c>
      <c r="AR34" s="230">
        <v>2047</v>
      </c>
      <c r="AS34" s="228">
        <v>249</v>
      </c>
      <c r="AT34" s="229">
        <v>0.1216</v>
      </c>
      <c r="AU34" s="230">
        <v>2139</v>
      </c>
      <c r="AV34" s="230">
        <v>1943</v>
      </c>
      <c r="AW34" s="228">
        <v>196</v>
      </c>
      <c r="AX34" s="229">
        <v>0.1009</v>
      </c>
      <c r="AY34" s="228">
        <v>151</v>
      </c>
      <c r="AZ34" s="228">
        <v>100</v>
      </c>
      <c r="BA34" s="228">
        <v>51</v>
      </c>
      <c r="BB34" s="229">
        <v>0.51</v>
      </c>
      <c r="BC34" s="228">
        <v>6</v>
      </c>
      <c r="BD34" s="228">
        <v>4</v>
      </c>
      <c r="BE34" s="228">
        <v>2</v>
      </c>
      <c r="BF34" s="229">
        <v>0.5</v>
      </c>
      <c r="BG34" s="230">
        <v>6035</v>
      </c>
      <c r="BH34" s="230">
        <v>4198</v>
      </c>
      <c r="BI34" s="230">
        <v>1837</v>
      </c>
      <c r="BJ34" s="229">
        <v>0.43759999999999999</v>
      </c>
      <c r="BK34" s="230">
        <v>2804</v>
      </c>
      <c r="BL34" s="230">
        <v>1505</v>
      </c>
      <c r="BM34" s="230">
        <v>1299</v>
      </c>
      <c r="BN34" s="229">
        <v>0.86309999999999998</v>
      </c>
      <c r="BO34" s="230">
        <v>11135</v>
      </c>
      <c r="BP34" s="230">
        <v>7750</v>
      </c>
      <c r="BQ34" s="230">
        <v>3385</v>
      </c>
      <c r="BR34" s="229">
        <v>0.43680000000000002</v>
      </c>
      <c r="BS34" s="230">
        <v>674315</v>
      </c>
      <c r="BT34" s="230">
        <v>1221733</v>
      </c>
      <c r="BU34" s="230">
        <v>-547418</v>
      </c>
      <c r="BV34" s="229">
        <v>-0.4481</v>
      </c>
      <c r="BW34" s="230">
        <v>17842000</v>
      </c>
      <c r="BX34" s="230">
        <v>17915000</v>
      </c>
      <c r="BY34" s="230">
        <v>-73000</v>
      </c>
      <c r="BZ34" s="229">
        <v>-4.1000000000000003E-3</v>
      </c>
      <c r="CA34" s="230">
        <v>17543500</v>
      </c>
      <c r="CB34" s="230">
        <v>17642000</v>
      </c>
      <c r="CC34" s="230">
        <v>-98500</v>
      </c>
      <c r="CD34" s="229">
        <v>-5.5999999999999999E-3</v>
      </c>
      <c r="CE34" s="230">
        <v>289000</v>
      </c>
      <c r="CF34" s="230">
        <v>266000</v>
      </c>
      <c r="CG34" s="230">
        <v>23000</v>
      </c>
      <c r="CH34" s="229">
        <v>8.6499999999999994E-2</v>
      </c>
      <c r="CI34" s="230">
        <v>9500</v>
      </c>
      <c r="CJ34" s="230">
        <v>7000</v>
      </c>
      <c r="CK34" s="230">
        <v>2500</v>
      </c>
      <c r="CL34" s="229">
        <v>0.35709999999999997</v>
      </c>
      <c r="CM34" s="230">
        <v>2587500</v>
      </c>
      <c r="CN34" s="230">
        <v>2077000</v>
      </c>
      <c r="CO34" s="230">
        <v>510500</v>
      </c>
      <c r="CP34" s="229">
        <v>0.24579999999999999</v>
      </c>
      <c r="CQ34" s="230">
        <v>1418500</v>
      </c>
      <c r="CR34" s="230">
        <v>1312000</v>
      </c>
      <c r="CS34" s="230">
        <v>106500</v>
      </c>
      <c r="CT34" s="229">
        <v>8.1199999999999994E-2</v>
      </c>
      <c r="CU34" s="230">
        <v>21848000</v>
      </c>
      <c r="CV34" s="230">
        <v>21304000</v>
      </c>
      <c r="CW34" s="230">
        <v>544000</v>
      </c>
      <c r="CX34" s="229">
        <v>2.5499999999999998E-2</v>
      </c>
      <c r="CY34" s="228">
        <v>17.47</v>
      </c>
      <c r="CZ34" s="228">
        <v>17.899999999999999</v>
      </c>
      <c r="DA34" s="228">
        <v>-0.43</v>
      </c>
      <c r="DB34" s="228">
        <v>-0.43</v>
      </c>
      <c r="DC34" s="228">
        <v>23.58</v>
      </c>
      <c r="DD34" s="228">
        <v>23.6</v>
      </c>
      <c r="DE34" s="228">
        <v>-6.11</v>
      </c>
      <c r="DF34" s="228">
        <v>-0.02</v>
      </c>
      <c r="DG34" s="228">
        <v>17.16</v>
      </c>
      <c r="DH34" s="228">
        <v>17.809999999999999</v>
      </c>
      <c r="DI34" s="228">
        <v>-0.65</v>
      </c>
      <c r="DJ34" s="228">
        <v>-0.65</v>
      </c>
      <c r="DK34" s="228">
        <v>18.16</v>
      </c>
      <c r="DL34" s="228">
        <v>18.14</v>
      </c>
      <c r="DM34" s="228">
        <v>0.02</v>
      </c>
      <c r="DN34" s="228">
        <v>0.02</v>
      </c>
      <c r="DO34" s="228">
        <v>0.55000000000000004</v>
      </c>
      <c r="DP34" s="228">
        <v>0.63</v>
      </c>
      <c r="DQ34" s="228">
        <v>-0.08</v>
      </c>
      <c r="DR34" s="229">
        <v>-0.127</v>
      </c>
      <c r="DS34" s="231">
        <v>1200</v>
      </c>
      <c r="DT34" s="231">
        <v>1180</v>
      </c>
      <c r="DU34" s="228">
        <v>0.46</v>
      </c>
      <c r="DV34" s="228">
        <v>0.36</v>
      </c>
      <c r="DW34" s="228">
        <v>0.1</v>
      </c>
      <c r="DX34" s="229">
        <v>0.27779999999999999</v>
      </c>
      <c r="DY34" s="229">
        <v>1.67E-2</v>
      </c>
      <c r="DZ34" s="230">
        <v>273000</v>
      </c>
      <c r="EA34" s="229">
        <v>5.1000000000000004E-3</v>
      </c>
      <c r="EB34" s="229">
        <v>1.67E-2</v>
      </c>
      <c r="EC34" s="228">
        <v>3.52</v>
      </c>
      <c r="ED34" s="229">
        <v>3.0000000000000001E-3</v>
      </c>
      <c r="EE34" s="230">
        <v>366736</v>
      </c>
      <c r="EF34" s="230">
        <v>839711</v>
      </c>
      <c r="EG34" s="229">
        <v>-0.56330000000000002</v>
      </c>
      <c r="EH34" s="229">
        <v>0.54390000000000005</v>
      </c>
      <c r="EI34" s="231">
        <v>36596.42</v>
      </c>
      <c r="EJ34" s="231">
        <v>16369.22</v>
      </c>
      <c r="EK34" s="231">
        <v>13561.86</v>
      </c>
      <c r="EL34" s="231">
        <v>9506</v>
      </c>
      <c r="EM34" s="231">
        <v>66527.5</v>
      </c>
      <c r="EN34" s="231">
        <v>46066.65</v>
      </c>
      <c r="EO34" s="231">
        <v>20460.849999999999</v>
      </c>
      <c r="EP34" s="229">
        <v>0.44419999999999998</v>
      </c>
      <c r="EQ34" s="231">
        <v>31273</v>
      </c>
      <c r="ER34" s="231">
        <v>16295</v>
      </c>
      <c r="ES34" s="231">
        <v>211518</v>
      </c>
      <c r="ET34" s="231">
        <v>71801274</v>
      </c>
      <c r="EU34" s="231">
        <v>259086</v>
      </c>
      <c r="EV34" s="231">
        <v>250478</v>
      </c>
      <c r="EW34" s="231">
        <v>8608</v>
      </c>
      <c r="EX34" s="229">
        <v>3.44E-2</v>
      </c>
      <c r="EY34" s="229">
        <v>0.30430000000000001</v>
      </c>
    </row>
    <row r="35" spans="1:155" ht="17.25" thickBot="1" x14ac:dyDescent="0.3">
      <c r="A35" s="226">
        <v>45936</v>
      </c>
      <c r="B35" s="227" t="s">
        <v>161</v>
      </c>
      <c r="C35" s="227" t="s">
        <v>268</v>
      </c>
      <c r="D35" s="228">
        <v>341.1</v>
      </c>
      <c r="E35" s="228">
        <v>344.15</v>
      </c>
      <c r="F35" s="228">
        <v>-3.05</v>
      </c>
      <c r="G35" s="229">
        <v>-8.8999999999999999E-3</v>
      </c>
      <c r="H35" s="228">
        <v>339.1</v>
      </c>
      <c r="I35" s="228">
        <v>342</v>
      </c>
      <c r="J35" s="228">
        <v>-2.9</v>
      </c>
      <c r="K35" s="229">
        <v>-8.5000000000000006E-3</v>
      </c>
      <c r="L35" s="228">
        <v>341.1</v>
      </c>
      <c r="M35" s="228">
        <v>344.15</v>
      </c>
      <c r="N35" s="228">
        <v>-3.05</v>
      </c>
      <c r="O35" s="229">
        <v>-8.8999999999999999E-3</v>
      </c>
      <c r="P35" s="228">
        <v>340.7</v>
      </c>
      <c r="Q35" s="228">
        <v>343.65</v>
      </c>
      <c r="R35" s="228">
        <v>-2.95</v>
      </c>
      <c r="S35" s="229">
        <v>-8.6E-3</v>
      </c>
      <c r="T35" s="228">
        <v>343.1</v>
      </c>
      <c r="U35" s="228">
        <v>346</v>
      </c>
      <c r="V35" s="228">
        <v>-2.9</v>
      </c>
      <c r="W35" s="229">
        <v>-8.3999999999999995E-3</v>
      </c>
      <c r="X35" s="228">
        <v>2</v>
      </c>
      <c r="Y35" s="228">
        <v>2.15</v>
      </c>
      <c r="Z35" s="228">
        <v>-0.15</v>
      </c>
      <c r="AA35" s="229">
        <v>5.8999999999999999E-3</v>
      </c>
      <c r="AB35" s="228">
        <v>2</v>
      </c>
      <c r="AC35" s="228">
        <v>2.15</v>
      </c>
      <c r="AD35" s="228">
        <v>-0.15</v>
      </c>
      <c r="AE35" s="229">
        <v>5.8999999999999999E-3</v>
      </c>
      <c r="AF35" s="228">
        <v>1.6</v>
      </c>
      <c r="AG35" s="228">
        <v>1.65</v>
      </c>
      <c r="AH35" s="228">
        <v>-0.05</v>
      </c>
      <c r="AI35" s="229">
        <v>4.7000000000000002E-3</v>
      </c>
      <c r="AJ35" s="228">
        <v>4</v>
      </c>
      <c r="AK35" s="228">
        <v>4</v>
      </c>
      <c r="AL35" s="228">
        <v>0</v>
      </c>
      <c r="AM35" s="229">
        <v>1.18E-2</v>
      </c>
      <c r="AN35" s="228">
        <v>340.4</v>
      </c>
      <c r="AO35" s="228">
        <v>339.72</v>
      </c>
      <c r="AP35" s="228">
        <v>0</v>
      </c>
      <c r="AQ35" s="230">
        <v>5767</v>
      </c>
      <c r="AR35" s="230">
        <v>6017</v>
      </c>
      <c r="AS35" s="228">
        <v>-250</v>
      </c>
      <c r="AT35" s="229">
        <v>-4.1500000000000002E-2</v>
      </c>
      <c r="AU35" s="230">
        <v>5301</v>
      </c>
      <c r="AV35" s="230">
        <v>5630</v>
      </c>
      <c r="AW35" s="228">
        <v>-329</v>
      </c>
      <c r="AX35" s="229">
        <v>-5.8400000000000001E-2</v>
      </c>
      <c r="AY35" s="228">
        <v>416</v>
      </c>
      <c r="AZ35" s="228">
        <v>360</v>
      </c>
      <c r="BA35" s="228">
        <v>56</v>
      </c>
      <c r="BB35" s="229">
        <v>0.15559999999999999</v>
      </c>
      <c r="BC35" s="228">
        <v>50</v>
      </c>
      <c r="BD35" s="228">
        <v>27</v>
      </c>
      <c r="BE35" s="228">
        <v>23</v>
      </c>
      <c r="BF35" s="229">
        <v>0.85189999999999999</v>
      </c>
      <c r="BG35" s="230">
        <v>18658</v>
      </c>
      <c r="BH35" s="230">
        <v>15055</v>
      </c>
      <c r="BI35" s="230">
        <v>3603</v>
      </c>
      <c r="BJ35" s="229">
        <v>0.23930000000000001</v>
      </c>
      <c r="BK35" s="230">
        <v>8051</v>
      </c>
      <c r="BL35" s="230">
        <v>7655</v>
      </c>
      <c r="BM35" s="228">
        <v>396</v>
      </c>
      <c r="BN35" s="229">
        <v>5.1700000000000003E-2</v>
      </c>
      <c r="BO35" s="230">
        <v>32476</v>
      </c>
      <c r="BP35" s="230">
        <v>28727</v>
      </c>
      <c r="BQ35" s="230">
        <v>3749</v>
      </c>
      <c r="BR35" s="229">
        <v>0.1305</v>
      </c>
      <c r="BS35" s="230">
        <v>8776280</v>
      </c>
      <c r="BT35" s="230">
        <v>8583849</v>
      </c>
      <c r="BU35" s="230">
        <v>192431</v>
      </c>
      <c r="BV35" s="229">
        <v>2.24E-2</v>
      </c>
      <c r="BW35" s="230">
        <v>98919000</v>
      </c>
      <c r="BX35" s="230">
        <v>97993500</v>
      </c>
      <c r="BY35" s="230">
        <v>925500</v>
      </c>
      <c r="BZ35" s="229">
        <v>9.4000000000000004E-3</v>
      </c>
      <c r="CA35" s="230">
        <v>96669000</v>
      </c>
      <c r="CB35" s="230">
        <v>96070500</v>
      </c>
      <c r="CC35" s="230">
        <v>598500</v>
      </c>
      <c r="CD35" s="229">
        <v>6.1999999999999998E-3</v>
      </c>
      <c r="CE35" s="230">
        <v>2143500</v>
      </c>
      <c r="CF35" s="230">
        <v>1873500</v>
      </c>
      <c r="CG35" s="230">
        <v>270000</v>
      </c>
      <c r="CH35" s="229">
        <v>0.14410000000000001</v>
      </c>
      <c r="CI35" s="230">
        <v>106500</v>
      </c>
      <c r="CJ35" s="230">
        <v>49500</v>
      </c>
      <c r="CK35" s="230">
        <v>57000</v>
      </c>
      <c r="CL35" s="229">
        <v>1.1515</v>
      </c>
      <c r="CM35" s="230">
        <v>23199000</v>
      </c>
      <c r="CN35" s="230">
        <v>20140500</v>
      </c>
      <c r="CO35" s="230">
        <v>3058500</v>
      </c>
      <c r="CP35" s="229">
        <v>0.15190000000000001</v>
      </c>
      <c r="CQ35" s="230">
        <v>15549000</v>
      </c>
      <c r="CR35" s="230">
        <v>14425500</v>
      </c>
      <c r="CS35" s="230">
        <v>1123500</v>
      </c>
      <c r="CT35" s="229">
        <v>7.7899999999999997E-2</v>
      </c>
      <c r="CU35" s="230">
        <v>137667000</v>
      </c>
      <c r="CV35" s="230">
        <v>132559500</v>
      </c>
      <c r="CW35" s="230">
        <v>5107500</v>
      </c>
      <c r="CX35" s="229">
        <v>3.85E-2</v>
      </c>
      <c r="CY35" s="228">
        <v>18.829999999999998</v>
      </c>
      <c r="CZ35" s="228">
        <v>18.52</v>
      </c>
      <c r="DA35" s="228">
        <v>0.31</v>
      </c>
      <c r="DB35" s="228">
        <v>0.31</v>
      </c>
      <c r="DC35" s="228">
        <v>29.08</v>
      </c>
      <c r="DD35" s="228">
        <v>29.13</v>
      </c>
      <c r="DE35" s="228">
        <v>-10.25</v>
      </c>
      <c r="DF35" s="228">
        <v>-0.05</v>
      </c>
      <c r="DG35" s="228">
        <v>18.78</v>
      </c>
      <c r="DH35" s="228">
        <v>18.37</v>
      </c>
      <c r="DI35" s="228">
        <v>0.41</v>
      </c>
      <c r="DJ35" s="228">
        <v>0.41</v>
      </c>
      <c r="DK35" s="228">
        <v>18.96</v>
      </c>
      <c r="DL35" s="228">
        <v>18.829999999999998</v>
      </c>
      <c r="DM35" s="228">
        <v>0.13</v>
      </c>
      <c r="DN35" s="228">
        <v>0.13</v>
      </c>
      <c r="DO35" s="228">
        <v>0.67</v>
      </c>
      <c r="DP35" s="228">
        <v>0.72</v>
      </c>
      <c r="DQ35" s="228">
        <v>-0.05</v>
      </c>
      <c r="DR35" s="229">
        <v>-6.9400000000000003E-2</v>
      </c>
      <c r="DS35" s="228">
        <v>350</v>
      </c>
      <c r="DT35" s="228">
        <v>380</v>
      </c>
      <c r="DU35" s="228">
        <v>0.43</v>
      </c>
      <c r="DV35" s="228">
        <v>0.51</v>
      </c>
      <c r="DW35" s="228">
        <v>-0.08</v>
      </c>
      <c r="DX35" s="229">
        <v>-0.15690000000000001</v>
      </c>
      <c r="DY35" s="229">
        <v>2.2700000000000001E-2</v>
      </c>
      <c r="DZ35" s="230">
        <v>1923000</v>
      </c>
      <c r="EA35" s="229">
        <v>-1.1999999999999999E-3</v>
      </c>
      <c r="EB35" s="229">
        <v>2.2700000000000001E-2</v>
      </c>
      <c r="EC35" s="228">
        <v>-0.68</v>
      </c>
      <c r="ED35" s="229">
        <v>-2E-3</v>
      </c>
      <c r="EE35" s="230">
        <v>6215575</v>
      </c>
      <c r="EF35" s="230">
        <v>5930966</v>
      </c>
      <c r="EG35" s="229">
        <v>4.8000000000000001E-2</v>
      </c>
      <c r="EH35" s="229">
        <v>0.70820000000000005</v>
      </c>
      <c r="EI35" s="231">
        <v>98609.1</v>
      </c>
      <c r="EJ35" s="231">
        <v>40984.879999999997</v>
      </c>
      <c r="EK35" s="231">
        <v>29443.29</v>
      </c>
      <c r="EL35" s="231">
        <v>20624</v>
      </c>
      <c r="EM35" s="231">
        <v>169037.27</v>
      </c>
      <c r="EN35" s="231">
        <v>150139.79</v>
      </c>
      <c r="EO35" s="231">
        <v>18897.48</v>
      </c>
      <c r="EP35" s="229">
        <v>0.12590000000000001</v>
      </c>
      <c r="EQ35" s="231">
        <v>82515</v>
      </c>
      <c r="ER35" s="231">
        <v>52769</v>
      </c>
      <c r="ES35" s="231">
        <v>337406</v>
      </c>
      <c r="ET35" s="231">
        <v>572782298</v>
      </c>
      <c r="EU35" s="231">
        <v>472691</v>
      </c>
      <c r="EV35" s="231">
        <v>458219</v>
      </c>
      <c r="EW35" s="231">
        <v>14472</v>
      </c>
      <c r="EX35" s="229">
        <v>3.1600000000000003E-2</v>
      </c>
      <c r="EY35" s="229">
        <v>0.24030000000000001</v>
      </c>
    </row>
    <row r="36" spans="1:155" ht="17.25" thickBot="1" x14ac:dyDescent="0.3">
      <c r="A36" s="226">
        <v>45936</v>
      </c>
      <c r="B36" s="227" t="s">
        <v>193</v>
      </c>
      <c r="C36" s="227" t="s">
        <v>269</v>
      </c>
      <c r="D36" s="228">
        <v>247.3</v>
      </c>
      <c r="E36" s="228">
        <v>245.23</v>
      </c>
      <c r="F36" s="228">
        <v>2.0699999999999998</v>
      </c>
      <c r="G36" s="229">
        <v>8.3999999999999995E-3</v>
      </c>
      <c r="H36" s="228">
        <v>245.86</v>
      </c>
      <c r="I36" s="228">
        <v>243.66</v>
      </c>
      <c r="J36" s="228">
        <v>2.2000000000000002</v>
      </c>
      <c r="K36" s="229">
        <v>8.9999999999999993E-3</v>
      </c>
      <c r="L36" s="228">
        <v>247.3</v>
      </c>
      <c r="M36" s="228">
        <v>245.23</v>
      </c>
      <c r="N36" s="228">
        <v>2.0699999999999998</v>
      </c>
      <c r="O36" s="229">
        <v>8.3999999999999995E-3</v>
      </c>
      <c r="P36" s="228">
        <v>248.45</v>
      </c>
      <c r="Q36" s="228">
        <v>246.44</v>
      </c>
      <c r="R36" s="228">
        <v>2.0099999999999998</v>
      </c>
      <c r="S36" s="229">
        <v>8.2000000000000007E-3</v>
      </c>
      <c r="T36" s="228">
        <v>249.8</v>
      </c>
      <c r="U36" s="228">
        <v>247.85</v>
      </c>
      <c r="V36" s="228">
        <v>1.95</v>
      </c>
      <c r="W36" s="229">
        <v>7.9000000000000008E-3</v>
      </c>
      <c r="X36" s="228">
        <v>1.44</v>
      </c>
      <c r="Y36" s="228">
        <v>1.57</v>
      </c>
      <c r="Z36" s="228">
        <v>-0.13</v>
      </c>
      <c r="AA36" s="229">
        <v>5.8999999999999999E-3</v>
      </c>
      <c r="AB36" s="228">
        <v>1.44</v>
      </c>
      <c r="AC36" s="228">
        <v>1.57</v>
      </c>
      <c r="AD36" s="228">
        <v>-0.13</v>
      </c>
      <c r="AE36" s="229">
        <v>5.8999999999999999E-3</v>
      </c>
      <c r="AF36" s="228">
        <v>2.59</v>
      </c>
      <c r="AG36" s="228">
        <v>2.78</v>
      </c>
      <c r="AH36" s="228">
        <v>-0.19</v>
      </c>
      <c r="AI36" s="229">
        <v>1.0500000000000001E-2</v>
      </c>
      <c r="AJ36" s="228">
        <v>3.94</v>
      </c>
      <c r="AK36" s="228">
        <v>4.1900000000000004</v>
      </c>
      <c r="AL36" s="228">
        <v>-0.25</v>
      </c>
      <c r="AM36" s="229">
        <v>1.6E-2</v>
      </c>
      <c r="AN36" s="228">
        <v>247.02</v>
      </c>
      <c r="AO36" s="228">
        <v>248.06</v>
      </c>
      <c r="AP36" s="228">
        <v>0</v>
      </c>
      <c r="AQ36" s="230">
        <v>7088</v>
      </c>
      <c r="AR36" s="230">
        <v>6106</v>
      </c>
      <c r="AS36" s="228">
        <v>982</v>
      </c>
      <c r="AT36" s="229">
        <v>0.1608</v>
      </c>
      <c r="AU36" s="230">
        <v>6686</v>
      </c>
      <c r="AV36" s="230">
        <v>5711</v>
      </c>
      <c r="AW36" s="228">
        <v>975</v>
      </c>
      <c r="AX36" s="229">
        <v>0.17069999999999999</v>
      </c>
      <c r="AY36" s="228">
        <v>334</v>
      </c>
      <c r="AZ36" s="228">
        <v>343</v>
      </c>
      <c r="BA36" s="228">
        <v>-9</v>
      </c>
      <c r="BB36" s="229">
        <v>-2.6200000000000001E-2</v>
      </c>
      <c r="BC36" s="228">
        <v>68</v>
      </c>
      <c r="BD36" s="228">
        <v>52</v>
      </c>
      <c r="BE36" s="228">
        <v>16</v>
      </c>
      <c r="BF36" s="229">
        <v>0.30769999999999997</v>
      </c>
      <c r="BG36" s="230">
        <v>27243</v>
      </c>
      <c r="BH36" s="230">
        <v>18739</v>
      </c>
      <c r="BI36" s="230">
        <v>8504</v>
      </c>
      <c r="BJ36" s="229">
        <v>0.45379999999999998</v>
      </c>
      <c r="BK36" s="230">
        <v>11574</v>
      </c>
      <c r="BL36" s="230">
        <v>7713</v>
      </c>
      <c r="BM36" s="230">
        <v>3861</v>
      </c>
      <c r="BN36" s="229">
        <v>0.50060000000000004</v>
      </c>
      <c r="BO36" s="230">
        <v>45905</v>
      </c>
      <c r="BP36" s="230">
        <v>32558</v>
      </c>
      <c r="BQ36" s="230">
        <v>13347</v>
      </c>
      <c r="BR36" s="229">
        <v>0.40989999999999999</v>
      </c>
      <c r="BS36" s="230">
        <v>9773617</v>
      </c>
      <c r="BT36" s="230">
        <v>11592312</v>
      </c>
      <c r="BU36" s="230">
        <v>-1818695</v>
      </c>
      <c r="BV36" s="229">
        <v>-0.15690000000000001</v>
      </c>
      <c r="BW36" s="230">
        <v>98977500</v>
      </c>
      <c r="BX36" s="230">
        <v>99081000</v>
      </c>
      <c r="BY36" s="230">
        <v>-103500</v>
      </c>
      <c r="BZ36" s="229">
        <v>-1E-3</v>
      </c>
      <c r="CA36" s="230">
        <v>97317000</v>
      </c>
      <c r="CB36" s="230">
        <v>97584750</v>
      </c>
      <c r="CC36" s="230">
        <v>-267750</v>
      </c>
      <c r="CD36" s="229">
        <v>-2.7000000000000001E-3</v>
      </c>
      <c r="CE36" s="230">
        <v>1570500</v>
      </c>
      <c r="CF36" s="230">
        <v>1395000</v>
      </c>
      <c r="CG36" s="230">
        <v>175500</v>
      </c>
      <c r="CH36" s="229">
        <v>0.1258</v>
      </c>
      <c r="CI36" s="230">
        <v>90000</v>
      </c>
      <c r="CJ36" s="230">
        <v>101250</v>
      </c>
      <c r="CK36" s="230">
        <v>-11250</v>
      </c>
      <c r="CL36" s="229">
        <v>-0.1111</v>
      </c>
      <c r="CM36" s="230">
        <v>35154000</v>
      </c>
      <c r="CN36" s="230">
        <v>30948750</v>
      </c>
      <c r="CO36" s="230">
        <v>4205250</v>
      </c>
      <c r="CP36" s="229">
        <v>0.13589999999999999</v>
      </c>
      <c r="CQ36" s="230">
        <v>18661500</v>
      </c>
      <c r="CR36" s="230">
        <v>18913500</v>
      </c>
      <c r="CS36" s="230">
        <v>-252000</v>
      </c>
      <c r="CT36" s="229">
        <v>-1.3299999999999999E-2</v>
      </c>
      <c r="CU36" s="230">
        <v>152793000</v>
      </c>
      <c r="CV36" s="230">
        <v>148943250</v>
      </c>
      <c r="CW36" s="230">
        <v>3849750</v>
      </c>
      <c r="CX36" s="229">
        <v>2.58E-2</v>
      </c>
      <c r="CY36" s="228">
        <v>19.420000000000002</v>
      </c>
      <c r="CZ36" s="228">
        <v>19.36</v>
      </c>
      <c r="DA36" s="228">
        <v>0.06</v>
      </c>
      <c r="DB36" s="228">
        <v>0.06</v>
      </c>
      <c r="DC36" s="228">
        <v>32.71</v>
      </c>
      <c r="DD36" s="228">
        <v>32.770000000000003</v>
      </c>
      <c r="DE36" s="228">
        <v>-13.29</v>
      </c>
      <c r="DF36" s="228">
        <v>-0.06</v>
      </c>
      <c r="DG36" s="228">
        <v>19.190000000000001</v>
      </c>
      <c r="DH36" s="228">
        <v>19.309999999999999</v>
      </c>
      <c r="DI36" s="228">
        <v>-0.12</v>
      </c>
      <c r="DJ36" s="228">
        <v>-0.12</v>
      </c>
      <c r="DK36" s="228">
        <v>19.96</v>
      </c>
      <c r="DL36" s="228">
        <v>19.47</v>
      </c>
      <c r="DM36" s="228">
        <v>0.49</v>
      </c>
      <c r="DN36" s="228">
        <v>0.49</v>
      </c>
      <c r="DO36" s="228">
        <v>0.53</v>
      </c>
      <c r="DP36" s="228">
        <v>0.61</v>
      </c>
      <c r="DQ36" s="228">
        <v>-0.08</v>
      </c>
      <c r="DR36" s="229">
        <v>-0.13109999999999999</v>
      </c>
      <c r="DS36" s="228">
        <v>250</v>
      </c>
      <c r="DT36" s="228">
        <v>240</v>
      </c>
      <c r="DU36" s="228">
        <v>0.42</v>
      </c>
      <c r="DV36" s="228">
        <v>0.41</v>
      </c>
      <c r="DW36" s="228">
        <v>0.01</v>
      </c>
      <c r="DX36" s="229">
        <v>2.4400000000000002E-2</v>
      </c>
      <c r="DY36" s="229">
        <v>1.6799999999999999E-2</v>
      </c>
      <c r="DZ36" s="230">
        <v>1496250</v>
      </c>
      <c r="EA36" s="229">
        <v>4.7000000000000002E-3</v>
      </c>
      <c r="EB36" s="229">
        <v>1.6799999999999999E-2</v>
      </c>
      <c r="EC36" s="228">
        <v>1.04</v>
      </c>
      <c r="ED36" s="229">
        <v>4.1999999999999997E-3</v>
      </c>
      <c r="EE36" s="230">
        <v>4633984</v>
      </c>
      <c r="EF36" s="230">
        <v>7641298</v>
      </c>
      <c r="EG36" s="229">
        <v>-0.39360000000000001</v>
      </c>
      <c r="EH36" s="229">
        <v>0.47410000000000002</v>
      </c>
      <c r="EI36" s="231">
        <v>155972.72</v>
      </c>
      <c r="EJ36" s="231">
        <v>63476.74</v>
      </c>
      <c r="EK36" s="231">
        <v>39406.699999999997</v>
      </c>
      <c r="EL36" s="231">
        <v>15041</v>
      </c>
      <c r="EM36" s="231">
        <v>258856.16</v>
      </c>
      <c r="EN36" s="231">
        <v>182161.18</v>
      </c>
      <c r="EO36" s="231">
        <v>76694.98</v>
      </c>
      <c r="EP36" s="229">
        <v>0.42099999999999999</v>
      </c>
      <c r="EQ36" s="231">
        <v>88296</v>
      </c>
      <c r="ER36" s="231">
        <v>44962</v>
      </c>
      <c r="ES36" s="231">
        <v>244792</v>
      </c>
      <c r="ET36" s="231">
        <v>517141211</v>
      </c>
      <c r="EU36" s="231">
        <v>378050</v>
      </c>
      <c r="EV36" s="231">
        <v>366158</v>
      </c>
      <c r="EW36" s="231">
        <v>11892</v>
      </c>
      <c r="EX36" s="229">
        <v>3.2500000000000001E-2</v>
      </c>
      <c r="EY36" s="229">
        <v>0.29549999999999998</v>
      </c>
    </row>
    <row r="37" spans="1:155" ht="17.25" thickBot="1" x14ac:dyDescent="0.3">
      <c r="A37" s="226">
        <v>45936</v>
      </c>
      <c r="B37" s="227" t="s">
        <v>161</v>
      </c>
      <c r="C37" s="227" t="s">
        <v>276</v>
      </c>
      <c r="D37" s="228">
        <v>287.85000000000002</v>
      </c>
      <c r="E37" s="228">
        <v>290.3</v>
      </c>
      <c r="F37" s="228">
        <v>-2.4500000000000002</v>
      </c>
      <c r="G37" s="229">
        <v>-8.3999999999999995E-3</v>
      </c>
      <c r="H37" s="228">
        <v>286.89999999999998</v>
      </c>
      <c r="I37" s="228">
        <v>289.7</v>
      </c>
      <c r="J37" s="228">
        <v>-2.8</v>
      </c>
      <c r="K37" s="229">
        <v>-9.7000000000000003E-3</v>
      </c>
      <c r="L37" s="228">
        <v>287.85000000000002</v>
      </c>
      <c r="M37" s="228">
        <v>290.3</v>
      </c>
      <c r="N37" s="228">
        <v>-2.4500000000000002</v>
      </c>
      <c r="O37" s="229">
        <v>-8.3999999999999995E-3</v>
      </c>
      <c r="P37" s="228">
        <v>286</v>
      </c>
      <c r="Q37" s="228">
        <v>288.14999999999998</v>
      </c>
      <c r="R37" s="228">
        <v>-2.15</v>
      </c>
      <c r="S37" s="229">
        <v>-7.4999999999999997E-3</v>
      </c>
      <c r="T37" s="228">
        <v>287.7</v>
      </c>
      <c r="U37" s="228">
        <v>289.89999999999998</v>
      </c>
      <c r="V37" s="228">
        <v>-2.2000000000000002</v>
      </c>
      <c r="W37" s="229">
        <v>-7.6E-3</v>
      </c>
      <c r="X37" s="228">
        <v>0.95</v>
      </c>
      <c r="Y37" s="228">
        <v>0.6</v>
      </c>
      <c r="Z37" s="228">
        <v>0.35</v>
      </c>
      <c r="AA37" s="229">
        <v>3.3E-3</v>
      </c>
      <c r="AB37" s="228">
        <v>0.95</v>
      </c>
      <c r="AC37" s="228">
        <v>0.6</v>
      </c>
      <c r="AD37" s="228">
        <v>0.35</v>
      </c>
      <c r="AE37" s="229">
        <v>3.3E-3</v>
      </c>
      <c r="AF37" s="228">
        <v>-0.9</v>
      </c>
      <c r="AG37" s="228">
        <v>-1.55</v>
      </c>
      <c r="AH37" s="228">
        <v>0.65</v>
      </c>
      <c r="AI37" s="229">
        <v>-3.0999999999999999E-3</v>
      </c>
      <c r="AJ37" s="228">
        <v>0.8</v>
      </c>
      <c r="AK37" s="228">
        <v>0.2</v>
      </c>
      <c r="AL37" s="228">
        <v>0.6</v>
      </c>
      <c r="AM37" s="229">
        <v>2.8E-3</v>
      </c>
      <c r="AN37" s="228">
        <v>287.05</v>
      </c>
      <c r="AO37" s="228">
        <v>285.16000000000003</v>
      </c>
      <c r="AP37" s="228">
        <v>0</v>
      </c>
      <c r="AQ37" s="230">
        <v>4646</v>
      </c>
      <c r="AR37" s="230">
        <v>7537</v>
      </c>
      <c r="AS37" s="230">
        <v>-2891</v>
      </c>
      <c r="AT37" s="229">
        <v>-0.3836</v>
      </c>
      <c r="AU37" s="230">
        <v>4297</v>
      </c>
      <c r="AV37" s="230">
        <v>7141</v>
      </c>
      <c r="AW37" s="230">
        <v>-2844</v>
      </c>
      <c r="AX37" s="229">
        <v>-0.39829999999999999</v>
      </c>
      <c r="AY37" s="228">
        <v>316</v>
      </c>
      <c r="AZ37" s="228">
        <v>370</v>
      </c>
      <c r="BA37" s="228">
        <v>-54</v>
      </c>
      <c r="BB37" s="229">
        <v>-0.1459</v>
      </c>
      <c r="BC37" s="228">
        <v>33</v>
      </c>
      <c r="BD37" s="228">
        <v>26</v>
      </c>
      <c r="BE37" s="228">
        <v>7</v>
      </c>
      <c r="BF37" s="229">
        <v>0.26919999999999999</v>
      </c>
      <c r="BG37" s="230">
        <v>11634</v>
      </c>
      <c r="BH37" s="230">
        <v>19121</v>
      </c>
      <c r="BI37" s="230">
        <v>-7487</v>
      </c>
      <c r="BJ37" s="229">
        <v>-0.3916</v>
      </c>
      <c r="BK37" s="230">
        <v>5516</v>
      </c>
      <c r="BL37" s="230">
        <v>7389</v>
      </c>
      <c r="BM37" s="230">
        <v>-1873</v>
      </c>
      <c r="BN37" s="229">
        <v>-0.2535</v>
      </c>
      <c r="BO37" s="230">
        <v>21796</v>
      </c>
      <c r="BP37" s="230">
        <v>34047</v>
      </c>
      <c r="BQ37" s="230">
        <v>-12251</v>
      </c>
      <c r="BR37" s="229">
        <v>-0.35980000000000001</v>
      </c>
      <c r="BS37" s="230">
        <v>11850645</v>
      </c>
      <c r="BT37" s="230">
        <v>21193357</v>
      </c>
      <c r="BU37" s="230">
        <v>-9342712</v>
      </c>
      <c r="BV37" s="229">
        <v>-0.44080000000000003</v>
      </c>
      <c r="BW37" s="230">
        <v>73237400</v>
      </c>
      <c r="BX37" s="230">
        <v>75114600</v>
      </c>
      <c r="BY37" s="230">
        <v>-1877200</v>
      </c>
      <c r="BZ37" s="229">
        <v>-2.5000000000000001E-2</v>
      </c>
      <c r="CA37" s="230">
        <v>70942200</v>
      </c>
      <c r="CB37" s="230">
        <v>73026500</v>
      </c>
      <c r="CC37" s="230">
        <v>-2084300</v>
      </c>
      <c r="CD37" s="229">
        <v>-2.8500000000000001E-2</v>
      </c>
      <c r="CE37" s="230">
        <v>2243900</v>
      </c>
      <c r="CF37" s="230">
        <v>2053900</v>
      </c>
      <c r="CG37" s="230">
        <v>190000</v>
      </c>
      <c r="CH37" s="229">
        <v>9.2499999999999999E-2</v>
      </c>
      <c r="CI37" s="230">
        <v>51300</v>
      </c>
      <c r="CJ37" s="230">
        <v>34200</v>
      </c>
      <c r="CK37" s="230">
        <v>17100</v>
      </c>
      <c r="CL37" s="229">
        <v>0.5</v>
      </c>
      <c r="CM37" s="230">
        <v>23322500</v>
      </c>
      <c r="CN37" s="230">
        <v>20824000</v>
      </c>
      <c r="CO37" s="230">
        <v>2498500</v>
      </c>
      <c r="CP37" s="229">
        <v>0.12</v>
      </c>
      <c r="CQ37" s="230">
        <v>15844100</v>
      </c>
      <c r="CR37" s="230">
        <v>14962500</v>
      </c>
      <c r="CS37" s="230">
        <v>881600</v>
      </c>
      <c r="CT37" s="229">
        <v>5.8900000000000001E-2</v>
      </c>
      <c r="CU37" s="230">
        <v>112404000</v>
      </c>
      <c r="CV37" s="230">
        <v>110901100</v>
      </c>
      <c r="CW37" s="230">
        <v>1502900</v>
      </c>
      <c r="CX37" s="229">
        <v>1.3599999999999999E-2</v>
      </c>
      <c r="CY37" s="228">
        <v>19.25</v>
      </c>
      <c r="CZ37" s="228">
        <v>19.420000000000002</v>
      </c>
      <c r="DA37" s="228">
        <v>-0.17</v>
      </c>
      <c r="DB37" s="228">
        <v>-0.17</v>
      </c>
      <c r="DC37" s="228">
        <v>29.79</v>
      </c>
      <c r="DD37" s="228">
        <v>29.84</v>
      </c>
      <c r="DE37" s="228">
        <v>-10.54</v>
      </c>
      <c r="DF37" s="228">
        <v>-0.05</v>
      </c>
      <c r="DG37" s="228">
        <v>19.43</v>
      </c>
      <c r="DH37" s="228">
        <v>19.399999999999999</v>
      </c>
      <c r="DI37" s="228">
        <v>0.03</v>
      </c>
      <c r="DJ37" s="228">
        <v>0.03</v>
      </c>
      <c r="DK37" s="228">
        <v>18.87</v>
      </c>
      <c r="DL37" s="228">
        <v>19.489999999999998</v>
      </c>
      <c r="DM37" s="228">
        <v>-0.62</v>
      </c>
      <c r="DN37" s="228">
        <v>-0.62</v>
      </c>
      <c r="DO37" s="228">
        <v>0.68</v>
      </c>
      <c r="DP37" s="228">
        <v>0.72</v>
      </c>
      <c r="DQ37" s="228">
        <v>-0.04</v>
      </c>
      <c r="DR37" s="229">
        <v>-5.5599999999999997E-2</v>
      </c>
      <c r="DS37" s="228">
        <v>300</v>
      </c>
      <c r="DT37" s="228">
        <v>285</v>
      </c>
      <c r="DU37" s="228">
        <v>0.47</v>
      </c>
      <c r="DV37" s="228">
        <v>0.39</v>
      </c>
      <c r="DW37" s="228">
        <v>0.08</v>
      </c>
      <c r="DX37" s="229">
        <v>0.2051</v>
      </c>
      <c r="DY37" s="229">
        <v>3.1300000000000001E-2</v>
      </c>
      <c r="DZ37" s="230">
        <v>2088100</v>
      </c>
      <c r="EA37" s="229">
        <v>-6.4000000000000003E-3</v>
      </c>
      <c r="EB37" s="229">
        <v>3.1300000000000001E-2</v>
      </c>
      <c r="EC37" s="228">
        <v>-1.89</v>
      </c>
      <c r="ED37" s="229">
        <v>-6.6E-3</v>
      </c>
      <c r="EE37" s="230">
        <v>7796679</v>
      </c>
      <c r="EF37" s="230">
        <v>16998951</v>
      </c>
      <c r="EG37" s="229">
        <v>-0.5413</v>
      </c>
      <c r="EH37" s="229">
        <v>0.65790000000000004</v>
      </c>
      <c r="EI37" s="231">
        <v>65748.08</v>
      </c>
      <c r="EJ37" s="231">
        <v>30145.73</v>
      </c>
      <c r="EK37" s="231">
        <v>25327.94</v>
      </c>
      <c r="EL37" s="231">
        <v>14024</v>
      </c>
      <c r="EM37" s="231">
        <v>121221.75</v>
      </c>
      <c r="EN37" s="231">
        <v>189360.47</v>
      </c>
      <c r="EO37" s="231">
        <v>-68138.720000000001</v>
      </c>
      <c r="EP37" s="229">
        <v>-0.35980000000000001</v>
      </c>
      <c r="EQ37" s="231">
        <v>69622</v>
      </c>
      <c r="ER37" s="231">
        <v>45108</v>
      </c>
      <c r="ES37" s="231">
        <v>210772</v>
      </c>
      <c r="ET37" s="231">
        <v>488832949</v>
      </c>
      <c r="EU37" s="231">
        <v>325502</v>
      </c>
      <c r="EV37" s="231">
        <v>322804</v>
      </c>
      <c r="EW37" s="231">
        <v>2698</v>
      </c>
      <c r="EX37" s="229">
        <v>8.3999999999999995E-3</v>
      </c>
      <c r="EY37" s="229">
        <v>0.22989999999999999</v>
      </c>
    </row>
    <row r="38" spans="1:155" ht="17.25" thickBot="1" x14ac:dyDescent="0.3">
      <c r="A38" s="226">
        <v>45936</v>
      </c>
      <c r="B38" s="227" t="s">
        <v>193</v>
      </c>
      <c r="C38" s="227" t="s">
        <v>281</v>
      </c>
      <c r="D38" s="231">
        <v>1383.2</v>
      </c>
      <c r="E38" s="231">
        <v>1371.3</v>
      </c>
      <c r="F38" s="228">
        <v>11.9</v>
      </c>
      <c r="G38" s="229">
        <v>8.6999999999999994E-3</v>
      </c>
      <c r="H38" s="231">
        <v>1375</v>
      </c>
      <c r="I38" s="231">
        <v>1363.4</v>
      </c>
      <c r="J38" s="228">
        <v>11.6</v>
      </c>
      <c r="K38" s="229">
        <v>8.5000000000000006E-3</v>
      </c>
      <c r="L38" s="231">
        <v>1383.2</v>
      </c>
      <c r="M38" s="231">
        <v>1371.3</v>
      </c>
      <c r="N38" s="228">
        <v>11.9</v>
      </c>
      <c r="O38" s="229">
        <v>8.6999999999999994E-3</v>
      </c>
      <c r="P38" s="231">
        <v>1390.5</v>
      </c>
      <c r="Q38" s="231">
        <v>1378.6</v>
      </c>
      <c r="R38" s="228">
        <v>11.9</v>
      </c>
      <c r="S38" s="229">
        <v>8.6E-3</v>
      </c>
      <c r="T38" s="231">
        <v>1399.2</v>
      </c>
      <c r="U38" s="231">
        <v>1387.7</v>
      </c>
      <c r="V38" s="228">
        <v>11.5</v>
      </c>
      <c r="W38" s="229">
        <v>8.3000000000000001E-3</v>
      </c>
      <c r="X38" s="228">
        <v>8.1999999999999993</v>
      </c>
      <c r="Y38" s="228">
        <v>7.9</v>
      </c>
      <c r="Z38" s="228">
        <v>0.3</v>
      </c>
      <c r="AA38" s="229">
        <v>6.0000000000000001E-3</v>
      </c>
      <c r="AB38" s="228">
        <v>8.1999999999999993</v>
      </c>
      <c r="AC38" s="228">
        <v>7.9</v>
      </c>
      <c r="AD38" s="228">
        <v>0.3</v>
      </c>
      <c r="AE38" s="229">
        <v>6.0000000000000001E-3</v>
      </c>
      <c r="AF38" s="228">
        <v>15.5</v>
      </c>
      <c r="AG38" s="228">
        <v>15.2</v>
      </c>
      <c r="AH38" s="228">
        <v>0.3</v>
      </c>
      <c r="AI38" s="229">
        <v>1.1299999999999999E-2</v>
      </c>
      <c r="AJ38" s="228">
        <v>24.2</v>
      </c>
      <c r="AK38" s="228">
        <v>24.3</v>
      </c>
      <c r="AL38" s="228">
        <v>-0.1</v>
      </c>
      <c r="AM38" s="229">
        <v>1.7600000000000001E-2</v>
      </c>
      <c r="AN38" s="231">
        <v>1377.69</v>
      </c>
      <c r="AO38" s="231">
        <v>1384.64</v>
      </c>
      <c r="AP38" s="228">
        <v>0</v>
      </c>
      <c r="AQ38" s="230">
        <v>31485</v>
      </c>
      <c r="AR38" s="230">
        <v>24196</v>
      </c>
      <c r="AS38" s="230">
        <v>7289</v>
      </c>
      <c r="AT38" s="229">
        <v>0.30120000000000002</v>
      </c>
      <c r="AU38" s="230">
        <v>27645</v>
      </c>
      <c r="AV38" s="230">
        <v>22646</v>
      </c>
      <c r="AW38" s="230">
        <v>4999</v>
      </c>
      <c r="AX38" s="229">
        <v>0.22070000000000001</v>
      </c>
      <c r="AY38" s="230">
        <v>1368</v>
      </c>
      <c r="AZ38" s="230">
        <v>1235</v>
      </c>
      <c r="BA38" s="228">
        <v>133</v>
      </c>
      <c r="BB38" s="229">
        <v>0.1077</v>
      </c>
      <c r="BC38" s="230">
        <v>2472</v>
      </c>
      <c r="BD38" s="228">
        <v>315</v>
      </c>
      <c r="BE38" s="230">
        <v>2157</v>
      </c>
      <c r="BF38" s="229">
        <v>6.8475999999999999</v>
      </c>
      <c r="BG38" s="230">
        <v>104397</v>
      </c>
      <c r="BH38" s="230">
        <v>80863</v>
      </c>
      <c r="BI38" s="230">
        <v>23534</v>
      </c>
      <c r="BJ38" s="229">
        <v>0.29099999999999998</v>
      </c>
      <c r="BK38" s="230">
        <v>52652</v>
      </c>
      <c r="BL38" s="230">
        <v>47289</v>
      </c>
      <c r="BM38" s="230">
        <v>5363</v>
      </c>
      <c r="BN38" s="229">
        <v>0.1134</v>
      </c>
      <c r="BO38" s="230">
        <v>188534</v>
      </c>
      <c r="BP38" s="230">
        <v>152348</v>
      </c>
      <c r="BQ38" s="230">
        <v>36186</v>
      </c>
      <c r="BR38" s="229">
        <v>0.23749999999999999</v>
      </c>
      <c r="BS38" s="230">
        <v>13071472</v>
      </c>
      <c r="BT38" s="230">
        <v>13711629</v>
      </c>
      <c r="BU38" s="230">
        <v>-640157</v>
      </c>
      <c r="BV38" s="229">
        <v>-4.6699999999999998E-2</v>
      </c>
      <c r="BW38" s="230">
        <v>136003500</v>
      </c>
      <c r="BX38" s="230">
        <v>134778000</v>
      </c>
      <c r="BY38" s="230">
        <v>1225500</v>
      </c>
      <c r="BZ38" s="229">
        <v>9.1000000000000004E-3</v>
      </c>
      <c r="CA38" s="230">
        <v>129506500</v>
      </c>
      <c r="CB38" s="230">
        <v>129551000</v>
      </c>
      <c r="CC38" s="230">
        <v>-44500</v>
      </c>
      <c r="CD38" s="229">
        <v>-2.9999999999999997E-4</v>
      </c>
      <c r="CE38" s="230">
        <v>5193500</v>
      </c>
      <c r="CF38" s="230">
        <v>5050000</v>
      </c>
      <c r="CG38" s="230">
        <v>143500</v>
      </c>
      <c r="CH38" s="229">
        <v>2.8400000000000002E-2</v>
      </c>
      <c r="CI38" s="230">
        <v>1303500</v>
      </c>
      <c r="CJ38" s="230">
        <v>177000</v>
      </c>
      <c r="CK38" s="230">
        <v>1126500</v>
      </c>
      <c r="CL38" s="229">
        <v>6.3643999999999998</v>
      </c>
      <c r="CM38" s="230">
        <v>42472500</v>
      </c>
      <c r="CN38" s="230">
        <v>41765000</v>
      </c>
      <c r="CO38" s="230">
        <v>707500</v>
      </c>
      <c r="CP38" s="229">
        <v>1.6899999999999998E-2</v>
      </c>
      <c r="CQ38" s="230">
        <v>33771500</v>
      </c>
      <c r="CR38" s="230">
        <v>32438500</v>
      </c>
      <c r="CS38" s="230">
        <v>1333000</v>
      </c>
      <c r="CT38" s="229">
        <v>4.1099999999999998E-2</v>
      </c>
      <c r="CU38" s="230">
        <v>212247500</v>
      </c>
      <c r="CV38" s="230">
        <v>208981500</v>
      </c>
      <c r="CW38" s="230">
        <v>3266000</v>
      </c>
      <c r="CX38" s="229">
        <v>1.5599999999999999E-2</v>
      </c>
      <c r="CY38" s="228">
        <v>18.920000000000002</v>
      </c>
      <c r="CZ38" s="228">
        <v>18.600000000000001</v>
      </c>
      <c r="DA38" s="228">
        <v>0.32</v>
      </c>
      <c r="DB38" s="228">
        <v>0.32</v>
      </c>
      <c r="DC38" s="228">
        <v>24.53</v>
      </c>
      <c r="DD38" s="228">
        <v>24.57</v>
      </c>
      <c r="DE38" s="228">
        <v>-5.61</v>
      </c>
      <c r="DF38" s="228">
        <v>-0.04</v>
      </c>
      <c r="DG38" s="228">
        <v>18.760000000000002</v>
      </c>
      <c r="DH38" s="228">
        <v>18.5</v>
      </c>
      <c r="DI38" s="228">
        <v>0.26</v>
      </c>
      <c r="DJ38" s="228">
        <v>0.26</v>
      </c>
      <c r="DK38" s="228">
        <v>19.239999999999998</v>
      </c>
      <c r="DL38" s="228">
        <v>18.760000000000002</v>
      </c>
      <c r="DM38" s="228">
        <v>0.48</v>
      </c>
      <c r="DN38" s="228">
        <v>0.48</v>
      </c>
      <c r="DO38" s="228">
        <v>0.8</v>
      </c>
      <c r="DP38" s="228">
        <v>0.78</v>
      </c>
      <c r="DQ38" s="228">
        <v>0.02</v>
      </c>
      <c r="DR38" s="229">
        <v>2.5600000000000001E-2</v>
      </c>
      <c r="DS38" s="231">
        <v>1400</v>
      </c>
      <c r="DT38" s="231">
        <v>1400</v>
      </c>
      <c r="DU38" s="228">
        <v>0.5</v>
      </c>
      <c r="DV38" s="228">
        <v>0.57999999999999996</v>
      </c>
      <c r="DW38" s="228">
        <v>-0.08</v>
      </c>
      <c r="DX38" s="229">
        <v>-0.13789999999999999</v>
      </c>
      <c r="DY38" s="229">
        <v>4.7800000000000002E-2</v>
      </c>
      <c r="DZ38" s="230">
        <v>5227000</v>
      </c>
      <c r="EA38" s="229">
        <v>5.3E-3</v>
      </c>
      <c r="EB38" s="229">
        <v>4.7800000000000002E-2</v>
      </c>
      <c r="EC38" s="228">
        <v>6.95</v>
      </c>
      <c r="ED38" s="229">
        <v>5.0000000000000001E-3</v>
      </c>
      <c r="EE38" s="230">
        <v>8946348</v>
      </c>
      <c r="EF38" s="230">
        <v>8792489</v>
      </c>
      <c r="EG38" s="229">
        <v>1.7500000000000002E-2</v>
      </c>
      <c r="EH38" s="229">
        <v>0.68440000000000001</v>
      </c>
      <c r="EI38" s="231">
        <v>741835.72</v>
      </c>
      <c r="EJ38" s="231">
        <v>358127.04</v>
      </c>
      <c r="EK38" s="231">
        <v>217094.84</v>
      </c>
      <c r="EL38" s="231">
        <v>63485</v>
      </c>
      <c r="EM38" s="231">
        <v>1317057.6000000001</v>
      </c>
      <c r="EN38" s="231">
        <v>1060930.47</v>
      </c>
      <c r="EO38" s="231">
        <v>256127.13</v>
      </c>
      <c r="EP38" s="229">
        <v>0.2414</v>
      </c>
      <c r="EQ38" s="231">
        <v>604670</v>
      </c>
      <c r="ER38" s="231">
        <v>463510</v>
      </c>
      <c r="ES38" s="231">
        <v>1881788</v>
      </c>
      <c r="ET38" s="231">
        <v>662701060</v>
      </c>
      <c r="EU38" s="231">
        <v>2949968</v>
      </c>
      <c r="EV38" s="231">
        <v>2888283</v>
      </c>
      <c r="EW38" s="231">
        <v>61685</v>
      </c>
      <c r="EX38" s="229">
        <v>2.1399999999999999E-2</v>
      </c>
      <c r="EY38" s="229">
        <v>0.32029999999999997</v>
      </c>
    </row>
    <row r="39" spans="1:155" ht="17.25" thickBot="1" x14ac:dyDescent="0.3">
      <c r="A39" s="226">
        <v>45936</v>
      </c>
      <c r="B39" s="227" t="s">
        <v>175</v>
      </c>
      <c r="C39" s="227" t="s">
        <v>462</v>
      </c>
      <c r="D39" s="231">
        <v>1774.3</v>
      </c>
      <c r="E39" s="231">
        <v>1791.3</v>
      </c>
      <c r="F39" s="228">
        <v>-17</v>
      </c>
      <c r="G39" s="229">
        <v>-9.4999999999999998E-3</v>
      </c>
      <c r="H39" s="231">
        <v>1770.9</v>
      </c>
      <c r="I39" s="231">
        <v>1785.1</v>
      </c>
      <c r="J39" s="228">
        <v>-14.2</v>
      </c>
      <c r="K39" s="229">
        <v>-8.0000000000000002E-3</v>
      </c>
      <c r="L39" s="231">
        <v>1774.3</v>
      </c>
      <c r="M39" s="231">
        <v>1791.3</v>
      </c>
      <c r="N39" s="228">
        <v>-17</v>
      </c>
      <c r="O39" s="229">
        <v>-9.4999999999999998E-3</v>
      </c>
      <c r="P39" s="231">
        <v>1784.8</v>
      </c>
      <c r="Q39" s="231">
        <v>1801</v>
      </c>
      <c r="R39" s="228">
        <v>-16.2</v>
      </c>
      <c r="S39" s="229">
        <v>-8.9999999999999993E-3</v>
      </c>
      <c r="T39" s="231">
        <v>1793.4</v>
      </c>
      <c r="U39" s="231">
        <v>1810.8</v>
      </c>
      <c r="V39" s="228">
        <v>-17.399999999999999</v>
      </c>
      <c r="W39" s="229">
        <v>-9.5999999999999992E-3</v>
      </c>
      <c r="X39" s="228">
        <v>3.4</v>
      </c>
      <c r="Y39" s="228">
        <v>6.2</v>
      </c>
      <c r="Z39" s="228">
        <v>-2.8</v>
      </c>
      <c r="AA39" s="229">
        <v>1.9E-3</v>
      </c>
      <c r="AB39" s="228">
        <v>3.4</v>
      </c>
      <c r="AC39" s="228">
        <v>6.2</v>
      </c>
      <c r="AD39" s="228">
        <v>-2.8</v>
      </c>
      <c r="AE39" s="229">
        <v>1.9E-3</v>
      </c>
      <c r="AF39" s="228">
        <v>13.9</v>
      </c>
      <c r="AG39" s="228">
        <v>15.9</v>
      </c>
      <c r="AH39" s="228">
        <v>-2</v>
      </c>
      <c r="AI39" s="229">
        <v>7.7999999999999996E-3</v>
      </c>
      <c r="AJ39" s="228">
        <v>22.5</v>
      </c>
      <c r="AK39" s="228">
        <v>25.7</v>
      </c>
      <c r="AL39" s="228">
        <v>-3.2</v>
      </c>
      <c r="AM39" s="229">
        <v>1.2699999999999999E-2</v>
      </c>
      <c r="AN39" s="231">
        <v>1771.95</v>
      </c>
      <c r="AO39" s="231">
        <v>1782.51</v>
      </c>
      <c r="AP39" s="228">
        <v>0</v>
      </c>
      <c r="AQ39" s="230">
        <v>4910</v>
      </c>
      <c r="AR39" s="230">
        <v>2931</v>
      </c>
      <c r="AS39" s="230">
        <v>1979</v>
      </c>
      <c r="AT39" s="229">
        <v>0.67520000000000002</v>
      </c>
      <c r="AU39" s="230">
        <v>4723</v>
      </c>
      <c r="AV39" s="230">
        <v>2792</v>
      </c>
      <c r="AW39" s="230">
        <v>1931</v>
      </c>
      <c r="AX39" s="229">
        <v>0.69159999999999999</v>
      </c>
      <c r="AY39" s="228">
        <v>145</v>
      </c>
      <c r="AZ39" s="228">
        <v>127</v>
      </c>
      <c r="BA39" s="228">
        <v>18</v>
      </c>
      <c r="BB39" s="229">
        <v>0.14169999999999999</v>
      </c>
      <c r="BC39" s="228">
        <v>42</v>
      </c>
      <c r="BD39" s="228">
        <v>12</v>
      </c>
      <c r="BE39" s="228">
        <v>30</v>
      </c>
      <c r="BF39" s="229">
        <v>2.5</v>
      </c>
      <c r="BG39" s="230">
        <v>4705</v>
      </c>
      <c r="BH39" s="230">
        <v>7831</v>
      </c>
      <c r="BI39" s="230">
        <v>-3126</v>
      </c>
      <c r="BJ39" s="229">
        <v>-0.3992</v>
      </c>
      <c r="BK39" s="230">
        <v>2159</v>
      </c>
      <c r="BL39" s="230">
        <v>2337</v>
      </c>
      <c r="BM39" s="228">
        <v>-178</v>
      </c>
      <c r="BN39" s="229">
        <v>-7.6200000000000004E-2</v>
      </c>
      <c r="BO39" s="230">
        <v>11774</v>
      </c>
      <c r="BP39" s="230">
        <v>13099</v>
      </c>
      <c r="BQ39" s="230">
        <v>-1325</v>
      </c>
      <c r="BR39" s="229">
        <v>-0.1012</v>
      </c>
      <c r="BS39" s="230">
        <v>1577809</v>
      </c>
      <c r="BT39" s="230">
        <v>726947</v>
      </c>
      <c r="BU39" s="230">
        <v>850862</v>
      </c>
      <c r="BV39" s="229">
        <v>1.1705000000000001</v>
      </c>
      <c r="BW39" s="230">
        <v>6742500</v>
      </c>
      <c r="BX39" s="230">
        <v>6918750</v>
      </c>
      <c r="BY39" s="230">
        <v>-176250</v>
      </c>
      <c r="BZ39" s="229">
        <v>-2.5499999999999998E-2</v>
      </c>
      <c r="CA39" s="230">
        <v>6652125</v>
      </c>
      <c r="CB39" s="230">
        <v>6841500</v>
      </c>
      <c r="CC39" s="230">
        <v>-189375</v>
      </c>
      <c r="CD39" s="229">
        <v>-2.7699999999999999E-2</v>
      </c>
      <c r="CE39" s="230">
        <v>75000</v>
      </c>
      <c r="CF39" s="230">
        <v>59250</v>
      </c>
      <c r="CG39" s="230">
        <v>15750</v>
      </c>
      <c r="CH39" s="229">
        <v>0.26579999999999998</v>
      </c>
      <c r="CI39" s="230">
        <v>15375</v>
      </c>
      <c r="CJ39" s="230">
        <v>18000</v>
      </c>
      <c r="CK39" s="230">
        <v>-2625</v>
      </c>
      <c r="CL39" s="229">
        <v>-0.14580000000000001</v>
      </c>
      <c r="CM39" s="230">
        <v>1806375</v>
      </c>
      <c r="CN39" s="230">
        <v>1580625</v>
      </c>
      <c r="CO39" s="230">
        <v>225750</v>
      </c>
      <c r="CP39" s="229">
        <v>0.14280000000000001</v>
      </c>
      <c r="CQ39" s="230">
        <v>723000</v>
      </c>
      <c r="CR39" s="230">
        <v>651750</v>
      </c>
      <c r="CS39" s="230">
        <v>71250</v>
      </c>
      <c r="CT39" s="229">
        <v>0.10929999999999999</v>
      </c>
      <c r="CU39" s="230">
        <v>9271875</v>
      </c>
      <c r="CV39" s="230">
        <v>9151125</v>
      </c>
      <c r="CW39" s="230">
        <v>120750</v>
      </c>
      <c r="CX39" s="229">
        <v>1.32E-2</v>
      </c>
      <c r="CY39" s="228">
        <v>21.4</v>
      </c>
      <c r="CZ39" s="228">
        <v>20.59</v>
      </c>
      <c r="DA39" s="228">
        <v>0.81</v>
      </c>
      <c r="DB39" s="228">
        <v>0.81</v>
      </c>
      <c r="DC39" s="228">
        <v>25.92</v>
      </c>
      <c r="DD39" s="228">
        <v>25.97</v>
      </c>
      <c r="DE39" s="228">
        <v>-4.5199999999999996</v>
      </c>
      <c r="DF39" s="228">
        <v>-0.05</v>
      </c>
      <c r="DG39" s="228">
        <v>21.36</v>
      </c>
      <c r="DH39" s="228">
        <v>20.39</v>
      </c>
      <c r="DI39" s="228">
        <v>0.97</v>
      </c>
      <c r="DJ39" s="228">
        <v>0.97</v>
      </c>
      <c r="DK39" s="228">
        <v>21.49</v>
      </c>
      <c r="DL39" s="228">
        <v>21.28</v>
      </c>
      <c r="DM39" s="228">
        <v>0.21</v>
      </c>
      <c r="DN39" s="228">
        <v>0.21</v>
      </c>
      <c r="DO39" s="228">
        <v>0.4</v>
      </c>
      <c r="DP39" s="228">
        <v>0.41</v>
      </c>
      <c r="DQ39" s="228">
        <v>-0.01</v>
      </c>
      <c r="DR39" s="229">
        <v>-2.4400000000000002E-2</v>
      </c>
      <c r="DS39" s="231">
        <v>1800</v>
      </c>
      <c r="DT39" s="231">
        <v>1800</v>
      </c>
      <c r="DU39" s="228">
        <v>0.46</v>
      </c>
      <c r="DV39" s="228">
        <v>0.3</v>
      </c>
      <c r="DW39" s="228">
        <v>0.16</v>
      </c>
      <c r="DX39" s="229">
        <v>0.5333</v>
      </c>
      <c r="DY39" s="229">
        <v>1.34E-2</v>
      </c>
      <c r="DZ39" s="230">
        <v>77250</v>
      </c>
      <c r="EA39" s="229">
        <v>5.8999999999999999E-3</v>
      </c>
      <c r="EB39" s="229">
        <v>1.34E-2</v>
      </c>
      <c r="EC39" s="228">
        <v>10.56</v>
      </c>
      <c r="ED39" s="229">
        <v>6.0000000000000001E-3</v>
      </c>
      <c r="EE39" s="230">
        <v>1121994</v>
      </c>
      <c r="EF39" s="230">
        <v>435780</v>
      </c>
      <c r="EG39" s="229">
        <v>1.5747</v>
      </c>
      <c r="EH39" s="229">
        <v>0.71109999999999995</v>
      </c>
      <c r="EI39" s="231">
        <v>32523.56</v>
      </c>
      <c r="EJ39" s="231">
        <v>14353.79</v>
      </c>
      <c r="EK39" s="231">
        <v>32634.89</v>
      </c>
      <c r="EL39" s="231">
        <v>6574</v>
      </c>
      <c r="EM39" s="231">
        <v>79512.240000000005</v>
      </c>
      <c r="EN39" s="231">
        <v>89838.06</v>
      </c>
      <c r="EO39" s="231">
        <v>-10325.82</v>
      </c>
      <c r="EP39" s="229">
        <v>-0.1149</v>
      </c>
      <c r="EQ39" s="231">
        <v>33502</v>
      </c>
      <c r="ER39" s="231">
        <v>12586</v>
      </c>
      <c r="ES39" s="231">
        <v>119643</v>
      </c>
      <c r="ET39" s="231">
        <v>44735132</v>
      </c>
      <c r="EU39" s="231">
        <v>165731</v>
      </c>
      <c r="EV39" s="231">
        <v>164686</v>
      </c>
      <c r="EW39" s="231">
        <v>1045</v>
      </c>
      <c r="EX39" s="229">
        <v>6.3E-3</v>
      </c>
      <c r="EY39" s="229">
        <v>0.20730000000000001</v>
      </c>
    </row>
    <row r="40" spans="1:155" ht="17.25" thickBot="1" x14ac:dyDescent="0.3">
      <c r="A40" s="226">
        <v>45936</v>
      </c>
      <c r="B40" s="227" t="s">
        <v>172</v>
      </c>
      <c r="C40" s="227" t="s">
        <v>283</v>
      </c>
      <c r="D40" s="228">
        <v>877.75</v>
      </c>
      <c r="E40" s="228">
        <v>872.85</v>
      </c>
      <c r="F40" s="228">
        <v>4.9000000000000004</v>
      </c>
      <c r="G40" s="229">
        <v>5.5999999999999999E-3</v>
      </c>
      <c r="H40" s="228">
        <v>874.05</v>
      </c>
      <c r="I40" s="228">
        <v>867.3</v>
      </c>
      <c r="J40" s="228">
        <v>6.75</v>
      </c>
      <c r="K40" s="229">
        <v>7.7999999999999996E-3</v>
      </c>
      <c r="L40" s="228">
        <v>877.75</v>
      </c>
      <c r="M40" s="228">
        <v>872.85</v>
      </c>
      <c r="N40" s="228">
        <v>4.9000000000000004</v>
      </c>
      <c r="O40" s="229">
        <v>5.5999999999999999E-3</v>
      </c>
      <c r="P40" s="228">
        <v>882.3</v>
      </c>
      <c r="Q40" s="228">
        <v>877.5</v>
      </c>
      <c r="R40" s="228">
        <v>4.8</v>
      </c>
      <c r="S40" s="229">
        <v>5.4999999999999997E-3</v>
      </c>
      <c r="T40" s="228">
        <v>887.55</v>
      </c>
      <c r="U40" s="228">
        <v>882.85</v>
      </c>
      <c r="V40" s="228">
        <v>4.7</v>
      </c>
      <c r="W40" s="229">
        <v>5.3E-3</v>
      </c>
      <c r="X40" s="228">
        <v>3.7</v>
      </c>
      <c r="Y40" s="228">
        <v>5.55</v>
      </c>
      <c r="Z40" s="228">
        <v>-1.85</v>
      </c>
      <c r="AA40" s="229">
        <v>4.1999999999999997E-3</v>
      </c>
      <c r="AB40" s="228">
        <v>3.7</v>
      </c>
      <c r="AC40" s="228">
        <v>5.55</v>
      </c>
      <c r="AD40" s="228">
        <v>-1.85</v>
      </c>
      <c r="AE40" s="229">
        <v>4.1999999999999997E-3</v>
      </c>
      <c r="AF40" s="228">
        <v>8.25</v>
      </c>
      <c r="AG40" s="228">
        <v>10.199999999999999</v>
      </c>
      <c r="AH40" s="228">
        <v>-1.95</v>
      </c>
      <c r="AI40" s="229">
        <v>9.4000000000000004E-3</v>
      </c>
      <c r="AJ40" s="228">
        <v>13.5</v>
      </c>
      <c r="AK40" s="228">
        <v>15.55</v>
      </c>
      <c r="AL40" s="228">
        <v>-2.0499999999999998</v>
      </c>
      <c r="AM40" s="229">
        <v>1.54E-2</v>
      </c>
      <c r="AN40" s="228">
        <v>872.59</v>
      </c>
      <c r="AO40" s="228">
        <v>877.25</v>
      </c>
      <c r="AP40" s="228">
        <v>0</v>
      </c>
      <c r="AQ40" s="230">
        <v>17508</v>
      </c>
      <c r="AR40" s="230">
        <v>16366</v>
      </c>
      <c r="AS40" s="230">
        <v>1142</v>
      </c>
      <c r="AT40" s="229">
        <v>6.9800000000000001E-2</v>
      </c>
      <c r="AU40" s="230">
        <v>16632</v>
      </c>
      <c r="AV40" s="230">
        <v>15527</v>
      </c>
      <c r="AW40" s="230">
        <v>1105</v>
      </c>
      <c r="AX40" s="229">
        <v>7.1199999999999999E-2</v>
      </c>
      <c r="AY40" s="228">
        <v>770</v>
      </c>
      <c r="AZ40" s="228">
        <v>716</v>
      </c>
      <c r="BA40" s="228">
        <v>54</v>
      </c>
      <c r="BB40" s="229">
        <v>7.5399999999999995E-2</v>
      </c>
      <c r="BC40" s="228">
        <v>106</v>
      </c>
      <c r="BD40" s="228">
        <v>123</v>
      </c>
      <c r="BE40" s="228">
        <v>-17</v>
      </c>
      <c r="BF40" s="229">
        <v>-0.13819999999999999</v>
      </c>
      <c r="BG40" s="230">
        <v>86636</v>
      </c>
      <c r="BH40" s="230">
        <v>84451</v>
      </c>
      <c r="BI40" s="230">
        <v>2185</v>
      </c>
      <c r="BJ40" s="229">
        <v>2.5899999999999999E-2</v>
      </c>
      <c r="BK40" s="230">
        <v>49414</v>
      </c>
      <c r="BL40" s="230">
        <v>53124</v>
      </c>
      <c r="BM40" s="230">
        <v>-3710</v>
      </c>
      <c r="BN40" s="229">
        <v>-6.9800000000000001E-2</v>
      </c>
      <c r="BO40" s="230">
        <v>153558</v>
      </c>
      <c r="BP40" s="230">
        <v>153941</v>
      </c>
      <c r="BQ40" s="228">
        <v>-383</v>
      </c>
      <c r="BR40" s="229">
        <v>-2.5000000000000001E-3</v>
      </c>
      <c r="BS40" s="230">
        <v>8473035</v>
      </c>
      <c r="BT40" s="230">
        <v>8802782</v>
      </c>
      <c r="BU40" s="230">
        <v>-329747</v>
      </c>
      <c r="BV40" s="229">
        <v>-3.7499999999999999E-2</v>
      </c>
      <c r="BW40" s="230">
        <v>95175750</v>
      </c>
      <c r="BX40" s="230">
        <v>95634000</v>
      </c>
      <c r="BY40" s="230">
        <v>-458250</v>
      </c>
      <c r="BZ40" s="229">
        <v>-4.7999999999999996E-3</v>
      </c>
      <c r="CA40" s="230">
        <v>93378750</v>
      </c>
      <c r="CB40" s="230">
        <v>93897750</v>
      </c>
      <c r="CC40" s="230">
        <v>-519000</v>
      </c>
      <c r="CD40" s="229">
        <v>-5.4999999999999997E-3</v>
      </c>
      <c r="CE40" s="230">
        <v>1668000</v>
      </c>
      <c r="CF40" s="230">
        <v>1629750</v>
      </c>
      <c r="CG40" s="230">
        <v>38250</v>
      </c>
      <c r="CH40" s="229">
        <v>2.35E-2</v>
      </c>
      <c r="CI40" s="230">
        <v>129000</v>
      </c>
      <c r="CJ40" s="230">
        <v>106500</v>
      </c>
      <c r="CK40" s="230">
        <v>22500</v>
      </c>
      <c r="CL40" s="229">
        <v>0.21129999999999999</v>
      </c>
      <c r="CM40" s="230">
        <v>39601500</v>
      </c>
      <c r="CN40" s="230">
        <v>37749000</v>
      </c>
      <c r="CO40" s="230">
        <v>1852500</v>
      </c>
      <c r="CP40" s="229">
        <v>4.9099999999999998E-2</v>
      </c>
      <c r="CQ40" s="230">
        <v>24998250</v>
      </c>
      <c r="CR40" s="230">
        <v>23056500</v>
      </c>
      <c r="CS40" s="230">
        <v>1941750</v>
      </c>
      <c r="CT40" s="229">
        <v>8.4199999999999997E-2</v>
      </c>
      <c r="CU40" s="230">
        <v>159775500</v>
      </c>
      <c r="CV40" s="230">
        <v>156439500</v>
      </c>
      <c r="CW40" s="230">
        <v>3336000</v>
      </c>
      <c r="CX40" s="229">
        <v>2.1299999999999999E-2</v>
      </c>
      <c r="CY40" s="228">
        <v>18.559999999999999</v>
      </c>
      <c r="CZ40" s="228">
        <v>17.71</v>
      </c>
      <c r="DA40" s="228">
        <v>0.85</v>
      </c>
      <c r="DB40" s="228">
        <v>0.85</v>
      </c>
      <c r="DC40" s="228">
        <v>26.53</v>
      </c>
      <c r="DD40" s="228">
        <v>26.59</v>
      </c>
      <c r="DE40" s="228">
        <v>-7.97</v>
      </c>
      <c r="DF40" s="228">
        <v>-0.06</v>
      </c>
      <c r="DG40" s="228">
        <v>18.489999999999998</v>
      </c>
      <c r="DH40" s="228">
        <v>17.7</v>
      </c>
      <c r="DI40" s="228">
        <v>0.79</v>
      </c>
      <c r="DJ40" s="228">
        <v>0.79</v>
      </c>
      <c r="DK40" s="228">
        <v>18.670000000000002</v>
      </c>
      <c r="DL40" s="228">
        <v>17.71</v>
      </c>
      <c r="DM40" s="228">
        <v>0.96</v>
      </c>
      <c r="DN40" s="228">
        <v>0.96</v>
      </c>
      <c r="DO40" s="228">
        <v>0.63</v>
      </c>
      <c r="DP40" s="228">
        <v>0.61</v>
      </c>
      <c r="DQ40" s="228">
        <v>0.02</v>
      </c>
      <c r="DR40" s="229">
        <v>3.2800000000000003E-2</v>
      </c>
      <c r="DS40" s="228">
        <v>880</v>
      </c>
      <c r="DT40" s="228">
        <v>870</v>
      </c>
      <c r="DU40" s="228">
        <v>0.56999999999999995</v>
      </c>
      <c r="DV40" s="228">
        <v>0.63</v>
      </c>
      <c r="DW40" s="228">
        <v>-0.06</v>
      </c>
      <c r="DX40" s="229">
        <v>-9.5200000000000007E-2</v>
      </c>
      <c r="DY40" s="229">
        <v>1.89E-2</v>
      </c>
      <c r="DZ40" s="230">
        <v>1736250</v>
      </c>
      <c r="EA40" s="229">
        <v>5.1999999999999998E-3</v>
      </c>
      <c r="EB40" s="229">
        <v>1.89E-2</v>
      </c>
      <c r="EC40" s="228">
        <v>4.66</v>
      </c>
      <c r="ED40" s="229">
        <v>5.3E-3</v>
      </c>
      <c r="EE40" s="230">
        <v>3582005</v>
      </c>
      <c r="EF40" s="230">
        <v>3907051</v>
      </c>
      <c r="EG40" s="229">
        <v>-8.3199999999999996E-2</v>
      </c>
      <c r="EH40" s="229">
        <v>0.42280000000000001</v>
      </c>
      <c r="EI40" s="231">
        <v>584964.73</v>
      </c>
      <c r="EJ40" s="231">
        <v>320337.53000000003</v>
      </c>
      <c r="EK40" s="231">
        <v>114615.51</v>
      </c>
      <c r="EL40" s="231">
        <v>42717</v>
      </c>
      <c r="EM40" s="231">
        <v>1019917.77</v>
      </c>
      <c r="EN40" s="231">
        <v>1022576.64</v>
      </c>
      <c r="EO40" s="231">
        <v>-2658.87</v>
      </c>
      <c r="EP40" s="229">
        <v>-2.5999999999999999E-3</v>
      </c>
      <c r="EQ40" s="231">
        <v>354748</v>
      </c>
      <c r="ER40" s="231">
        <v>210504</v>
      </c>
      <c r="ES40" s="231">
        <v>835494</v>
      </c>
      <c r="ET40" s="231">
        <v>407307212</v>
      </c>
      <c r="EU40" s="231">
        <v>1400745</v>
      </c>
      <c r="EV40" s="231">
        <v>1366789</v>
      </c>
      <c r="EW40" s="231">
        <v>33956</v>
      </c>
      <c r="EX40" s="229">
        <v>2.4799999999999999E-2</v>
      </c>
      <c r="EY40" s="229">
        <v>0.39229999999999998</v>
      </c>
    </row>
    <row r="41" spans="1:155" ht="17.25" thickBot="1" x14ac:dyDescent="0.3">
      <c r="A41" s="226">
        <v>45936</v>
      </c>
      <c r="B41" s="227" t="s">
        <v>175</v>
      </c>
      <c r="C41" s="227" t="s">
        <v>562</v>
      </c>
      <c r="D41" s="228">
        <v>674.7</v>
      </c>
      <c r="E41" s="228">
        <v>650.4</v>
      </c>
      <c r="F41" s="228">
        <v>24.3</v>
      </c>
      <c r="G41" s="229">
        <v>3.7400000000000003E-2</v>
      </c>
      <c r="H41" s="228">
        <v>671.45</v>
      </c>
      <c r="I41" s="228">
        <v>645.79999999999995</v>
      </c>
      <c r="J41" s="228">
        <v>25.65</v>
      </c>
      <c r="K41" s="229">
        <v>3.9699999999999999E-2</v>
      </c>
      <c r="L41" s="228">
        <v>674.7</v>
      </c>
      <c r="M41" s="228">
        <v>650.4</v>
      </c>
      <c r="N41" s="228">
        <v>24.3</v>
      </c>
      <c r="O41" s="229">
        <v>3.7400000000000003E-2</v>
      </c>
      <c r="P41" s="228">
        <v>673.35</v>
      </c>
      <c r="Q41" s="228">
        <v>649.54999999999995</v>
      </c>
      <c r="R41" s="228">
        <v>23.8</v>
      </c>
      <c r="S41" s="229">
        <v>3.6600000000000001E-2</v>
      </c>
      <c r="T41" s="228">
        <v>677.1</v>
      </c>
      <c r="U41" s="228">
        <v>653.4</v>
      </c>
      <c r="V41" s="228">
        <v>23.7</v>
      </c>
      <c r="W41" s="229">
        <v>3.6299999999999999E-2</v>
      </c>
      <c r="X41" s="228">
        <v>3.25</v>
      </c>
      <c r="Y41" s="228">
        <v>4.5999999999999996</v>
      </c>
      <c r="Z41" s="228">
        <v>-1.35</v>
      </c>
      <c r="AA41" s="229">
        <v>4.7999999999999996E-3</v>
      </c>
      <c r="AB41" s="228">
        <v>3.25</v>
      </c>
      <c r="AC41" s="228">
        <v>4.5999999999999996</v>
      </c>
      <c r="AD41" s="228">
        <v>-1.35</v>
      </c>
      <c r="AE41" s="229">
        <v>4.7999999999999996E-3</v>
      </c>
      <c r="AF41" s="228">
        <v>1.9</v>
      </c>
      <c r="AG41" s="228">
        <v>3.75</v>
      </c>
      <c r="AH41" s="228">
        <v>-1.85</v>
      </c>
      <c r="AI41" s="229">
        <v>2.8E-3</v>
      </c>
      <c r="AJ41" s="228">
        <v>5.65</v>
      </c>
      <c r="AK41" s="228">
        <v>7.6</v>
      </c>
      <c r="AL41" s="228">
        <v>-1.95</v>
      </c>
      <c r="AM41" s="229">
        <v>8.3999999999999995E-3</v>
      </c>
      <c r="AN41" s="228">
        <v>669.71</v>
      </c>
      <c r="AO41" s="228">
        <v>667.57</v>
      </c>
      <c r="AP41" s="228">
        <v>0</v>
      </c>
      <c r="AQ41" s="230">
        <v>14356</v>
      </c>
      <c r="AR41" s="230">
        <v>10292</v>
      </c>
      <c r="AS41" s="230">
        <v>4064</v>
      </c>
      <c r="AT41" s="229">
        <v>0.39489999999999997</v>
      </c>
      <c r="AU41" s="230">
        <v>13663</v>
      </c>
      <c r="AV41" s="230">
        <v>9901</v>
      </c>
      <c r="AW41" s="230">
        <v>3762</v>
      </c>
      <c r="AX41" s="229">
        <v>0.38</v>
      </c>
      <c r="AY41" s="228">
        <v>595</v>
      </c>
      <c r="AZ41" s="228">
        <v>346</v>
      </c>
      <c r="BA41" s="228">
        <v>249</v>
      </c>
      <c r="BB41" s="229">
        <v>0.71970000000000001</v>
      </c>
      <c r="BC41" s="228">
        <v>98</v>
      </c>
      <c r="BD41" s="228">
        <v>45</v>
      </c>
      <c r="BE41" s="228">
        <v>53</v>
      </c>
      <c r="BF41" s="229">
        <v>1.1778</v>
      </c>
      <c r="BG41" s="230">
        <v>47285</v>
      </c>
      <c r="BH41" s="230">
        <v>13785</v>
      </c>
      <c r="BI41" s="230">
        <v>33500</v>
      </c>
      <c r="BJ41" s="229">
        <v>2.4302000000000001</v>
      </c>
      <c r="BK41" s="230">
        <v>20775</v>
      </c>
      <c r="BL41" s="230">
        <v>7913</v>
      </c>
      <c r="BM41" s="230">
        <v>12862</v>
      </c>
      <c r="BN41" s="229">
        <v>1.6254</v>
      </c>
      <c r="BO41" s="230">
        <v>82416</v>
      </c>
      <c r="BP41" s="230">
        <v>31990</v>
      </c>
      <c r="BQ41" s="230">
        <v>50426</v>
      </c>
      <c r="BR41" s="229">
        <v>1.5763</v>
      </c>
      <c r="BS41" s="230">
        <v>11116297</v>
      </c>
      <c r="BT41" s="230">
        <v>7377053</v>
      </c>
      <c r="BU41" s="230">
        <v>3739244</v>
      </c>
      <c r="BV41" s="229">
        <v>0.50690000000000002</v>
      </c>
      <c r="BW41" s="230">
        <v>49565175</v>
      </c>
      <c r="BX41" s="230">
        <v>48979425</v>
      </c>
      <c r="BY41" s="230">
        <v>585750</v>
      </c>
      <c r="BZ41" s="229">
        <v>1.2E-2</v>
      </c>
      <c r="CA41" s="230">
        <v>48409350</v>
      </c>
      <c r="CB41" s="230">
        <v>47878875</v>
      </c>
      <c r="CC41" s="230">
        <v>530475</v>
      </c>
      <c r="CD41" s="229">
        <v>1.11E-2</v>
      </c>
      <c r="CE41" s="230">
        <v>1093125</v>
      </c>
      <c r="CF41" s="230">
        <v>1043625</v>
      </c>
      <c r="CG41" s="230">
        <v>49500</v>
      </c>
      <c r="CH41" s="229">
        <v>4.7399999999999998E-2</v>
      </c>
      <c r="CI41" s="230">
        <v>62700</v>
      </c>
      <c r="CJ41" s="230">
        <v>56925</v>
      </c>
      <c r="CK41" s="230">
        <v>5775</v>
      </c>
      <c r="CL41" s="229">
        <v>0.1014</v>
      </c>
      <c r="CM41" s="230">
        <v>7751700</v>
      </c>
      <c r="CN41" s="230">
        <v>6227925</v>
      </c>
      <c r="CO41" s="230">
        <v>1523775</v>
      </c>
      <c r="CP41" s="229">
        <v>0.2447</v>
      </c>
      <c r="CQ41" s="230">
        <v>6820275</v>
      </c>
      <c r="CR41" s="230">
        <v>5030850</v>
      </c>
      <c r="CS41" s="230">
        <v>1789425</v>
      </c>
      <c r="CT41" s="229">
        <v>0.35570000000000002</v>
      </c>
      <c r="CU41" s="230">
        <v>64137150</v>
      </c>
      <c r="CV41" s="230">
        <v>60238200</v>
      </c>
      <c r="CW41" s="230">
        <v>3898950</v>
      </c>
      <c r="CX41" s="229">
        <v>6.4699999999999994E-2</v>
      </c>
      <c r="CY41" s="228">
        <v>31.79</v>
      </c>
      <c r="CZ41" s="228">
        <v>30.26</v>
      </c>
      <c r="DA41" s="228">
        <v>1.53</v>
      </c>
      <c r="DB41" s="228">
        <v>1.53</v>
      </c>
      <c r="DC41" s="228">
        <v>41.39</v>
      </c>
      <c r="DD41" s="228">
        <v>41.15</v>
      </c>
      <c r="DE41" s="228">
        <v>-9.6</v>
      </c>
      <c r="DF41" s="228">
        <v>0.24</v>
      </c>
      <c r="DG41" s="228">
        <v>31.42</v>
      </c>
      <c r="DH41" s="228">
        <v>30.17</v>
      </c>
      <c r="DI41" s="228">
        <v>1.25</v>
      </c>
      <c r="DJ41" s="228">
        <v>1.25</v>
      </c>
      <c r="DK41" s="228">
        <v>32.630000000000003</v>
      </c>
      <c r="DL41" s="228">
        <v>30.42</v>
      </c>
      <c r="DM41" s="228">
        <v>2.21</v>
      </c>
      <c r="DN41" s="228">
        <v>2.21</v>
      </c>
      <c r="DO41" s="228">
        <v>0.88</v>
      </c>
      <c r="DP41" s="228">
        <v>0.81</v>
      </c>
      <c r="DQ41" s="228">
        <v>7.0000000000000007E-2</v>
      </c>
      <c r="DR41" s="229">
        <v>8.6400000000000005E-2</v>
      </c>
      <c r="DS41" s="228">
        <v>700</v>
      </c>
      <c r="DT41" s="228">
        <v>660</v>
      </c>
      <c r="DU41" s="228">
        <v>0.44</v>
      </c>
      <c r="DV41" s="228">
        <v>0.56999999999999995</v>
      </c>
      <c r="DW41" s="228">
        <v>-0.13</v>
      </c>
      <c r="DX41" s="229">
        <v>-0.2281</v>
      </c>
      <c r="DY41" s="229">
        <v>2.3300000000000001E-2</v>
      </c>
      <c r="DZ41" s="230">
        <v>1100550</v>
      </c>
      <c r="EA41" s="229">
        <v>-2E-3</v>
      </c>
      <c r="EB41" s="229">
        <v>2.3300000000000001E-2</v>
      </c>
      <c r="EC41" s="228">
        <v>-2.14</v>
      </c>
      <c r="ED41" s="229">
        <v>-3.2000000000000002E-3</v>
      </c>
      <c r="EE41" s="230">
        <v>4571574</v>
      </c>
      <c r="EF41" s="230">
        <v>4367305</v>
      </c>
      <c r="EG41" s="229">
        <v>4.6800000000000001E-2</v>
      </c>
      <c r="EH41" s="229">
        <v>0.41120000000000001</v>
      </c>
      <c r="EI41" s="231">
        <v>272226.8</v>
      </c>
      <c r="EJ41" s="231">
        <v>112280.7</v>
      </c>
      <c r="EK41" s="231">
        <v>79309.539999999994</v>
      </c>
      <c r="EL41" s="231">
        <v>20184</v>
      </c>
      <c r="EM41" s="231">
        <v>463817.04</v>
      </c>
      <c r="EN41" s="231">
        <v>174253.38</v>
      </c>
      <c r="EO41" s="231">
        <v>289563.65999999997</v>
      </c>
      <c r="EP41" s="229">
        <v>1.6617</v>
      </c>
      <c r="EQ41" s="231">
        <v>52695</v>
      </c>
      <c r="ER41" s="231">
        <v>42992</v>
      </c>
      <c r="ES41" s="231">
        <v>334403</v>
      </c>
      <c r="ET41" s="231">
        <v>210459276</v>
      </c>
      <c r="EU41" s="231">
        <v>430090</v>
      </c>
      <c r="EV41" s="231">
        <v>390846</v>
      </c>
      <c r="EW41" s="231">
        <v>39244</v>
      </c>
      <c r="EX41" s="229">
        <v>0.1004</v>
      </c>
      <c r="EY41" s="229">
        <v>0.30470000000000003</v>
      </c>
    </row>
    <row r="42" spans="1:155" ht="17.25" thickBot="1" x14ac:dyDescent="0.3">
      <c r="A42" s="226">
        <v>45936</v>
      </c>
      <c r="B42" s="227" t="s">
        <v>170</v>
      </c>
      <c r="C42" s="227" t="s">
        <v>288</v>
      </c>
      <c r="D42" s="231">
        <v>1659.8</v>
      </c>
      <c r="E42" s="231">
        <v>1641.2</v>
      </c>
      <c r="F42" s="228">
        <v>18.600000000000001</v>
      </c>
      <c r="G42" s="229">
        <v>1.1299999999999999E-2</v>
      </c>
      <c r="H42" s="231">
        <v>1654.7</v>
      </c>
      <c r="I42" s="231">
        <v>1631.2</v>
      </c>
      <c r="J42" s="228">
        <v>23.5</v>
      </c>
      <c r="K42" s="229">
        <v>1.44E-2</v>
      </c>
      <c r="L42" s="231">
        <v>1659.8</v>
      </c>
      <c r="M42" s="231">
        <v>1641.2</v>
      </c>
      <c r="N42" s="228">
        <v>18.600000000000001</v>
      </c>
      <c r="O42" s="229">
        <v>1.1299999999999999E-2</v>
      </c>
      <c r="P42" s="231">
        <v>1668.5</v>
      </c>
      <c r="Q42" s="231">
        <v>1649.1</v>
      </c>
      <c r="R42" s="228">
        <v>19.399999999999999</v>
      </c>
      <c r="S42" s="229">
        <v>1.18E-2</v>
      </c>
      <c r="T42" s="231">
        <v>1675.1</v>
      </c>
      <c r="U42" s="231">
        <v>1658.1</v>
      </c>
      <c r="V42" s="228">
        <v>17</v>
      </c>
      <c r="W42" s="229">
        <v>1.03E-2</v>
      </c>
      <c r="X42" s="228">
        <v>5.0999999999999996</v>
      </c>
      <c r="Y42" s="228">
        <v>10</v>
      </c>
      <c r="Z42" s="228">
        <v>-4.9000000000000004</v>
      </c>
      <c r="AA42" s="229">
        <v>3.0999999999999999E-3</v>
      </c>
      <c r="AB42" s="228">
        <v>5.0999999999999996</v>
      </c>
      <c r="AC42" s="228">
        <v>10</v>
      </c>
      <c r="AD42" s="228">
        <v>-4.9000000000000004</v>
      </c>
      <c r="AE42" s="229">
        <v>3.0999999999999999E-3</v>
      </c>
      <c r="AF42" s="228">
        <v>13.8</v>
      </c>
      <c r="AG42" s="228">
        <v>17.899999999999999</v>
      </c>
      <c r="AH42" s="228">
        <v>-4.0999999999999996</v>
      </c>
      <c r="AI42" s="229">
        <v>8.3000000000000001E-3</v>
      </c>
      <c r="AJ42" s="228">
        <v>20.399999999999999</v>
      </c>
      <c r="AK42" s="228">
        <v>26.9</v>
      </c>
      <c r="AL42" s="228">
        <v>-6.5</v>
      </c>
      <c r="AM42" s="229">
        <v>1.23E-2</v>
      </c>
      <c r="AN42" s="231">
        <v>1652.18</v>
      </c>
      <c r="AO42" s="231">
        <v>1661.16</v>
      </c>
      <c r="AP42" s="228">
        <v>0</v>
      </c>
      <c r="AQ42" s="230">
        <v>4243</v>
      </c>
      <c r="AR42" s="230">
        <v>7561</v>
      </c>
      <c r="AS42" s="230">
        <v>-3318</v>
      </c>
      <c r="AT42" s="229">
        <v>-0.43880000000000002</v>
      </c>
      <c r="AU42" s="230">
        <v>4049</v>
      </c>
      <c r="AV42" s="230">
        <v>7264</v>
      </c>
      <c r="AW42" s="230">
        <v>-3215</v>
      </c>
      <c r="AX42" s="229">
        <v>-0.44259999999999999</v>
      </c>
      <c r="AY42" s="228">
        <v>180</v>
      </c>
      <c r="AZ42" s="228">
        <v>281</v>
      </c>
      <c r="BA42" s="228">
        <v>-101</v>
      </c>
      <c r="BB42" s="229">
        <v>-0.3594</v>
      </c>
      <c r="BC42" s="228">
        <v>14</v>
      </c>
      <c r="BD42" s="228">
        <v>16</v>
      </c>
      <c r="BE42" s="228">
        <v>-2</v>
      </c>
      <c r="BF42" s="229">
        <v>-0.125</v>
      </c>
      <c r="BG42" s="230">
        <v>18393</v>
      </c>
      <c r="BH42" s="230">
        <v>21851</v>
      </c>
      <c r="BI42" s="230">
        <v>-3458</v>
      </c>
      <c r="BJ42" s="229">
        <v>-0.1583</v>
      </c>
      <c r="BK42" s="230">
        <v>11136</v>
      </c>
      <c r="BL42" s="230">
        <v>19297</v>
      </c>
      <c r="BM42" s="230">
        <v>-8161</v>
      </c>
      <c r="BN42" s="229">
        <v>-0.4229</v>
      </c>
      <c r="BO42" s="230">
        <v>33772</v>
      </c>
      <c r="BP42" s="230">
        <v>48709</v>
      </c>
      <c r="BQ42" s="230">
        <v>-14937</v>
      </c>
      <c r="BR42" s="229">
        <v>-0.30669999999999997</v>
      </c>
      <c r="BS42" s="230">
        <v>1788564</v>
      </c>
      <c r="BT42" s="230">
        <v>4117710</v>
      </c>
      <c r="BU42" s="230">
        <v>-2329146</v>
      </c>
      <c r="BV42" s="229">
        <v>-0.56559999999999999</v>
      </c>
      <c r="BW42" s="230">
        <v>15767500</v>
      </c>
      <c r="BX42" s="230">
        <v>16118900</v>
      </c>
      <c r="BY42" s="230">
        <v>-351400</v>
      </c>
      <c r="BZ42" s="229">
        <v>-2.18E-2</v>
      </c>
      <c r="CA42" s="230">
        <v>15607550</v>
      </c>
      <c r="CB42" s="230">
        <v>15958250</v>
      </c>
      <c r="CC42" s="230">
        <v>-350700</v>
      </c>
      <c r="CD42" s="229">
        <v>-2.1999999999999999E-2</v>
      </c>
      <c r="CE42" s="230">
        <v>155050</v>
      </c>
      <c r="CF42" s="230">
        <v>155750</v>
      </c>
      <c r="CG42" s="228">
        <v>-700</v>
      </c>
      <c r="CH42" s="229">
        <v>-4.4999999999999997E-3</v>
      </c>
      <c r="CI42" s="230">
        <v>4900</v>
      </c>
      <c r="CJ42" s="230">
        <v>4900</v>
      </c>
      <c r="CK42" s="228">
        <v>0</v>
      </c>
      <c r="CL42" s="229">
        <v>0</v>
      </c>
      <c r="CM42" s="230">
        <v>3649100</v>
      </c>
      <c r="CN42" s="230">
        <v>3193750</v>
      </c>
      <c r="CO42" s="230">
        <v>455350</v>
      </c>
      <c r="CP42" s="229">
        <v>0.1426</v>
      </c>
      <c r="CQ42" s="230">
        <v>3679900</v>
      </c>
      <c r="CR42" s="230">
        <v>3534300</v>
      </c>
      <c r="CS42" s="230">
        <v>145600</v>
      </c>
      <c r="CT42" s="229">
        <v>4.1200000000000001E-2</v>
      </c>
      <c r="CU42" s="230">
        <v>23096500</v>
      </c>
      <c r="CV42" s="230">
        <v>22846950</v>
      </c>
      <c r="CW42" s="230">
        <v>249550</v>
      </c>
      <c r="CX42" s="229">
        <v>1.09E-2</v>
      </c>
      <c r="CY42" s="228">
        <v>19.649999999999999</v>
      </c>
      <c r="CZ42" s="228">
        <v>20.04</v>
      </c>
      <c r="DA42" s="228">
        <v>-0.39</v>
      </c>
      <c r="DB42" s="228">
        <v>-0.39</v>
      </c>
      <c r="DC42" s="228">
        <v>24.2</v>
      </c>
      <c r="DD42" s="228">
        <v>24.18</v>
      </c>
      <c r="DE42" s="228">
        <v>-4.55</v>
      </c>
      <c r="DF42" s="228">
        <v>0.02</v>
      </c>
      <c r="DG42" s="228">
        <v>18.329999999999998</v>
      </c>
      <c r="DH42" s="228">
        <v>19.12</v>
      </c>
      <c r="DI42" s="228">
        <v>-0.79</v>
      </c>
      <c r="DJ42" s="228">
        <v>-0.79</v>
      </c>
      <c r="DK42" s="228">
        <v>21.83</v>
      </c>
      <c r="DL42" s="228">
        <v>21.07</v>
      </c>
      <c r="DM42" s="228">
        <v>0.76</v>
      </c>
      <c r="DN42" s="228">
        <v>0.76</v>
      </c>
      <c r="DO42" s="228">
        <v>1.01</v>
      </c>
      <c r="DP42" s="228">
        <v>1.1100000000000001</v>
      </c>
      <c r="DQ42" s="228">
        <v>-0.1</v>
      </c>
      <c r="DR42" s="229">
        <v>-9.01E-2</v>
      </c>
      <c r="DS42" s="231">
        <v>1680</v>
      </c>
      <c r="DT42" s="231">
        <v>1500</v>
      </c>
      <c r="DU42" s="228">
        <v>0.61</v>
      </c>
      <c r="DV42" s="228">
        <v>0.88</v>
      </c>
      <c r="DW42" s="228">
        <v>-0.27</v>
      </c>
      <c r="DX42" s="229">
        <v>-0.30680000000000002</v>
      </c>
      <c r="DY42" s="229">
        <v>1.01E-2</v>
      </c>
      <c r="DZ42" s="230">
        <v>160650</v>
      </c>
      <c r="EA42" s="229">
        <v>5.1999999999999998E-3</v>
      </c>
      <c r="EB42" s="229">
        <v>1.01E-2</v>
      </c>
      <c r="EC42" s="228">
        <v>8.98</v>
      </c>
      <c r="ED42" s="229">
        <v>5.4000000000000003E-3</v>
      </c>
      <c r="EE42" s="230">
        <v>1138782</v>
      </c>
      <c r="EF42" s="230">
        <v>2863489</v>
      </c>
      <c r="EG42" s="229">
        <v>-0.60229999999999995</v>
      </c>
      <c r="EH42" s="229">
        <v>0.63670000000000004</v>
      </c>
      <c r="EI42" s="231">
        <v>109509.5</v>
      </c>
      <c r="EJ42" s="231">
        <v>62758.46</v>
      </c>
      <c r="EK42" s="231">
        <v>24542.28</v>
      </c>
      <c r="EL42" s="231">
        <v>16862</v>
      </c>
      <c r="EM42" s="231">
        <v>196810.23999999999</v>
      </c>
      <c r="EN42" s="231">
        <v>281854.53999999998</v>
      </c>
      <c r="EO42" s="231">
        <v>-85044.3</v>
      </c>
      <c r="EP42" s="229">
        <v>-0.30170000000000002</v>
      </c>
      <c r="EQ42" s="231">
        <v>61581</v>
      </c>
      <c r="ER42" s="231">
        <v>57469</v>
      </c>
      <c r="ES42" s="231">
        <v>261723</v>
      </c>
      <c r="ET42" s="231">
        <v>109220043</v>
      </c>
      <c r="EU42" s="231">
        <v>380773</v>
      </c>
      <c r="EV42" s="231">
        <v>373317</v>
      </c>
      <c r="EW42" s="231">
        <v>7456</v>
      </c>
      <c r="EX42" s="229">
        <v>0.02</v>
      </c>
      <c r="EY42" s="229">
        <v>0.21149999999999999</v>
      </c>
    </row>
    <row r="43" spans="1:155" ht="17.25" thickBot="1" x14ac:dyDescent="0.3">
      <c r="A43" s="226">
        <v>45936</v>
      </c>
      <c r="B43" s="227" t="s">
        <v>168</v>
      </c>
      <c r="C43" s="227" t="s">
        <v>291</v>
      </c>
      <c r="D43" s="231">
        <v>1148.9000000000001</v>
      </c>
      <c r="E43" s="231">
        <v>1145.2</v>
      </c>
      <c r="F43" s="228">
        <v>3.7</v>
      </c>
      <c r="G43" s="229">
        <v>3.2000000000000002E-3</v>
      </c>
      <c r="H43" s="231">
        <v>1142.0999999999999</v>
      </c>
      <c r="I43" s="231">
        <v>1137.5</v>
      </c>
      <c r="J43" s="228">
        <v>4.5999999999999996</v>
      </c>
      <c r="K43" s="229">
        <v>4.0000000000000001E-3</v>
      </c>
      <c r="L43" s="231">
        <v>1148.9000000000001</v>
      </c>
      <c r="M43" s="231">
        <v>1145.2</v>
      </c>
      <c r="N43" s="228">
        <v>3.7</v>
      </c>
      <c r="O43" s="229">
        <v>3.2000000000000002E-3</v>
      </c>
      <c r="P43" s="231">
        <v>1154.8</v>
      </c>
      <c r="Q43" s="231">
        <v>1151.0999999999999</v>
      </c>
      <c r="R43" s="228">
        <v>3.7</v>
      </c>
      <c r="S43" s="229">
        <v>3.2000000000000002E-3</v>
      </c>
      <c r="T43" s="231">
        <v>1161.4000000000001</v>
      </c>
      <c r="U43" s="231">
        <v>1154</v>
      </c>
      <c r="V43" s="228">
        <v>7.4</v>
      </c>
      <c r="W43" s="229">
        <v>6.4000000000000003E-3</v>
      </c>
      <c r="X43" s="228">
        <v>6.8</v>
      </c>
      <c r="Y43" s="228">
        <v>7.7</v>
      </c>
      <c r="Z43" s="228">
        <v>-0.9</v>
      </c>
      <c r="AA43" s="229">
        <v>6.0000000000000001E-3</v>
      </c>
      <c r="AB43" s="228">
        <v>6.8</v>
      </c>
      <c r="AC43" s="228">
        <v>7.7</v>
      </c>
      <c r="AD43" s="228">
        <v>-0.9</v>
      </c>
      <c r="AE43" s="229">
        <v>6.0000000000000001E-3</v>
      </c>
      <c r="AF43" s="228">
        <v>12.7</v>
      </c>
      <c r="AG43" s="228">
        <v>13.6</v>
      </c>
      <c r="AH43" s="228">
        <v>-0.9</v>
      </c>
      <c r="AI43" s="229">
        <v>1.11E-2</v>
      </c>
      <c r="AJ43" s="228">
        <v>19.3</v>
      </c>
      <c r="AK43" s="228">
        <v>16.5</v>
      </c>
      <c r="AL43" s="228">
        <v>2.8</v>
      </c>
      <c r="AM43" s="229">
        <v>1.6899999999999998E-2</v>
      </c>
      <c r="AN43" s="231">
        <v>1146.4000000000001</v>
      </c>
      <c r="AO43" s="231">
        <v>1152.0999999999999</v>
      </c>
      <c r="AP43" s="228">
        <v>0</v>
      </c>
      <c r="AQ43" s="230">
        <v>2625</v>
      </c>
      <c r="AR43" s="230">
        <v>2753</v>
      </c>
      <c r="AS43" s="228">
        <v>-128</v>
      </c>
      <c r="AT43" s="229">
        <v>-4.65E-2</v>
      </c>
      <c r="AU43" s="230">
        <v>2517</v>
      </c>
      <c r="AV43" s="230">
        <v>2679</v>
      </c>
      <c r="AW43" s="228">
        <v>-162</v>
      </c>
      <c r="AX43" s="229">
        <v>-6.0499999999999998E-2</v>
      </c>
      <c r="AY43" s="228">
        <v>99</v>
      </c>
      <c r="AZ43" s="228">
        <v>72</v>
      </c>
      <c r="BA43" s="228">
        <v>27</v>
      </c>
      <c r="BB43" s="229">
        <v>0.375</v>
      </c>
      <c r="BC43" s="228">
        <v>9</v>
      </c>
      <c r="BD43" s="228">
        <v>2</v>
      </c>
      <c r="BE43" s="228">
        <v>7</v>
      </c>
      <c r="BF43" s="229">
        <v>3.5</v>
      </c>
      <c r="BG43" s="230">
        <v>6636</v>
      </c>
      <c r="BH43" s="230">
        <v>5486</v>
      </c>
      <c r="BI43" s="230">
        <v>1150</v>
      </c>
      <c r="BJ43" s="229">
        <v>0.20960000000000001</v>
      </c>
      <c r="BK43" s="230">
        <v>1899</v>
      </c>
      <c r="BL43" s="230">
        <v>2015</v>
      </c>
      <c r="BM43" s="228">
        <v>-116</v>
      </c>
      <c r="BN43" s="229">
        <v>-5.7599999999999998E-2</v>
      </c>
      <c r="BO43" s="230">
        <v>11160</v>
      </c>
      <c r="BP43" s="230">
        <v>10254</v>
      </c>
      <c r="BQ43" s="228">
        <v>906</v>
      </c>
      <c r="BR43" s="229">
        <v>8.8400000000000006E-2</v>
      </c>
      <c r="BS43" s="230">
        <v>1499552</v>
      </c>
      <c r="BT43" s="230">
        <v>1602953</v>
      </c>
      <c r="BU43" s="230">
        <v>-103401</v>
      </c>
      <c r="BV43" s="229">
        <v>-6.4500000000000002E-2</v>
      </c>
      <c r="BW43" s="230">
        <v>15934600</v>
      </c>
      <c r="BX43" s="230">
        <v>15914800</v>
      </c>
      <c r="BY43" s="230">
        <v>19800</v>
      </c>
      <c r="BZ43" s="229">
        <v>1.1999999999999999E-3</v>
      </c>
      <c r="CA43" s="230">
        <v>15843300</v>
      </c>
      <c r="CB43" s="230">
        <v>15830100</v>
      </c>
      <c r="CC43" s="230">
        <v>13200</v>
      </c>
      <c r="CD43" s="229">
        <v>8.0000000000000004E-4</v>
      </c>
      <c r="CE43" s="230">
        <v>86900</v>
      </c>
      <c r="CF43" s="230">
        <v>83050</v>
      </c>
      <c r="CG43" s="230">
        <v>3850</v>
      </c>
      <c r="CH43" s="229">
        <v>4.6399999999999997E-2</v>
      </c>
      <c r="CI43" s="230">
        <v>4400</v>
      </c>
      <c r="CJ43" s="230">
        <v>1650</v>
      </c>
      <c r="CK43" s="230">
        <v>2750</v>
      </c>
      <c r="CL43" s="229">
        <v>1.6667000000000001</v>
      </c>
      <c r="CM43" s="230">
        <v>2323750</v>
      </c>
      <c r="CN43" s="230">
        <v>2121350</v>
      </c>
      <c r="CO43" s="230">
        <v>202400</v>
      </c>
      <c r="CP43" s="229">
        <v>9.5399999999999999E-2</v>
      </c>
      <c r="CQ43" s="230">
        <v>1108800</v>
      </c>
      <c r="CR43" s="230">
        <v>1069200</v>
      </c>
      <c r="CS43" s="230">
        <v>39600</v>
      </c>
      <c r="CT43" s="229">
        <v>3.6999999999999998E-2</v>
      </c>
      <c r="CU43" s="230">
        <v>19367150</v>
      </c>
      <c r="CV43" s="230">
        <v>19105350</v>
      </c>
      <c r="CW43" s="230">
        <v>261800</v>
      </c>
      <c r="CX43" s="229">
        <v>1.37E-2</v>
      </c>
      <c r="CY43" s="228">
        <v>22.92</v>
      </c>
      <c r="CZ43" s="228">
        <v>22.79</v>
      </c>
      <c r="DA43" s="228">
        <v>0.13</v>
      </c>
      <c r="DB43" s="228">
        <v>0.13</v>
      </c>
      <c r="DC43" s="228">
        <v>27.02</v>
      </c>
      <c r="DD43" s="228">
        <v>27.08</v>
      </c>
      <c r="DE43" s="228">
        <v>-4.0999999999999996</v>
      </c>
      <c r="DF43" s="228">
        <v>-0.06</v>
      </c>
      <c r="DG43" s="228">
        <v>22.9</v>
      </c>
      <c r="DH43" s="228">
        <v>22.71</v>
      </c>
      <c r="DI43" s="228">
        <v>0.19</v>
      </c>
      <c r="DJ43" s="228">
        <v>0.19</v>
      </c>
      <c r="DK43" s="228">
        <v>22.96</v>
      </c>
      <c r="DL43" s="228">
        <v>23.01</v>
      </c>
      <c r="DM43" s="228">
        <v>-0.05</v>
      </c>
      <c r="DN43" s="228">
        <v>-0.05</v>
      </c>
      <c r="DO43" s="228">
        <v>0.48</v>
      </c>
      <c r="DP43" s="228">
        <v>0.5</v>
      </c>
      <c r="DQ43" s="228">
        <v>-0.02</v>
      </c>
      <c r="DR43" s="229">
        <v>-0.04</v>
      </c>
      <c r="DS43" s="231">
        <v>1150</v>
      </c>
      <c r="DT43" s="231">
        <v>1100</v>
      </c>
      <c r="DU43" s="228">
        <v>0.28999999999999998</v>
      </c>
      <c r="DV43" s="228">
        <v>0.37</v>
      </c>
      <c r="DW43" s="228">
        <v>-0.08</v>
      </c>
      <c r="DX43" s="229">
        <v>-0.2162</v>
      </c>
      <c r="DY43" s="229">
        <v>5.7000000000000002E-3</v>
      </c>
      <c r="DZ43" s="230">
        <v>84700</v>
      </c>
      <c r="EA43" s="229">
        <v>5.1000000000000004E-3</v>
      </c>
      <c r="EB43" s="229">
        <v>5.7000000000000002E-3</v>
      </c>
      <c r="EC43" s="228">
        <v>5.7</v>
      </c>
      <c r="ED43" s="229">
        <v>5.0000000000000001E-3</v>
      </c>
      <c r="EE43" s="230">
        <v>999781</v>
      </c>
      <c r="EF43" s="230">
        <v>1145342</v>
      </c>
      <c r="EG43" s="229">
        <v>-0.12709999999999999</v>
      </c>
      <c r="EH43" s="229">
        <v>0.66669999999999996</v>
      </c>
      <c r="EI43" s="231">
        <v>43386.43</v>
      </c>
      <c r="EJ43" s="231">
        <v>11947.54</v>
      </c>
      <c r="EK43" s="231">
        <v>16554.75</v>
      </c>
      <c r="EL43" s="231">
        <v>7484</v>
      </c>
      <c r="EM43" s="231">
        <v>71888.72</v>
      </c>
      <c r="EN43" s="231">
        <v>65607.460000000006</v>
      </c>
      <c r="EO43" s="231">
        <v>6281.26</v>
      </c>
      <c r="EP43" s="229">
        <v>9.5699999999999993E-2</v>
      </c>
      <c r="EQ43" s="231">
        <v>27734</v>
      </c>
      <c r="ER43" s="231">
        <v>12062</v>
      </c>
      <c r="ES43" s="231">
        <v>183078</v>
      </c>
      <c r="ET43" s="231">
        <v>65471528</v>
      </c>
      <c r="EU43" s="231">
        <v>222874</v>
      </c>
      <c r="EV43" s="231">
        <v>219039</v>
      </c>
      <c r="EW43" s="231">
        <v>3835</v>
      </c>
      <c r="EX43" s="229">
        <v>1.7500000000000002E-2</v>
      </c>
      <c r="EY43" s="229">
        <v>0.29580000000000001</v>
      </c>
    </row>
    <row r="44" spans="1:155" ht="17.25" thickBot="1" x14ac:dyDescent="0.3">
      <c r="A44" s="226">
        <v>45936</v>
      </c>
      <c r="B44" s="227" t="s">
        <v>162</v>
      </c>
      <c r="C44" s="227" t="s">
        <v>292</v>
      </c>
      <c r="D44" s="228">
        <v>714.85</v>
      </c>
      <c r="E44" s="228">
        <v>719.45</v>
      </c>
      <c r="F44" s="228">
        <v>-4.5999999999999996</v>
      </c>
      <c r="G44" s="229">
        <v>-6.4000000000000003E-3</v>
      </c>
      <c r="H44" s="228">
        <v>712.65</v>
      </c>
      <c r="I44" s="228">
        <v>716.1</v>
      </c>
      <c r="J44" s="228">
        <v>-3.45</v>
      </c>
      <c r="K44" s="229">
        <v>-4.7999999999999996E-3</v>
      </c>
      <c r="L44" s="228">
        <v>714.85</v>
      </c>
      <c r="M44" s="228">
        <v>719.45</v>
      </c>
      <c r="N44" s="228">
        <v>-4.5999999999999996</v>
      </c>
      <c r="O44" s="229">
        <v>-6.4000000000000003E-3</v>
      </c>
      <c r="P44" s="228">
        <v>714.7</v>
      </c>
      <c r="Q44" s="228">
        <v>719.4</v>
      </c>
      <c r="R44" s="228">
        <v>-4.7</v>
      </c>
      <c r="S44" s="229">
        <v>-6.4999999999999997E-3</v>
      </c>
      <c r="T44" s="228">
        <v>715</v>
      </c>
      <c r="U44" s="228">
        <v>719.85</v>
      </c>
      <c r="V44" s="228">
        <v>-4.8499999999999996</v>
      </c>
      <c r="W44" s="229">
        <v>-6.7000000000000002E-3</v>
      </c>
      <c r="X44" s="228">
        <v>2.2000000000000002</v>
      </c>
      <c r="Y44" s="228">
        <v>3.35</v>
      </c>
      <c r="Z44" s="228">
        <v>-1.1499999999999999</v>
      </c>
      <c r="AA44" s="229">
        <v>3.0999999999999999E-3</v>
      </c>
      <c r="AB44" s="228">
        <v>2.2000000000000002</v>
      </c>
      <c r="AC44" s="228">
        <v>3.35</v>
      </c>
      <c r="AD44" s="228">
        <v>-1.1499999999999999</v>
      </c>
      <c r="AE44" s="229">
        <v>3.0999999999999999E-3</v>
      </c>
      <c r="AF44" s="228">
        <v>2.0499999999999998</v>
      </c>
      <c r="AG44" s="228">
        <v>3.3</v>
      </c>
      <c r="AH44" s="228">
        <v>-1.25</v>
      </c>
      <c r="AI44" s="229">
        <v>2.8999999999999998E-3</v>
      </c>
      <c r="AJ44" s="228">
        <v>2.35</v>
      </c>
      <c r="AK44" s="228">
        <v>3.75</v>
      </c>
      <c r="AL44" s="228">
        <v>-1.4</v>
      </c>
      <c r="AM44" s="229">
        <v>3.3E-3</v>
      </c>
      <c r="AN44" s="228">
        <v>712.53</v>
      </c>
      <c r="AO44" s="228">
        <v>712.37</v>
      </c>
      <c r="AP44" s="228">
        <v>0</v>
      </c>
      <c r="AQ44" s="230">
        <v>19482</v>
      </c>
      <c r="AR44" s="230">
        <v>40314</v>
      </c>
      <c r="AS44" s="230">
        <v>-20832</v>
      </c>
      <c r="AT44" s="229">
        <v>-0.51670000000000005</v>
      </c>
      <c r="AU44" s="230">
        <v>17461</v>
      </c>
      <c r="AV44" s="230">
        <v>36420</v>
      </c>
      <c r="AW44" s="230">
        <v>-18959</v>
      </c>
      <c r="AX44" s="229">
        <v>-0.52059999999999995</v>
      </c>
      <c r="AY44" s="230">
        <v>1800</v>
      </c>
      <c r="AZ44" s="230">
        <v>3358</v>
      </c>
      <c r="BA44" s="230">
        <v>-1558</v>
      </c>
      <c r="BB44" s="229">
        <v>-0.46400000000000002</v>
      </c>
      <c r="BC44" s="228">
        <v>221</v>
      </c>
      <c r="BD44" s="228">
        <v>536</v>
      </c>
      <c r="BE44" s="228">
        <v>-315</v>
      </c>
      <c r="BF44" s="229">
        <v>-0.5877</v>
      </c>
      <c r="BG44" s="230">
        <v>188793</v>
      </c>
      <c r="BH44" s="230">
        <v>283858</v>
      </c>
      <c r="BI44" s="230">
        <v>-95065</v>
      </c>
      <c r="BJ44" s="229">
        <v>-0.33489999999999998</v>
      </c>
      <c r="BK44" s="230">
        <v>87415</v>
      </c>
      <c r="BL44" s="230">
        <v>160689</v>
      </c>
      <c r="BM44" s="230">
        <v>-73274</v>
      </c>
      <c r="BN44" s="229">
        <v>-0.45600000000000002</v>
      </c>
      <c r="BO44" s="230">
        <v>295690</v>
      </c>
      <c r="BP44" s="230">
        <v>484861</v>
      </c>
      <c r="BQ44" s="230">
        <v>-189171</v>
      </c>
      <c r="BR44" s="229">
        <v>-0.39019999999999999</v>
      </c>
      <c r="BS44" s="230">
        <v>10880662</v>
      </c>
      <c r="BT44" s="230">
        <v>29717866</v>
      </c>
      <c r="BU44" s="230">
        <v>-18837204</v>
      </c>
      <c r="BV44" s="229">
        <v>-0.63390000000000002</v>
      </c>
      <c r="BW44" s="230">
        <v>59785600</v>
      </c>
      <c r="BX44" s="230">
        <v>62260800</v>
      </c>
      <c r="BY44" s="230">
        <v>-2475200</v>
      </c>
      <c r="BZ44" s="229">
        <v>-3.9800000000000002E-2</v>
      </c>
      <c r="CA44" s="230">
        <v>54534400</v>
      </c>
      <c r="CB44" s="230">
        <v>56982400</v>
      </c>
      <c r="CC44" s="230">
        <v>-2448000</v>
      </c>
      <c r="CD44" s="229">
        <v>-4.2999999999999997E-2</v>
      </c>
      <c r="CE44" s="230">
        <v>4888800</v>
      </c>
      <c r="CF44" s="230">
        <v>4948000</v>
      </c>
      <c r="CG44" s="230">
        <v>-59200</v>
      </c>
      <c r="CH44" s="229">
        <v>-1.2E-2</v>
      </c>
      <c r="CI44" s="230">
        <v>362400</v>
      </c>
      <c r="CJ44" s="230">
        <v>330400</v>
      </c>
      <c r="CK44" s="230">
        <v>32000</v>
      </c>
      <c r="CL44" s="229">
        <v>9.69E-2</v>
      </c>
      <c r="CM44" s="230">
        <v>86459200</v>
      </c>
      <c r="CN44" s="230">
        <v>72556800</v>
      </c>
      <c r="CO44" s="230">
        <v>13902400</v>
      </c>
      <c r="CP44" s="229">
        <v>0.19159999999999999</v>
      </c>
      <c r="CQ44" s="230">
        <v>46172800</v>
      </c>
      <c r="CR44" s="230">
        <v>46041600</v>
      </c>
      <c r="CS44" s="230">
        <v>131200</v>
      </c>
      <c r="CT44" s="229">
        <v>2.8E-3</v>
      </c>
      <c r="CU44" s="230">
        <v>192417600</v>
      </c>
      <c r="CV44" s="230">
        <v>180859200</v>
      </c>
      <c r="CW44" s="230">
        <v>11558400</v>
      </c>
      <c r="CX44" s="229">
        <v>6.3899999999999998E-2</v>
      </c>
      <c r="CY44" s="228">
        <v>22.22</v>
      </c>
      <c r="CZ44" s="228">
        <v>23.64</v>
      </c>
      <c r="DA44" s="228">
        <v>-1.42</v>
      </c>
      <c r="DB44" s="228">
        <v>-1.42</v>
      </c>
      <c r="DC44" s="228">
        <v>35.86</v>
      </c>
      <c r="DD44" s="228">
        <v>35.94</v>
      </c>
      <c r="DE44" s="228">
        <v>-13.64</v>
      </c>
      <c r="DF44" s="228">
        <v>-0.08</v>
      </c>
      <c r="DG44" s="228">
        <v>22.29</v>
      </c>
      <c r="DH44" s="228">
        <v>23.79</v>
      </c>
      <c r="DI44" s="228">
        <v>-1.5</v>
      </c>
      <c r="DJ44" s="228">
        <v>-1.5</v>
      </c>
      <c r="DK44" s="228">
        <v>22.07</v>
      </c>
      <c r="DL44" s="228">
        <v>23.38</v>
      </c>
      <c r="DM44" s="228">
        <v>-1.31</v>
      </c>
      <c r="DN44" s="228">
        <v>-1.31</v>
      </c>
      <c r="DO44" s="228">
        <v>0.53</v>
      </c>
      <c r="DP44" s="228">
        <v>0.63</v>
      </c>
      <c r="DQ44" s="228">
        <v>-0.1</v>
      </c>
      <c r="DR44" s="229">
        <v>-0.15870000000000001</v>
      </c>
      <c r="DS44" s="228">
        <v>800</v>
      </c>
      <c r="DT44" s="228">
        <v>700</v>
      </c>
      <c r="DU44" s="228">
        <v>0.46</v>
      </c>
      <c r="DV44" s="228">
        <v>0.56999999999999995</v>
      </c>
      <c r="DW44" s="228">
        <v>-0.11</v>
      </c>
      <c r="DX44" s="229">
        <v>-0.193</v>
      </c>
      <c r="DY44" s="229">
        <v>8.7800000000000003E-2</v>
      </c>
      <c r="DZ44" s="230">
        <v>5278400</v>
      </c>
      <c r="EA44" s="229">
        <v>-2.0000000000000001E-4</v>
      </c>
      <c r="EB44" s="229">
        <v>8.7800000000000003E-2</v>
      </c>
      <c r="EC44" s="228">
        <v>-0.16</v>
      </c>
      <c r="ED44" s="229">
        <v>-2.0000000000000001E-4</v>
      </c>
      <c r="EE44" s="230">
        <v>4627804</v>
      </c>
      <c r="EF44" s="230">
        <v>10035671</v>
      </c>
      <c r="EG44" s="229">
        <v>-0.53890000000000005</v>
      </c>
      <c r="EH44" s="229">
        <v>0.42530000000000001</v>
      </c>
      <c r="EI44" s="231">
        <v>1144311.32</v>
      </c>
      <c r="EJ44" s="231">
        <v>485129.14</v>
      </c>
      <c r="EK44" s="231">
        <v>111049.97</v>
      </c>
      <c r="EL44" s="231">
        <v>53317</v>
      </c>
      <c r="EM44" s="231">
        <v>1740490.43</v>
      </c>
      <c r="EN44" s="231">
        <v>2880095.9</v>
      </c>
      <c r="EO44" s="231">
        <v>-1139605.47</v>
      </c>
      <c r="EP44" s="229">
        <v>-0.3957</v>
      </c>
      <c r="EQ44" s="231">
        <v>652531</v>
      </c>
      <c r="ER44" s="231">
        <v>316117</v>
      </c>
      <c r="ES44" s="231">
        <v>427371</v>
      </c>
      <c r="ET44" s="231">
        <v>284575867</v>
      </c>
      <c r="EU44" s="231">
        <v>1396019</v>
      </c>
      <c r="EV44" s="231">
        <v>1311552</v>
      </c>
      <c r="EW44" s="231">
        <v>84467</v>
      </c>
      <c r="EX44" s="229">
        <v>6.4399999999999999E-2</v>
      </c>
      <c r="EY44" s="229">
        <v>0.67620000000000002</v>
      </c>
    </row>
    <row r="45" spans="1:155" ht="17.25" thickBot="1" x14ac:dyDescent="0.3">
      <c r="A45" s="226">
        <v>45936</v>
      </c>
      <c r="B45" s="227" t="s">
        <v>227</v>
      </c>
      <c r="C45" s="227" t="s">
        <v>294</v>
      </c>
      <c r="D45" s="228">
        <v>171.07</v>
      </c>
      <c r="E45" s="228">
        <v>174.33</v>
      </c>
      <c r="F45" s="228">
        <v>-3.26</v>
      </c>
      <c r="G45" s="229">
        <v>-1.8700000000000001E-2</v>
      </c>
      <c r="H45" s="228">
        <v>170.06</v>
      </c>
      <c r="I45" s="228">
        <v>173.21</v>
      </c>
      <c r="J45" s="228">
        <v>-3.15</v>
      </c>
      <c r="K45" s="229">
        <v>-1.8200000000000001E-2</v>
      </c>
      <c r="L45" s="228">
        <v>171.07</v>
      </c>
      <c r="M45" s="228">
        <v>174.33</v>
      </c>
      <c r="N45" s="228">
        <v>-3.26</v>
      </c>
      <c r="O45" s="229">
        <v>-1.8700000000000001E-2</v>
      </c>
      <c r="P45" s="228">
        <v>172.02</v>
      </c>
      <c r="Q45" s="228">
        <v>175.23</v>
      </c>
      <c r="R45" s="228">
        <v>-3.21</v>
      </c>
      <c r="S45" s="229">
        <v>-1.83E-2</v>
      </c>
      <c r="T45" s="228">
        <v>172.93</v>
      </c>
      <c r="U45" s="228">
        <v>176.11</v>
      </c>
      <c r="V45" s="228">
        <v>-3.18</v>
      </c>
      <c r="W45" s="229">
        <v>-1.8100000000000002E-2</v>
      </c>
      <c r="X45" s="228">
        <v>1.01</v>
      </c>
      <c r="Y45" s="228">
        <v>1.1200000000000001</v>
      </c>
      <c r="Z45" s="228">
        <v>-0.11</v>
      </c>
      <c r="AA45" s="229">
        <v>5.8999999999999999E-3</v>
      </c>
      <c r="AB45" s="228">
        <v>1.01</v>
      </c>
      <c r="AC45" s="228">
        <v>1.1200000000000001</v>
      </c>
      <c r="AD45" s="228">
        <v>-0.11</v>
      </c>
      <c r="AE45" s="229">
        <v>5.8999999999999999E-3</v>
      </c>
      <c r="AF45" s="228">
        <v>1.96</v>
      </c>
      <c r="AG45" s="228">
        <v>2.02</v>
      </c>
      <c r="AH45" s="228">
        <v>-0.06</v>
      </c>
      <c r="AI45" s="229">
        <v>1.15E-2</v>
      </c>
      <c r="AJ45" s="228">
        <v>2.87</v>
      </c>
      <c r="AK45" s="228">
        <v>2.9</v>
      </c>
      <c r="AL45" s="228">
        <v>-0.03</v>
      </c>
      <c r="AM45" s="229">
        <v>1.6899999999999998E-2</v>
      </c>
      <c r="AN45" s="228">
        <v>171.64</v>
      </c>
      <c r="AO45" s="228">
        <v>172.54</v>
      </c>
      <c r="AP45" s="228">
        <v>0</v>
      </c>
      <c r="AQ45" s="230">
        <v>8321</v>
      </c>
      <c r="AR45" s="230">
        <v>14573</v>
      </c>
      <c r="AS45" s="230">
        <v>-6252</v>
      </c>
      <c r="AT45" s="229">
        <v>-0.42899999999999999</v>
      </c>
      <c r="AU45" s="230">
        <v>7638</v>
      </c>
      <c r="AV45" s="230">
        <v>13724</v>
      </c>
      <c r="AW45" s="230">
        <v>-6086</v>
      </c>
      <c r="AX45" s="229">
        <v>-0.44350000000000001</v>
      </c>
      <c r="AY45" s="228">
        <v>589</v>
      </c>
      <c r="AZ45" s="228">
        <v>731</v>
      </c>
      <c r="BA45" s="228">
        <v>-142</v>
      </c>
      <c r="BB45" s="229">
        <v>-0.1943</v>
      </c>
      <c r="BC45" s="228">
        <v>94</v>
      </c>
      <c r="BD45" s="228">
        <v>118</v>
      </c>
      <c r="BE45" s="228">
        <v>-24</v>
      </c>
      <c r="BF45" s="229">
        <v>-0.2034</v>
      </c>
      <c r="BG45" s="230">
        <v>33745</v>
      </c>
      <c r="BH45" s="230">
        <v>65437</v>
      </c>
      <c r="BI45" s="230">
        <v>-31692</v>
      </c>
      <c r="BJ45" s="229">
        <v>-0.48430000000000001</v>
      </c>
      <c r="BK45" s="230">
        <v>18923</v>
      </c>
      <c r="BL45" s="230">
        <v>31512</v>
      </c>
      <c r="BM45" s="230">
        <v>-12589</v>
      </c>
      <c r="BN45" s="229">
        <v>-0.39950000000000002</v>
      </c>
      <c r="BO45" s="230">
        <v>60989</v>
      </c>
      <c r="BP45" s="230">
        <v>111522</v>
      </c>
      <c r="BQ45" s="230">
        <v>-50533</v>
      </c>
      <c r="BR45" s="229">
        <v>-0.4531</v>
      </c>
      <c r="BS45" s="230">
        <v>23294745</v>
      </c>
      <c r="BT45" s="230">
        <v>58109817</v>
      </c>
      <c r="BU45" s="230">
        <v>-34815072</v>
      </c>
      <c r="BV45" s="229">
        <v>-0.59909999999999997</v>
      </c>
      <c r="BW45" s="230">
        <v>184877000</v>
      </c>
      <c r="BX45" s="230">
        <v>185691000</v>
      </c>
      <c r="BY45" s="230">
        <v>-814000</v>
      </c>
      <c r="BZ45" s="229">
        <v>-4.4000000000000003E-3</v>
      </c>
      <c r="CA45" s="230">
        <v>180070000</v>
      </c>
      <c r="CB45" s="230">
        <v>181577000</v>
      </c>
      <c r="CC45" s="230">
        <v>-1507000</v>
      </c>
      <c r="CD45" s="229">
        <v>-8.3000000000000001E-3</v>
      </c>
      <c r="CE45" s="230">
        <v>4400000</v>
      </c>
      <c r="CF45" s="230">
        <v>3828000</v>
      </c>
      <c r="CG45" s="230">
        <v>572000</v>
      </c>
      <c r="CH45" s="229">
        <v>0.14940000000000001</v>
      </c>
      <c r="CI45" s="230">
        <v>407000</v>
      </c>
      <c r="CJ45" s="230">
        <v>286000</v>
      </c>
      <c r="CK45" s="230">
        <v>121000</v>
      </c>
      <c r="CL45" s="229">
        <v>0.42309999999999998</v>
      </c>
      <c r="CM45" s="230">
        <v>102245000</v>
      </c>
      <c r="CN45" s="230">
        <v>84331500</v>
      </c>
      <c r="CO45" s="230">
        <v>17913500</v>
      </c>
      <c r="CP45" s="229">
        <v>0.21240000000000001</v>
      </c>
      <c r="CQ45" s="230">
        <v>64394000</v>
      </c>
      <c r="CR45" s="230">
        <v>62623000</v>
      </c>
      <c r="CS45" s="230">
        <v>1771000</v>
      </c>
      <c r="CT45" s="229">
        <v>2.8299999999999999E-2</v>
      </c>
      <c r="CU45" s="230">
        <v>351516000</v>
      </c>
      <c r="CV45" s="230">
        <v>332645500</v>
      </c>
      <c r="CW45" s="230">
        <v>18870500</v>
      </c>
      <c r="CX45" s="229">
        <v>5.67E-2</v>
      </c>
      <c r="CY45" s="228">
        <v>24.94</v>
      </c>
      <c r="CZ45" s="228">
        <v>24.23</v>
      </c>
      <c r="DA45" s="228">
        <v>0.71</v>
      </c>
      <c r="DB45" s="228">
        <v>0.71</v>
      </c>
      <c r="DC45" s="228">
        <v>34.64</v>
      </c>
      <c r="DD45" s="228">
        <v>34.630000000000003</v>
      </c>
      <c r="DE45" s="228">
        <v>-9.6999999999999993</v>
      </c>
      <c r="DF45" s="228">
        <v>0.01</v>
      </c>
      <c r="DG45" s="228">
        <v>25.22</v>
      </c>
      <c r="DH45" s="228">
        <v>23.9</v>
      </c>
      <c r="DI45" s="228">
        <v>1.32</v>
      </c>
      <c r="DJ45" s="228">
        <v>1.32</v>
      </c>
      <c r="DK45" s="228">
        <v>24.44</v>
      </c>
      <c r="DL45" s="228">
        <v>24.92</v>
      </c>
      <c r="DM45" s="228">
        <v>-0.48</v>
      </c>
      <c r="DN45" s="228">
        <v>-0.48</v>
      </c>
      <c r="DO45" s="228">
        <v>0.63</v>
      </c>
      <c r="DP45" s="228">
        <v>0.74</v>
      </c>
      <c r="DQ45" s="228">
        <v>-0.11</v>
      </c>
      <c r="DR45" s="229">
        <v>-0.14860000000000001</v>
      </c>
      <c r="DS45" s="228">
        <v>180</v>
      </c>
      <c r="DT45" s="228">
        <v>165</v>
      </c>
      <c r="DU45" s="228">
        <v>0.56000000000000005</v>
      </c>
      <c r="DV45" s="228">
        <v>0.48</v>
      </c>
      <c r="DW45" s="228">
        <v>0.08</v>
      </c>
      <c r="DX45" s="229">
        <v>0.16669999999999999</v>
      </c>
      <c r="DY45" s="229">
        <v>2.5999999999999999E-2</v>
      </c>
      <c r="DZ45" s="230">
        <v>4114000</v>
      </c>
      <c r="EA45" s="229">
        <v>5.5999999999999999E-3</v>
      </c>
      <c r="EB45" s="229">
        <v>2.5999999999999999E-2</v>
      </c>
      <c r="EC45" s="228">
        <v>0.9</v>
      </c>
      <c r="ED45" s="229">
        <v>5.1999999999999998E-3</v>
      </c>
      <c r="EE45" s="230">
        <v>10436461</v>
      </c>
      <c r="EF45" s="230">
        <v>24470738</v>
      </c>
      <c r="EG45" s="229">
        <v>-0.57350000000000001</v>
      </c>
      <c r="EH45" s="229">
        <v>0.44800000000000001</v>
      </c>
      <c r="EI45" s="231">
        <v>335990.69</v>
      </c>
      <c r="EJ45" s="231">
        <v>176080.05</v>
      </c>
      <c r="EK45" s="231">
        <v>78592.14</v>
      </c>
      <c r="EL45" s="231">
        <v>15162</v>
      </c>
      <c r="EM45" s="231">
        <v>590662.88</v>
      </c>
      <c r="EN45" s="231">
        <v>1088604.1100000001</v>
      </c>
      <c r="EO45" s="231">
        <v>-497941.23</v>
      </c>
      <c r="EP45" s="229">
        <v>-0.45739999999999997</v>
      </c>
      <c r="EQ45" s="231">
        <v>182368</v>
      </c>
      <c r="ER45" s="231">
        <v>105666</v>
      </c>
      <c r="ES45" s="231">
        <v>316318</v>
      </c>
      <c r="ET45" s="231">
        <v>833987639</v>
      </c>
      <c r="EU45" s="231">
        <v>604353</v>
      </c>
      <c r="EV45" s="231">
        <v>577597</v>
      </c>
      <c r="EW45" s="231">
        <v>26756</v>
      </c>
      <c r="EX45" s="229">
        <v>4.6300000000000001E-2</v>
      </c>
      <c r="EY45" s="229">
        <v>0.42149999999999999</v>
      </c>
    </row>
    <row r="46" spans="1:155" ht="17.25" thickBot="1" x14ac:dyDescent="0.3">
      <c r="A46" s="226">
        <v>45936</v>
      </c>
      <c r="B46" s="227" t="s">
        <v>221</v>
      </c>
      <c r="C46" s="227" t="s">
        <v>295</v>
      </c>
      <c r="D46" s="231">
        <v>2993</v>
      </c>
      <c r="E46" s="231">
        <v>2909.7</v>
      </c>
      <c r="F46" s="228">
        <v>83.3</v>
      </c>
      <c r="G46" s="229">
        <v>2.86E-2</v>
      </c>
      <c r="H46" s="231">
        <v>2988.4</v>
      </c>
      <c r="I46" s="231">
        <v>2901.9</v>
      </c>
      <c r="J46" s="228">
        <v>86.5</v>
      </c>
      <c r="K46" s="229">
        <v>2.98E-2</v>
      </c>
      <c r="L46" s="231">
        <v>2993</v>
      </c>
      <c r="M46" s="231">
        <v>2909.7</v>
      </c>
      <c r="N46" s="228">
        <v>83.3</v>
      </c>
      <c r="O46" s="229">
        <v>2.86E-2</v>
      </c>
      <c r="P46" s="231">
        <v>3009</v>
      </c>
      <c r="Q46" s="231">
        <v>2925.4</v>
      </c>
      <c r="R46" s="228">
        <v>83.6</v>
      </c>
      <c r="S46" s="229">
        <v>2.86E-2</v>
      </c>
      <c r="T46" s="231">
        <v>3025.4</v>
      </c>
      <c r="U46" s="231">
        <v>2943.4</v>
      </c>
      <c r="V46" s="228">
        <v>82</v>
      </c>
      <c r="W46" s="229">
        <v>2.7900000000000001E-2</v>
      </c>
      <c r="X46" s="228">
        <v>4.5999999999999996</v>
      </c>
      <c r="Y46" s="228">
        <v>7.8</v>
      </c>
      <c r="Z46" s="228">
        <v>-3.2</v>
      </c>
      <c r="AA46" s="229">
        <v>1.5E-3</v>
      </c>
      <c r="AB46" s="228">
        <v>4.5999999999999996</v>
      </c>
      <c r="AC46" s="228">
        <v>7.8</v>
      </c>
      <c r="AD46" s="228">
        <v>-3.2</v>
      </c>
      <c r="AE46" s="229">
        <v>1.5E-3</v>
      </c>
      <c r="AF46" s="228">
        <v>20.6</v>
      </c>
      <c r="AG46" s="228">
        <v>23.5</v>
      </c>
      <c r="AH46" s="228">
        <v>-2.9</v>
      </c>
      <c r="AI46" s="229">
        <v>6.8999999999999999E-3</v>
      </c>
      <c r="AJ46" s="228">
        <v>37</v>
      </c>
      <c r="AK46" s="228">
        <v>41.5</v>
      </c>
      <c r="AL46" s="228">
        <v>-4.5</v>
      </c>
      <c r="AM46" s="229">
        <v>1.24E-2</v>
      </c>
      <c r="AN46" s="231">
        <v>2961.02</v>
      </c>
      <c r="AO46" s="231">
        <v>2978.71</v>
      </c>
      <c r="AP46" s="228">
        <v>0</v>
      </c>
      <c r="AQ46" s="230">
        <v>34651</v>
      </c>
      <c r="AR46" s="230">
        <v>15571</v>
      </c>
      <c r="AS46" s="230">
        <v>19080</v>
      </c>
      <c r="AT46" s="229">
        <v>1.2254</v>
      </c>
      <c r="AU46" s="230">
        <v>32488</v>
      </c>
      <c r="AV46" s="230">
        <v>14381</v>
      </c>
      <c r="AW46" s="230">
        <v>18107</v>
      </c>
      <c r="AX46" s="229">
        <v>1.2591000000000001</v>
      </c>
      <c r="AY46" s="230">
        <v>1784</v>
      </c>
      <c r="AZ46" s="228">
        <v>980</v>
      </c>
      <c r="BA46" s="228">
        <v>804</v>
      </c>
      <c r="BB46" s="229">
        <v>0.82040000000000002</v>
      </c>
      <c r="BC46" s="228">
        <v>379</v>
      </c>
      <c r="BD46" s="228">
        <v>210</v>
      </c>
      <c r="BE46" s="228">
        <v>169</v>
      </c>
      <c r="BF46" s="229">
        <v>0.80479999999999996</v>
      </c>
      <c r="BG46" s="230">
        <v>163933</v>
      </c>
      <c r="BH46" s="230">
        <v>53330</v>
      </c>
      <c r="BI46" s="230">
        <v>110603</v>
      </c>
      <c r="BJ46" s="229">
        <v>2.0739000000000001</v>
      </c>
      <c r="BK46" s="230">
        <v>72942</v>
      </c>
      <c r="BL46" s="230">
        <v>30438</v>
      </c>
      <c r="BM46" s="230">
        <v>42504</v>
      </c>
      <c r="BN46" s="229">
        <v>1.3964000000000001</v>
      </c>
      <c r="BO46" s="230">
        <v>271526</v>
      </c>
      <c r="BP46" s="230">
        <v>99339</v>
      </c>
      <c r="BQ46" s="230">
        <v>172187</v>
      </c>
      <c r="BR46" s="229">
        <v>1.7333000000000001</v>
      </c>
      <c r="BS46" s="230">
        <v>2303601</v>
      </c>
      <c r="BT46" s="230">
        <v>2980244</v>
      </c>
      <c r="BU46" s="230">
        <v>-676643</v>
      </c>
      <c r="BV46" s="229">
        <v>-0.22700000000000001</v>
      </c>
      <c r="BW46" s="230">
        <v>32002250</v>
      </c>
      <c r="BX46" s="230">
        <v>31353700</v>
      </c>
      <c r="BY46" s="230">
        <v>648550</v>
      </c>
      <c r="BZ46" s="229">
        <v>2.07E-2</v>
      </c>
      <c r="CA46" s="230">
        <v>30549050</v>
      </c>
      <c r="CB46" s="230">
        <v>29867075</v>
      </c>
      <c r="CC46" s="230">
        <v>681975</v>
      </c>
      <c r="CD46" s="229">
        <v>2.2800000000000001E-2</v>
      </c>
      <c r="CE46" s="230">
        <v>1386875</v>
      </c>
      <c r="CF46" s="230">
        <v>1429925</v>
      </c>
      <c r="CG46" s="230">
        <v>-43050</v>
      </c>
      <c r="CH46" s="229">
        <v>-3.0099999999999998E-2</v>
      </c>
      <c r="CI46" s="230">
        <v>66325</v>
      </c>
      <c r="CJ46" s="230">
        <v>56700</v>
      </c>
      <c r="CK46" s="230">
        <v>9625</v>
      </c>
      <c r="CL46" s="229">
        <v>0.16980000000000001</v>
      </c>
      <c r="CM46" s="230">
        <v>14321825</v>
      </c>
      <c r="CN46" s="230">
        <v>13556900</v>
      </c>
      <c r="CO46" s="230">
        <v>764925</v>
      </c>
      <c r="CP46" s="229">
        <v>5.6399999999999999E-2</v>
      </c>
      <c r="CQ46" s="230">
        <v>10835300</v>
      </c>
      <c r="CR46" s="230">
        <v>10435950</v>
      </c>
      <c r="CS46" s="230">
        <v>399350</v>
      </c>
      <c r="CT46" s="229">
        <v>3.8300000000000001E-2</v>
      </c>
      <c r="CU46" s="230">
        <v>57159375</v>
      </c>
      <c r="CV46" s="230">
        <v>55346550</v>
      </c>
      <c r="CW46" s="230">
        <v>1812825</v>
      </c>
      <c r="CX46" s="229">
        <v>3.2800000000000003E-2</v>
      </c>
      <c r="CY46" s="228">
        <v>24.34</v>
      </c>
      <c r="CZ46" s="228">
        <v>23.84</v>
      </c>
      <c r="DA46" s="228">
        <v>0.5</v>
      </c>
      <c r="DB46" s="228">
        <v>0.5</v>
      </c>
      <c r="DC46" s="228">
        <v>24.68</v>
      </c>
      <c r="DD46" s="228">
        <v>24.42</v>
      </c>
      <c r="DE46" s="228">
        <v>-0.34</v>
      </c>
      <c r="DF46" s="228">
        <v>0.26</v>
      </c>
      <c r="DG46" s="228">
        <v>24.07</v>
      </c>
      <c r="DH46" s="228">
        <v>23.83</v>
      </c>
      <c r="DI46" s="228">
        <v>0.24</v>
      </c>
      <c r="DJ46" s="228">
        <v>0.24</v>
      </c>
      <c r="DK46" s="228">
        <v>24.95</v>
      </c>
      <c r="DL46" s="228">
        <v>23.86</v>
      </c>
      <c r="DM46" s="228">
        <v>1.0900000000000001</v>
      </c>
      <c r="DN46" s="228">
        <v>1.0900000000000001</v>
      </c>
      <c r="DO46" s="228">
        <v>0.76</v>
      </c>
      <c r="DP46" s="228">
        <v>0.77</v>
      </c>
      <c r="DQ46" s="228">
        <v>-0.01</v>
      </c>
      <c r="DR46" s="229">
        <v>-1.2999999999999999E-2</v>
      </c>
      <c r="DS46" s="231">
        <v>3000</v>
      </c>
      <c r="DT46" s="231">
        <v>2900</v>
      </c>
      <c r="DU46" s="228">
        <v>0.44</v>
      </c>
      <c r="DV46" s="228">
        <v>0.56999999999999995</v>
      </c>
      <c r="DW46" s="228">
        <v>-0.13</v>
      </c>
      <c r="DX46" s="229">
        <v>-0.2281</v>
      </c>
      <c r="DY46" s="229">
        <v>4.5400000000000003E-2</v>
      </c>
      <c r="DZ46" s="230">
        <v>1486625</v>
      </c>
      <c r="EA46" s="229">
        <v>5.3E-3</v>
      </c>
      <c r="EB46" s="229">
        <v>4.5400000000000003E-2</v>
      </c>
      <c r="EC46" s="228">
        <v>17.690000000000001</v>
      </c>
      <c r="ED46" s="229">
        <v>6.0000000000000001E-3</v>
      </c>
      <c r="EE46" s="230">
        <v>966973</v>
      </c>
      <c r="EF46" s="230">
        <v>2149136</v>
      </c>
      <c r="EG46" s="229">
        <v>-0.55010000000000003</v>
      </c>
      <c r="EH46" s="229">
        <v>0.41980000000000001</v>
      </c>
      <c r="EI46" s="231">
        <v>887425.41</v>
      </c>
      <c r="EJ46" s="231">
        <v>372116.49</v>
      </c>
      <c r="EK46" s="231">
        <v>179631.86</v>
      </c>
      <c r="EL46" s="231">
        <v>44104</v>
      </c>
      <c r="EM46" s="231">
        <v>1439173.76</v>
      </c>
      <c r="EN46" s="231">
        <v>518218.13</v>
      </c>
      <c r="EO46" s="231">
        <v>920955.63</v>
      </c>
      <c r="EP46" s="229">
        <v>1.7771999999999999</v>
      </c>
      <c r="EQ46" s="231">
        <v>443621</v>
      </c>
      <c r="ER46" s="231">
        <v>319101</v>
      </c>
      <c r="ES46" s="231">
        <v>958071</v>
      </c>
      <c r="ET46" s="231">
        <v>123298271</v>
      </c>
      <c r="EU46" s="231">
        <v>1720793</v>
      </c>
      <c r="EV46" s="231">
        <v>1637600</v>
      </c>
      <c r="EW46" s="231">
        <v>83193</v>
      </c>
      <c r="EX46" s="229">
        <v>5.0799999999999998E-2</v>
      </c>
      <c r="EY46" s="229">
        <v>0.46360000000000001</v>
      </c>
    </row>
    <row r="47" spans="1:155" ht="17.25" thickBot="1" x14ac:dyDescent="0.3">
      <c r="A47" s="226">
        <v>45936</v>
      </c>
      <c r="B47" s="227" t="s">
        <v>221</v>
      </c>
      <c r="C47" s="227" t="s">
        <v>296</v>
      </c>
      <c r="D47" s="231">
        <v>1438.8</v>
      </c>
      <c r="E47" s="231">
        <v>1399.7</v>
      </c>
      <c r="F47" s="228">
        <v>39.1</v>
      </c>
      <c r="G47" s="229">
        <v>2.7900000000000001E-2</v>
      </c>
      <c r="H47" s="231">
        <v>1439.3</v>
      </c>
      <c r="I47" s="231">
        <v>1400.6</v>
      </c>
      <c r="J47" s="228">
        <v>38.700000000000003</v>
      </c>
      <c r="K47" s="229">
        <v>2.76E-2</v>
      </c>
      <c r="L47" s="231">
        <v>1438.8</v>
      </c>
      <c r="M47" s="231">
        <v>1399.7</v>
      </c>
      <c r="N47" s="228">
        <v>39.1</v>
      </c>
      <c r="O47" s="229">
        <v>2.7900000000000001E-2</v>
      </c>
      <c r="P47" s="231">
        <v>1438.5</v>
      </c>
      <c r="Q47" s="231">
        <v>1401.9</v>
      </c>
      <c r="R47" s="228">
        <v>36.6</v>
      </c>
      <c r="S47" s="229">
        <v>2.6100000000000002E-2</v>
      </c>
      <c r="T47" s="231">
        <v>1443.9</v>
      </c>
      <c r="U47" s="231">
        <v>1408.8</v>
      </c>
      <c r="V47" s="228">
        <v>35.1</v>
      </c>
      <c r="W47" s="229">
        <v>2.4899999999999999E-2</v>
      </c>
      <c r="X47" s="228">
        <v>-0.5</v>
      </c>
      <c r="Y47" s="228">
        <v>-0.9</v>
      </c>
      <c r="Z47" s="228">
        <v>0.4</v>
      </c>
      <c r="AA47" s="229">
        <v>-2.9999999999999997E-4</v>
      </c>
      <c r="AB47" s="228">
        <v>-0.5</v>
      </c>
      <c r="AC47" s="228">
        <v>-0.9</v>
      </c>
      <c r="AD47" s="228">
        <v>0.4</v>
      </c>
      <c r="AE47" s="229">
        <v>-2.9999999999999997E-4</v>
      </c>
      <c r="AF47" s="228">
        <v>-0.8</v>
      </c>
      <c r="AG47" s="228">
        <v>1.3</v>
      </c>
      <c r="AH47" s="228">
        <v>-2.1</v>
      </c>
      <c r="AI47" s="229">
        <v>-5.9999999999999995E-4</v>
      </c>
      <c r="AJ47" s="228">
        <v>4.5999999999999996</v>
      </c>
      <c r="AK47" s="228">
        <v>8.1999999999999993</v>
      </c>
      <c r="AL47" s="228">
        <v>-3.6</v>
      </c>
      <c r="AM47" s="229">
        <v>3.2000000000000002E-3</v>
      </c>
      <c r="AN47" s="231">
        <v>1417.41</v>
      </c>
      <c r="AO47" s="231">
        <v>1419.98</v>
      </c>
      <c r="AP47" s="228">
        <v>0</v>
      </c>
      <c r="AQ47" s="230">
        <v>6745</v>
      </c>
      <c r="AR47" s="230">
        <v>5042</v>
      </c>
      <c r="AS47" s="230">
        <v>1703</v>
      </c>
      <c r="AT47" s="229">
        <v>0.33779999999999999</v>
      </c>
      <c r="AU47" s="230">
        <v>6262</v>
      </c>
      <c r="AV47" s="230">
        <v>4854</v>
      </c>
      <c r="AW47" s="230">
        <v>1408</v>
      </c>
      <c r="AX47" s="229">
        <v>0.29010000000000002</v>
      </c>
      <c r="AY47" s="228">
        <v>465</v>
      </c>
      <c r="AZ47" s="228">
        <v>172</v>
      </c>
      <c r="BA47" s="228">
        <v>293</v>
      </c>
      <c r="BB47" s="229">
        <v>1.7035</v>
      </c>
      <c r="BC47" s="228">
        <v>18</v>
      </c>
      <c r="BD47" s="228">
        <v>16</v>
      </c>
      <c r="BE47" s="228">
        <v>2</v>
      </c>
      <c r="BF47" s="229">
        <v>0.125</v>
      </c>
      <c r="BG47" s="230">
        <v>17392</v>
      </c>
      <c r="BH47" s="230">
        <v>7910</v>
      </c>
      <c r="BI47" s="230">
        <v>9482</v>
      </c>
      <c r="BJ47" s="229">
        <v>1.1987000000000001</v>
      </c>
      <c r="BK47" s="230">
        <v>8240</v>
      </c>
      <c r="BL47" s="230">
        <v>4703</v>
      </c>
      <c r="BM47" s="230">
        <v>3537</v>
      </c>
      <c r="BN47" s="229">
        <v>0.75209999999999999</v>
      </c>
      <c r="BO47" s="230">
        <v>32377</v>
      </c>
      <c r="BP47" s="230">
        <v>17655</v>
      </c>
      <c r="BQ47" s="230">
        <v>14722</v>
      </c>
      <c r="BR47" s="229">
        <v>0.83389999999999997</v>
      </c>
      <c r="BS47" s="230">
        <v>3097922</v>
      </c>
      <c r="BT47" s="230">
        <v>2592503</v>
      </c>
      <c r="BU47" s="230">
        <v>505419</v>
      </c>
      <c r="BV47" s="229">
        <v>0.19500000000000001</v>
      </c>
      <c r="BW47" s="230">
        <v>16186800</v>
      </c>
      <c r="BX47" s="230">
        <v>15823200</v>
      </c>
      <c r="BY47" s="230">
        <v>363600</v>
      </c>
      <c r="BZ47" s="229">
        <v>2.3E-2</v>
      </c>
      <c r="CA47" s="230">
        <v>14737800</v>
      </c>
      <c r="CB47" s="230">
        <v>14463600</v>
      </c>
      <c r="CC47" s="230">
        <v>274200</v>
      </c>
      <c r="CD47" s="229">
        <v>1.9E-2</v>
      </c>
      <c r="CE47" s="230">
        <v>1439400</v>
      </c>
      <c r="CF47" s="230">
        <v>1350000</v>
      </c>
      <c r="CG47" s="230">
        <v>89400</v>
      </c>
      <c r="CH47" s="229">
        <v>6.6199999999999995E-2</v>
      </c>
      <c r="CI47" s="230">
        <v>9600</v>
      </c>
      <c r="CJ47" s="230">
        <v>9600</v>
      </c>
      <c r="CK47" s="228">
        <v>0</v>
      </c>
      <c r="CL47" s="229">
        <v>0</v>
      </c>
      <c r="CM47" s="230">
        <v>4203600</v>
      </c>
      <c r="CN47" s="230">
        <v>4006800</v>
      </c>
      <c r="CO47" s="230">
        <v>196800</v>
      </c>
      <c r="CP47" s="229">
        <v>4.9099999999999998E-2</v>
      </c>
      <c r="CQ47" s="230">
        <v>4269000</v>
      </c>
      <c r="CR47" s="230">
        <v>3911400</v>
      </c>
      <c r="CS47" s="230">
        <v>357600</v>
      </c>
      <c r="CT47" s="229">
        <v>9.1399999999999995E-2</v>
      </c>
      <c r="CU47" s="230">
        <v>24659400</v>
      </c>
      <c r="CV47" s="230">
        <v>23741400</v>
      </c>
      <c r="CW47" s="230">
        <v>918000</v>
      </c>
      <c r="CX47" s="229">
        <v>3.8699999999999998E-2</v>
      </c>
      <c r="CY47" s="228">
        <v>29.14</v>
      </c>
      <c r="CZ47" s="228">
        <v>28.43</v>
      </c>
      <c r="DA47" s="228">
        <v>0.71</v>
      </c>
      <c r="DB47" s="228">
        <v>0.71</v>
      </c>
      <c r="DC47" s="228">
        <v>30.43</v>
      </c>
      <c r="DD47" s="228">
        <v>30.28</v>
      </c>
      <c r="DE47" s="228">
        <v>-1.29</v>
      </c>
      <c r="DF47" s="228">
        <v>0.15</v>
      </c>
      <c r="DG47" s="228">
        <v>28.75</v>
      </c>
      <c r="DH47" s="228">
        <v>28.39</v>
      </c>
      <c r="DI47" s="228">
        <v>0.36</v>
      </c>
      <c r="DJ47" s="228">
        <v>0.36</v>
      </c>
      <c r="DK47" s="228">
        <v>29.95</v>
      </c>
      <c r="DL47" s="228">
        <v>28.51</v>
      </c>
      <c r="DM47" s="228">
        <v>1.44</v>
      </c>
      <c r="DN47" s="228">
        <v>1.44</v>
      </c>
      <c r="DO47" s="228">
        <v>1.02</v>
      </c>
      <c r="DP47" s="228">
        <v>0.98</v>
      </c>
      <c r="DQ47" s="228">
        <v>0.04</v>
      </c>
      <c r="DR47" s="229">
        <v>4.0800000000000003E-2</v>
      </c>
      <c r="DS47" s="231">
        <v>1500</v>
      </c>
      <c r="DT47" s="231">
        <v>1400</v>
      </c>
      <c r="DU47" s="228">
        <v>0.47</v>
      </c>
      <c r="DV47" s="228">
        <v>0.59</v>
      </c>
      <c r="DW47" s="228">
        <v>-0.12</v>
      </c>
      <c r="DX47" s="229">
        <v>-0.2034</v>
      </c>
      <c r="DY47" s="229">
        <v>8.9499999999999996E-2</v>
      </c>
      <c r="DZ47" s="230">
        <v>1359600</v>
      </c>
      <c r="EA47" s="229">
        <v>-2.0000000000000001E-4</v>
      </c>
      <c r="EB47" s="229">
        <v>8.9499999999999996E-2</v>
      </c>
      <c r="EC47" s="228">
        <v>2.57</v>
      </c>
      <c r="ED47" s="229">
        <v>1.8E-3</v>
      </c>
      <c r="EE47" s="230">
        <v>2029596</v>
      </c>
      <c r="EF47" s="230">
        <v>1954077</v>
      </c>
      <c r="EG47" s="229">
        <v>3.8600000000000002E-2</v>
      </c>
      <c r="EH47" s="229">
        <v>0.65510000000000002</v>
      </c>
      <c r="EI47" s="231">
        <v>155655.64000000001</v>
      </c>
      <c r="EJ47" s="231">
        <v>69102.67</v>
      </c>
      <c r="EK47" s="231">
        <v>57371.21</v>
      </c>
      <c r="EL47" s="231">
        <v>12354</v>
      </c>
      <c r="EM47" s="231">
        <v>282129.52</v>
      </c>
      <c r="EN47" s="231">
        <v>151591.78</v>
      </c>
      <c r="EO47" s="231">
        <v>130537.74</v>
      </c>
      <c r="EP47" s="229">
        <v>0.86109999999999998</v>
      </c>
      <c r="EQ47" s="231">
        <v>63678</v>
      </c>
      <c r="ER47" s="231">
        <v>59181</v>
      </c>
      <c r="ES47" s="231">
        <v>232892</v>
      </c>
      <c r="ET47" s="231">
        <v>76137451</v>
      </c>
      <c r="EU47" s="231">
        <v>355750</v>
      </c>
      <c r="EV47" s="231">
        <v>336112</v>
      </c>
      <c r="EW47" s="231">
        <v>19638</v>
      </c>
      <c r="EX47" s="229">
        <v>5.8400000000000001E-2</v>
      </c>
      <c r="EY47" s="229">
        <v>0.32390000000000002</v>
      </c>
    </row>
    <row r="48" spans="1:155" ht="17.25" thickBot="1" x14ac:dyDescent="0.3">
      <c r="A48" s="226">
        <v>45936</v>
      </c>
      <c r="B48" s="227" t="s">
        <v>168</v>
      </c>
      <c r="C48" s="227" t="s">
        <v>297</v>
      </c>
      <c r="D48" s="231">
        <v>3443.8</v>
      </c>
      <c r="E48" s="231">
        <v>3466.1</v>
      </c>
      <c r="F48" s="228">
        <v>-22.3</v>
      </c>
      <c r="G48" s="229">
        <v>-6.4000000000000003E-3</v>
      </c>
      <c r="H48" s="231">
        <v>3425.4</v>
      </c>
      <c r="I48" s="231">
        <v>3453.3</v>
      </c>
      <c r="J48" s="228">
        <v>-27.9</v>
      </c>
      <c r="K48" s="229">
        <v>-8.0999999999999996E-3</v>
      </c>
      <c r="L48" s="231">
        <v>3443.8</v>
      </c>
      <c r="M48" s="231">
        <v>3466.1</v>
      </c>
      <c r="N48" s="228">
        <v>-22.3</v>
      </c>
      <c r="O48" s="229">
        <v>-6.4000000000000003E-3</v>
      </c>
      <c r="P48" s="231">
        <v>3463.3</v>
      </c>
      <c r="Q48" s="231">
        <v>3484.2</v>
      </c>
      <c r="R48" s="228">
        <v>-20.9</v>
      </c>
      <c r="S48" s="229">
        <v>-6.0000000000000001E-3</v>
      </c>
      <c r="T48" s="231">
        <v>3488.7</v>
      </c>
      <c r="U48" s="231">
        <v>3500.3</v>
      </c>
      <c r="V48" s="228">
        <v>-11.6</v>
      </c>
      <c r="W48" s="229">
        <v>-3.3E-3</v>
      </c>
      <c r="X48" s="228">
        <v>18.399999999999999</v>
      </c>
      <c r="Y48" s="228">
        <v>12.8</v>
      </c>
      <c r="Z48" s="228">
        <v>5.6</v>
      </c>
      <c r="AA48" s="229">
        <v>5.4000000000000003E-3</v>
      </c>
      <c r="AB48" s="228">
        <v>18.399999999999999</v>
      </c>
      <c r="AC48" s="228">
        <v>12.8</v>
      </c>
      <c r="AD48" s="228">
        <v>5.6</v>
      </c>
      <c r="AE48" s="229">
        <v>5.4000000000000003E-3</v>
      </c>
      <c r="AF48" s="228">
        <v>37.9</v>
      </c>
      <c r="AG48" s="228">
        <v>30.9</v>
      </c>
      <c r="AH48" s="228">
        <v>7</v>
      </c>
      <c r="AI48" s="229">
        <v>1.11E-2</v>
      </c>
      <c r="AJ48" s="228">
        <v>63.3</v>
      </c>
      <c r="AK48" s="228">
        <v>47</v>
      </c>
      <c r="AL48" s="228">
        <v>16.3</v>
      </c>
      <c r="AM48" s="229">
        <v>1.8499999999999999E-2</v>
      </c>
      <c r="AN48" s="231">
        <v>3441.23</v>
      </c>
      <c r="AO48" s="231">
        <v>3463.36</v>
      </c>
      <c r="AP48" s="228">
        <v>0</v>
      </c>
      <c r="AQ48" s="230">
        <v>7617</v>
      </c>
      <c r="AR48" s="230">
        <v>12012</v>
      </c>
      <c r="AS48" s="230">
        <v>-4395</v>
      </c>
      <c r="AT48" s="229">
        <v>-0.3659</v>
      </c>
      <c r="AU48" s="230">
        <v>7246</v>
      </c>
      <c r="AV48" s="230">
        <v>11558</v>
      </c>
      <c r="AW48" s="230">
        <v>-4312</v>
      </c>
      <c r="AX48" s="229">
        <v>-0.37309999999999999</v>
      </c>
      <c r="AY48" s="228">
        <v>332</v>
      </c>
      <c r="AZ48" s="228">
        <v>397</v>
      </c>
      <c r="BA48" s="228">
        <v>-65</v>
      </c>
      <c r="BB48" s="229">
        <v>-0.16370000000000001</v>
      </c>
      <c r="BC48" s="228">
        <v>39</v>
      </c>
      <c r="BD48" s="228">
        <v>57</v>
      </c>
      <c r="BE48" s="228">
        <v>-18</v>
      </c>
      <c r="BF48" s="229">
        <v>-0.31580000000000003</v>
      </c>
      <c r="BG48" s="230">
        <v>27017</v>
      </c>
      <c r="BH48" s="230">
        <v>29056</v>
      </c>
      <c r="BI48" s="230">
        <v>-2039</v>
      </c>
      <c r="BJ48" s="229">
        <v>-7.0199999999999999E-2</v>
      </c>
      <c r="BK48" s="230">
        <v>15848</v>
      </c>
      <c r="BL48" s="230">
        <v>14867</v>
      </c>
      <c r="BM48" s="228">
        <v>981</v>
      </c>
      <c r="BN48" s="229">
        <v>6.6000000000000003E-2</v>
      </c>
      <c r="BO48" s="230">
        <v>50482</v>
      </c>
      <c r="BP48" s="230">
        <v>55935</v>
      </c>
      <c r="BQ48" s="230">
        <v>-5453</v>
      </c>
      <c r="BR48" s="229">
        <v>-9.7500000000000003E-2</v>
      </c>
      <c r="BS48" s="230">
        <v>1241847</v>
      </c>
      <c r="BT48" s="230">
        <v>1671164</v>
      </c>
      <c r="BU48" s="230">
        <v>-429317</v>
      </c>
      <c r="BV48" s="229">
        <v>-0.25690000000000002</v>
      </c>
      <c r="BW48" s="230">
        <v>11900175</v>
      </c>
      <c r="BX48" s="230">
        <v>11900700</v>
      </c>
      <c r="BY48" s="228">
        <v>-525</v>
      </c>
      <c r="BZ48" s="229">
        <v>0</v>
      </c>
      <c r="CA48" s="230">
        <v>11717475</v>
      </c>
      <c r="CB48" s="230">
        <v>11733925</v>
      </c>
      <c r="CC48" s="230">
        <v>-16450</v>
      </c>
      <c r="CD48" s="229">
        <v>-1.4E-3</v>
      </c>
      <c r="CE48" s="230">
        <v>175875</v>
      </c>
      <c r="CF48" s="230">
        <v>161700</v>
      </c>
      <c r="CG48" s="230">
        <v>14175</v>
      </c>
      <c r="CH48" s="229">
        <v>8.77E-2</v>
      </c>
      <c r="CI48" s="230">
        <v>6825</v>
      </c>
      <c r="CJ48" s="230">
        <v>5075</v>
      </c>
      <c r="CK48" s="230">
        <v>1750</v>
      </c>
      <c r="CL48" s="229">
        <v>0.3448</v>
      </c>
      <c r="CM48" s="230">
        <v>3669575</v>
      </c>
      <c r="CN48" s="230">
        <v>3014550</v>
      </c>
      <c r="CO48" s="230">
        <v>655025</v>
      </c>
      <c r="CP48" s="229">
        <v>0.21729999999999999</v>
      </c>
      <c r="CQ48" s="230">
        <v>2383850</v>
      </c>
      <c r="CR48" s="230">
        <v>2055725</v>
      </c>
      <c r="CS48" s="230">
        <v>328125</v>
      </c>
      <c r="CT48" s="229">
        <v>0.15959999999999999</v>
      </c>
      <c r="CU48" s="230">
        <v>17953600</v>
      </c>
      <c r="CV48" s="230">
        <v>16970975</v>
      </c>
      <c r="CW48" s="230">
        <v>982625</v>
      </c>
      <c r="CX48" s="229">
        <v>5.79E-2</v>
      </c>
      <c r="CY48" s="228">
        <v>22.16</v>
      </c>
      <c r="CZ48" s="228">
        <v>21.73</v>
      </c>
      <c r="DA48" s="228">
        <v>0.43</v>
      </c>
      <c r="DB48" s="228">
        <v>0.43</v>
      </c>
      <c r="DC48" s="228">
        <v>25.79</v>
      </c>
      <c r="DD48" s="228">
        <v>25.84</v>
      </c>
      <c r="DE48" s="228">
        <v>-3.63</v>
      </c>
      <c r="DF48" s="228">
        <v>-0.05</v>
      </c>
      <c r="DG48" s="228">
        <v>21.96</v>
      </c>
      <c r="DH48" s="228">
        <v>21.54</v>
      </c>
      <c r="DI48" s="228">
        <v>0.42</v>
      </c>
      <c r="DJ48" s="228">
        <v>0.42</v>
      </c>
      <c r="DK48" s="228">
        <v>22.49</v>
      </c>
      <c r="DL48" s="228">
        <v>22.1</v>
      </c>
      <c r="DM48" s="228">
        <v>0.39</v>
      </c>
      <c r="DN48" s="228">
        <v>0.39</v>
      </c>
      <c r="DO48" s="228">
        <v>0.65</v>
      </c>
      <c r="DP48" s="228">
        <v>0.68</v>
      </c>
      <c r="DQ48" s="228">
        <v>-0.03</v>
      </c>
      <c r="DR48" s="229">
        <v>-4.41E-2</v>
      </c>
      <c r="DS48" s="231">
        <v>3500</v>
      </c>
      <c r="DT48" s="231">
        <v>3400</v>
      </c>
      <c r="DU48" s="228">
        <v>0.59</v>
      </c>
      <c r="DV48" s="228">
        <v>0.51</v>
      </c>
      <c r="DW48" s="228">
        <v>0.08</v>
      </c>
      <c r="DX48" s="229">
        <v>0.15690000000000001</v>
      </c>
      <c r="DY48" s="229">
        <v>1.54E-2</v>
      </c>
      <c r="DZ48" s="230">
        <v>166775</v>
      </c>
      <c r="EA48" s="229">
        <v>5.7000000000000002E-3</v>
      </c>
      <c r="EB48" s="229">
        <v>1.54E-2</v>
      </c>
      <c r="EC48" s="228">
        <v>22.13</v>
      </c>
      <c r="ED48" s="229">
        <v>6.4000000000000003E-3</v>
      </c>
      <c r="EE48" s="230">
        <v>820410</v>
      </c>
      <c r="EF48" s="230">
        <v>1102162</v>
      </c>
      <c r="EG48" s="229">
        <v>-0.25559999999999999</v>
      </c>
      <c r="EH48" s="229">
        <v>0.66059999999999997</v>
      </c>
      <c r="EI48" s="231">
        <v>168850.28</v>
      </c>
      <c r="EJ48" s="231">
        <v>94143.8</v>
      </c>
      <c r="EK48" s="231">
        <v>45886.43</v>
      </c>
      <c r="EL48" s="231">
        <v>23721</v>
      </c>
      <c r="EM48" s="231">
        <v>308880.51</v>
      </c>
      <c r="EN48" s="231">
        <v>342662.35</v>
      </c>
      <c r="EO48" s="231">
        <v>-33781.839999999997</v>
      </c>
      <c r="EP48" s="229">
        <v>-9.8599999999999993E-2</v>
      </c>
      <c r="EQ48" s="231">
        <v>130753</v>
      </c>
      <c r="ER48" s="231">
        <v>79963</v>
      </c>
      <c r="ES48" s="231">
        <v>409856</v>
      </c>
      <c r="ET48" s="231">
        <v>41744334</v>
      </c>
      <c r="EU48" s="231">
        <v>620572</v>
      </c>
      <c r="EV48" s="231">
        <v>589180</v>
      </c>
      <c r="EW48" s="231">
        <v>31392</v>
      </c>
      <c r="EX48" s="229">
        <v>5.33E-2</v>
      </c>
      <c r="EY48" s="229">
        <v>0.43009999999999998</v>
      </c>
    </row>
    <row r="49" spans="1:155" ht="17.25" thickBot="1" x14ac:dyDescent="0.3">
      <c r="A49" s="226">
        <v>45936</v>
      </c>
      <c r="B49" s="227" t="s">
        <v>197</v>
      </c>
      <c r="C49" s="227" t="s">
        <v>482</v>
      </c>
      <c r="D49" s="231">
        <v>4817.2</v>
      </c>
      <c r="E49" s="231">
        <v>4846.6000000000004</v>
      </c>
      <c r="F49" s="228">
        <v>-29.4</v>
      </c>
      <c r="G49" s="229">
        <v>-6.1000000000000004E-3</v>
      </c>
      <c r="H49" s="231">
        <v>4777.3</v>
      </c>
      <c r="I49" s="231">
        <v>4815.7</v>
      </c>
      <c r="J49" s="228">
        <v>-38.4</v>
      </c>
      <c r="K49" s="229">
        <v>-8.0000000000000002E-3</v>
      </c>
      <c r="L49" s="231">
        <v>4817.2</v>
      </c>
      <c r="M49" s="231">
        <v>4846.6000000000004</v>
      </c>
      <c r="N49" s="228">
        <v>-29.4</v>
      </c>
      <c r="O49" s="229">
        <v>-6.1000000000000004E-3</v>
      </c>
      <c r="P49" s="231">
        <v>4830.7</v>
      </c>
      <c r="Q49" s="231">
        <v>4873</v>
      </c>
      <c r="R49" s="228">
        <v>-42.3</v>
      </c>
      <c r="S49" s="229">
        <v>-8.6999999999999994E-3</v>
      </c>
      <c r="T49" s="231">
        <v>4856.3999999999996</v>
      </c>
      <c r="U49" s="231">
        <v>4902.3999999999996</v>
      </c>
      <c r="V49" s="228">
        <v>-46</v>
      </c>
      <c r="W49" s="229">
        <v>-9.4000000000000004E-3</v>
      </c>
      <c r="X49" s="228">
        <v>39.9</v>
      </c>
      <c r="Y49" s="228">
        <v>30.9</v>
      </c>
      <c r="Z49" s="228">
        <v>9</v>
      </c>
      <c r="AA49" s="229">
        <v>8.3999999999999995E-3</v>
      </c>
      <c r="AB49" s="228">
        <v>39.9</v>
      </c>
      <c r="AC49" s="228">
        <v>30.9</v>
      </c>
      <c r="AD49" s="228">
        <v>9</v>
      </c>
      <c r="AE49" s="229">
        <v>8.3999999999999995E-3</v>
      </c>
      <c r="AF49" s="228">
        <v>53.4</v>
      </c>
      <c r="AG49" s="228">
        <v>57.3</v>
      </c>
      <c r="AH49" s="228">
        <v>-3.9</v>
      </c>
      <c r="AI49" s="229">
        <v>1.12E-2</v>
      </c>
      <c r="AJ49" s="228">
        <v>79.099999999999994</v>
      </c>
      <c r="AK49" s="228">
        <v>86.7</v>
      </c>
      <c r="AL49" s="228">
        <v>-7.6</v>
      </c>
      <c r="AM49" s="229">
        <v>1.66E-2</v>
      </c>
      <c r="AN49" s="231">
        <v>4822.8599999999997</v>
      </c>
      <c r="AO49" s="231">
        <v>4846.25</v>
      </c>
      <c r="AP49" s="228">
        <v>0</v>
      </c>
      <c r="AQ49" s="230">
        <v>23681</v>
      </c>
      <c r="AR49" s="230">
        <v>13453</v>
      </c>
      <c r="AS49" s="230">
        <v>10228</v>
      </c>
      <c r="AT49" s="229">
        <v>0.76029999999999998</v>
      </c>
      <c r="AU49" s="230">
        <v>22366</v>
      </c>
      <c r="AV49" s="230">
        <v>12570</v>
      </c>
      <c r="AW49" s="230">
        <v>9796</v>
      </c>
      <c r="AX49" s="229">
        <v>0.77929999999999999</v>
      </c>
      <c r="AY49" s="230">
        <v>1140</v>
      </c>
      <c r="AZ49" s="228">
        <v>751</v>
      </c>
      <c r="BA49" s="228">
        <v>389</v>
      </c>
      <c r="BB49" s="229">
        <v>0.51800000000000002</v>
      </c>
      <c r="BC49" s="228">
        <v>175</v>
      </c>
      <c r="BD49" s="228">
        <v>132</v>
      </c>
      <c r="BE49" s="228">
        <v>43</v>
      </c>
      <c r="BF49" s="229">
        <v>0.32579999999999998</v>
      </c>
      <c r="BG49" s="230">
        <v>99123</v>
      </c>
      <c r="BH49" s="230">
        <v>46669</v>
      </c>
      <c r="BI49" s="230">
        <v>52454</v>
      </c>
      <c r="BJ49" s="229">
        <v>1.1240000000000001</v>
      </c>
      <c r="BK49" s="230">
        <v>39495</v>
      </c>
      <c r="BL49" s="230">
        <v>22352</v>
      </c>
      <c r="BM49" s="230">
        <v>17143</v>
      </c>
      <c r="BN49" s="229">
        <v>0.76700000000000002</v>
      </c>
      <c r="BO49" s="230">
        <v>162299</v>
      </c>
      <c r="BP49" s="230">
        <v>82474</v>
      </c>
      <c r="BQ49" s="230">
        <v>79825</v>
      </c>
      <c r="BR49" s="229">
        <v>0.96789999999999998</v>
      </c>
      <c r="BS49" s="230">
        <v>1103991</v>
      </c>
      <c r="BT49" s="230">
        <v>1142508</v>
      </c>
      <c r="BU49" s="230">
        <v>-38517</v>
      </c>
      <c r="BV49" s="229">
        <v>-3.3700000000000001E-2</v>
      </c>
      <c r="BW49" s="230">
        <v>8518300</v>
      </c>
      <c r="BX49" s="230">
        <v>8102800</v>
      </c>
      <c r="BY49" s="230">
        <v>415500</v>
      </c>
      <c r="BZ49" s="229">
        <v>5.1299999999999998E-2</v>
      </c>
      <c r="CA49" s="230">
        <v>8153500</v>
      </c>
      <c r="CB49" s="230">
        <v>7769100</v>
      </c>
      <c r="CC49" s="230">
        <v>384400</v>
      </c>
      <c r="CD49" s="229">
        <v>4.9500000000000002E-2</v>
      </c>
      <c r="CE49" s="230">
        <v>344800</v>
      </c>
      <c r="CF49" s="230">
        <v>323900</v>
      </c>
      <c r="CG49" s="230">
        <v>20900</v>
      </c>
      <c r="CH49" s="229">
        <v>6.4500000000000002E-2</v>
      </c>
      <c r="CI49" s="230">
        <v>20000</v>
      </c>
      <c r="CJ49" s="230">
        <v>9800</v>
      </c>
      <c r="CK49" s="230">
        <v>10200</v>
      </c>
      <c r="CL49" s="229">
        <v>1.0407999999999999</v>
      </c>
      <c r="CM49" s="230">
        <v>4817400</v>
      </c>
      <c r="CN49" s="230">
        <v>3416100</v>
      </c>
      <c r="CO49" s="230">
        <v>1401300</v>
      </c>
      <c r="CP49" s="229">
        <v>0.41020000000000001</v>
      </c>
      <c r="CQ49" s="230">
        <v>2472100</v>
      </c>
      <c r="CR49" s="230">
        <v>2233500</v>
      </c>
      <c r="CS49" s="230">
        <v>238600</v>
      </c>
      <c r="CT49" s="229">
        <v>0.10680000000000001</v>
      </c>
      <c r="CU49" s="230">
        <v>15807800</v>
      </c>
      <c r="CV49" s="230">
        <v>13752400</v>
      </c>
      <c r="CW49" s="230">
        <v>2055400</v>
      </c>
      <c r="CX49" s="229">
        <v>0.14949999999999999</v>
      </c>
      <c r="CY49" s="228">
        <v>35.68</v>
      </c>
      <c r="CZ49" s="228">
        <v>32.18</v>
      </c>
      <c r="DA49" s="228">
        <v>3.5</v>
      </c>
      <c r="DB49" s="228">
        <v>3.5</v>
      </c>
      <c r="DC49" s="228">
        <v>45.63</v>
      </c>
      <c r="DD49" s="228">
        <v>45.73</v>
      </c>
      <c r="DE49" s="228">
        <v>-9.9499999999999993</v>
      </c>
      <c r="DF49" s="228">
        <v>-0.1</v>
      </c>
      <c r="DG49" s="228">
        <v>35.409999999999997</v>
      </c>
      <c r="DH49" s="228">
        <v>32.19</v>
      </c>
      <c r="DI49" s="228">
        <v>3.22</v>
      </c>
      <c r="DJ49" s="228">
        <v>3.22</v>
      </c>
      <c r="DK49" s="228">
        <v>36.369999999999997</v>
      </c>
      <c r="DL49" s="228">
        <v>32.17</v>
      </c>
      <c r="DM49" s="228">
        <v>4.2</v>
      </c>
      <c r="DN49" s="228">
        <v>4.2</v>
      </c>
      <c r="DO49" s="228">
        <v>0.51</v>
      </c>
      <c r="DP49" s="228">
        <v>0.65</v>
      </c>
      <c r="DQ49" s="228">
        <v>-0.14000000000000001</v>
      </c>
      <c r="DR49" s="229">
        <v>-0.21540000000000001</v>
      </c>
      <c r="DS49" s="231">
        <v>5500</v>
      </c>
      <c r="DT49" s="231">
        <v>4800</v>
      </c>
      <c r="DU49" s="228">
        <v>0.4</v>
      </c>
      <c r="DV49" s="228">
        <v>0.48</v>
      </c>
      <c r="DW49" s="228">
        <v>-0.08</v>
      </c>
      <c r="DX49" s="229">
        <v>-0.16669999999999999</v>
      </c>
      <c r="DY49" s="229">
        <v>4.2799999999999998E-2</v>
      </c>
      <c r="DZ49" s="230">
        <v>333700</v>
      </c>
      <c r="EA49" s="229">
        <v>2.8E-3</v>
      </c>
      <c r="EB49" s="229">
        <v>4.2799999999999998E-2</v>
      </c>
      <c r="EC49" s="228">
        <v>23.39</v>
      </c>
      <c r="ED49" s="229">
        <v>4.7999999999999996E-3</v>
      </c>
      <c r="EE49" s="230">
        <v>539855</v>
      </c>
      <c r="EF49" s="230">
        <v>592133</v>
      </c>
      <c r="EG49" s="229">
        <v>-8.8300000000000003E-2</v>
      </c>
      <c r="EH49" s="229">
        <v>0.48899999999999999</v>
      </c>
      <c r="EI49" s="231">
        <v>514457.61</v>
      </c>
      <c r="EJ49" s="231">
        <v>186241.78</v>
      </c>
      <c r="EK49" s="231">
        <v>114245.08</v>
      </c>
      <c r="EL49" s="231">
        <v>26954</v>
      </c>
      <c r="EM49" s="231">
        <v>814944.47</v>
      </c>
      <c r="EN49" s="231">
        <v>411908.93</v>
      </c>
      <c r="EO49" s="231">
        <v>403035.54</v>
      </c>
      <c r="EP49" s="229">
        <v>0.97850000000000004</v>
      </c>
      <c r="EQ49" s="231">
        <v>250115</v>
      </c>
      <c r="ER49" s="231">
        <v>117581</v>
      </c>
      <c r="ES49" s="231">
        <v>410398</v>
      </c>
      <c r="ET49" s="231">
        <v>33590487</v>
      </c>
      <c r="EU49" s="231">
        <v>778095</v>
      </c>
      <c r="EV49" s="231">
        <v>676543</v>
      </c>
      <c r="EW49" s="231">
        <v>101552</v>
      </c>
      <c r="EX49" s="229">
        <v>0.15010000000000001</v>
      </c>
      <c r="EY49" s="229">
        <v>0.47060000000000002</v>
      </c>
    </row>
    <row r="50" spans="1:155" ht="17.25" thickBot="1" x14ac:dyDescent="0.3">
      <c r="A50" s="226">
        <v>45936</v>
      </c>
      <c r="B50" s="227" t="s">
        <v>157</v>
      </c>
      <c r="C50" s="227" t="s">
        <v>302</v>
      </c>
      <c r="D50" s="231">
        <v>12097</v>
      </c>
      <c r="E50" s="231">
        <v>12096</v>
      </c>
      <c r="F50" s="228">
        <v>1</v>
      </c>
      <c r="G50" s="229">
        <v>1E-4</v>
      </c>
      <c r="H50" s="231">
        <v>12055</v>
      </c>
      <c r="I50" s="231">
        <v>12019</v>
      </c>
      <c r="J50" s="228">
        <v>36</v>
      </c>
      <c r="K50" s="229">
        <v>3.0000000000000001E-3</v>
      </c>
      <c r="L50" s="231">
        <v>12097</v>
      </c>
      <c r="M50" s="231">
        <v>12096</v>
      </c>
      <c r="N50" s="228">
        <v>1</v>
      </c>
      <c r="O50" s="229">
        <v>1E-4</v>
      </c>
      <c r="P50" s="231">
        <v>12173</v>
      </c>
      <c r="Q50" s="231">
        <v>12155</v>
      </c>
      <c r="R50" s="228">
        <v>18</v>
      </c>
      <c r="S50" s="229">
        <v>1.5E-3</v>
      </c>
      <c r="T50" s="231">
        <v>12250</v>
      </c>
      <c r="U50" s="231">
        <v>12228</v>
      </c>
      <c r="V50" s="228">
        <v>22</v>
      </c>
      <c r="W50" s="229">
        <v>1.8E-3</v>
      </c>
      <c r="X50" s="228">
        <v>42</v>
      </c>
      <c r="Y50" s="228">
        <v>77</v>
      </c>
      <c r="Z50" s="228">
        <v>-35</v>
      </c>
      <c r="AA50" s="229">
        <v>3.5000000000000001E-3</v>
      </c>
      <c r="AB50" s="228">
        <v>42</v>
      </c>
      <c r="AC50" s="228">
        <v>77</v>
      </c>
      <c r="AD50" s="228">
        <v>-35</v>
      </c>
      <c r="AE50" s="229">
        <v>3.5000000000000001E-3</v>
      </c>
      <c r="AF50" s="228">
        <v>118</v>
      </c>
      <c r="AG50" s="228">
        <v>136</v>
      </c>
      <c r="AH50" s="228">
        <v>-18</v>
      </c>
      <c r="AI50" s="229">
        <v>9.7999999999999997E-3</v>
      </c>
      <c r="AJ50" s="228">
        <v>195</v>
      </c>
      <c r="AK50" s="228">
        <v>209</v>
      </c>
      <c r="AL50" s="228">
        <v>-14</v>
      </c>
      <c r="AM50" s="229">
        <v>1.6199999999999999E-2</v>
      </c>
      <c r="AN50" s="231">
        <v>12105.84</v>
      </c>
      <c r="AO50" s="231">
        <v>12167.33</v>
      </c>
      <c r="AP50" s="228">
        <v>0</v>
      </c>
      <c r="AQ50" s="230">
        <v>3345</v>
      </c>
      <c r="AR50" s="230">
        <v>5393</v>
      </c>
      <c r="AS50" s="230">
        <v>-2048</v>
      </c>
      <c r="AT50" s="229">
        <v>-0.37980000000000003</v>
      </c>
      <c r="AU50" s="230">
        <v>3282</v>
      </c>
      <c r="AV50" s="230">
        <v>5226</v>
      </c>
      <c r="AW50" s="230">
        <v>-1944</v>
      </c>
      <c r="AX50" s="229">
        <v>-0.372</v>
      </c>
      <c r="AY50" s="228">
        <v>60</v>
      </c>
      <c r="AZ50" s="228">
        <v>151</v>
      </c>
      <c r="BA50" s="228">
        <v>-91</v>
      </c>
      <c r="BB50" s="229">
        <v>-0.60260000000000002</v>
      </c>
      <c r="BC50" s="228">
        <v>3</v>
      </c>
      <c r="BD50" s="228">
        <v>16</v>
      </c>
      <c r="BE50" s="228">
        <v>-13</v>
      </c>
      <c r="BF50" s="229">
        <v>-0.8125</v>
      </c>
      <c r="BG50" s="230">
        <v>13486</v>
      </c>
      <c r="BH50" s="230">
        <v>16086</v>
      </c>
      <c r="BI50" s="230">
        <v>-2600</v>
      </c>
      <c r="BJ50" s="229">
        <v>-0.16159999999999999</v>
      </c>
      <c r="BK50" s="230">
        <v>5821</v>
      </c>
      <c r="BL50" s="230">
        <v>9752</v>
      </c>
      <c r="BM50" s="230">
        <v>-3931</v>
      </c>
      <c r="BN50" s="229">
        <v>-0.40310000000000001</v>
      </c>
      <c r="BO50" s="230">
        <v>22652</v>
      </c>
      <c r="BP50" s="230">
        <v>31231</v>
      </c>
      <c r="BQ50" s="230">
        <v>-8579</v>
      </c>
      <c r="BR50" s="229">
        <v>-0.2747</v>
      </c>
      <c r="BS50" s="230">
        <v>109091</v>
      </c>
      <c r="BT50" s="230">
        <v>263963</v>
      </c>
      <c r="BU50" s="230">
        <v>-154872</v>
      </c>
      <c r="BV50" s="229">
        <v>-0.5867</v>
      </c>
      <c r="BW50" s="230">
        <v>2444300</v>
      </c>
      <c r="BX50" s="230">
        <v>2465450</v>
      </c>
      <c r="BY50" s="230">
        <v>-21150</v>
      </c>
      <c r="BZ50" s="229">
        <v>-8.6E-3</v>
      </c>
      <c r="CA50" s="230">
        <v>2425950</v>
      </c>
      <c r="CB50" s="230">
        <v>2447100</v>
      </c>
      <c r="CC50" s="230">
        <v>-21150</v>
      </c>
      <c r="CD50" s="229">
        <v>-8.6E-3</v>
      </c>
      <c r="CE50" s="230">
        <v>17450</v>
      </c>
      <c r="CF50" s="230">
        <v>17550</v>
      </c>
      <c r="CG50" s="228">
        <v>-100</v>
      </c>
      <c r="CH50" s="229">
        <v>-5.7000000000000002E-3</v>
      </c>
      <c r="CI50" s="228">
        <v>900</v>
      </c>
      <c r="CJ50" s="228">
        <v>800</v>
      </c>
      <c r="CK50" s="228">
        <v>100</v>
      </c>
      <c r="CL50" s="229">
        <v>0.125</v>
      </c>
      <c r="CM50" s="230">
        <v>608900</v>
      </c>
      <c r="CN50" s="230">
        <v>554750</v>
      </c>
      <c r="CO50" s="230">
        <v>54150</v>
      </c>
      <c r="CP50" s="229">
        <v>9.7600000000000006E-2</v>
      </c>
      <c r="CQ50" s="230">
        <v>358600</v>
      </c>
      <c r="CR50" s="230">
        <v>347900</v>
      </c>
      <c r="CS50" s="230">
        <v>10700</v>
      </c>
      <c r="CT50" s="229">
        <v>3.0800000000000001E-2</v>
      </c>
      <c r="CU50" s="230">
        <v>3411800</v>
      </c>
      <c r="CV50" s="230">
        <v>3368100</v>
      </c>
      <c r="CW50" s="230">
        <v>43700</v>
      </c>
      <c r="CX50" s="229">
        <v>1.2999999999999999E-2</v>
      </c>
      <c r="CY50" s="228">
        <v>21.13</v>
      </c>
      <c r="CZ50" s="228">
        <v>20.8</v>
      </c>
      <c r="DA50" s="228">
        <v>0.33</v>
      </c>
      <c r="DB50" s="228">
        <v>0.33</v>
      </c>
      <c r="DC50" s="228">
        <v>25.49</v>
      </c>
      <c r="DD50" s="228">
        <v>25.56</v>
      </c>
      <c r="DE50" s="228">
        <v>-4.3600000000000003</v>
      </c>
      <c r="DF50" s="228">
        <v>-7.0000000000000007E-2</v>
      </c>
      <c r="DG50" s="228">
        <v>21.31</v>
      </c>
      <c r="DH50" s="228">
        <v>20.71</v>
      </c>
      <c r="DI50" s="228">
        <v>0.6</v>
      </c>
      <c r="DJ50" s="228">
        <v>0.6</v>
      </c>
      <c r="DK50" s="228">
        <v>20.7</v>
      </c>
      <c r="DL50" s="228">
        <v>20.95</v>
      </c>
      <c r="DM50" s="228">
        <v>-0.25</v>
      </c>
      <c r="DN50" s="228">
        <v>-0.25</v>
      </c>
      <c r="DO50" s="228">
        <v>0.59</v>
      </c>
      <c r="DP50" s="228">
        <v>0.63</v>
      </c>
      <c r="DQ50" s="228">
        <v>-0.04</v>
      </c>
      <c r="DR50" s="229">
        <v>-6.3500000000000001E-2</v>
      </c>
      <c r="DS50" s="231">
        <v>13000</v>
      </c>
      <c r="DT50" s="231">
        <v>12000</v>
      </c>
      <c r="DU50" s="228">
        <v>0.43</v>
      </c>
      <c r="DV50" s="228">
        <v>0.61</v>
      </c>
      <c r="DW50" s="228">
        <v>-0.18</v>
      </c>
      <c r="DX50" s="229">
        <v>-0.29509999999999997</v>
      </c>
      <c r="DY50" s="229">
        <v>7.4999999999999997E-3</v>
      </c>
      <c r="DZ50" s="230">
        <v>18350</v>
      </c>
      <c r="EA50" s="229">
        <v>6.3E-3</v>
      </c>
      <c r="EB50" s="229">
        <v>7.4999999999999997E-3</v>
      </c>
      <c r="EC50" s="228">
        <v>61.49</v>
      </c>
      <c r="ED50" s="229">
        <v>5.1000000000000004E-3</v>
      </c>
      <c r="EE50" s="230">
        <v>64144</v>
      </c>
      <c r="EF50" s="230">
        <v>187463</v>
      </c>
      <c r="EG50" s="229">
        <v>-0.65780000000000005</v>
      </c>
      <c r="EH50" s="229">
        <v>0.58799999999999997</v>
      </c>
      <c r="EI50" s="231">
        <v>84876.160000000003</v>
      </c>
      <c r="EJ50" s="231">
        <v>35156.5</v>
      </c>
      <c r="EK50" s="231">
        <v>20249.05</v>
      </c>
      <c r="EL50" s="231">
        <v>12621</v>
      </c>
      <c r="EM50" s="231">
        <v>140281.71</v>
      </c>
      <c r="EN50" s="231">
        <v>191653.77</v>
      </c>
      <c r="EO50" s="231">
        <v>-51372.06</v>
      </c>
      <c r="EP50" s="229">
        <v>-0.26800000000000002</v>
      </c>
      <c r="EQ50" s="231">
        <v>77540</v>
      </c>
      <c r="ER50" s="231">
        <v>42207</v>
      </c>
      <c r="ES50" s="231">
        <v>295702</v>
      </c>
      <c r="ET50" s="231">
        <v>11962066</v>
      </c>
      <c r="EU50" s="231">
        <v>415448</v>
      </c>
      <c r="EV50" s="231">
        <v>409877</v>
      </c>
      <c r="EW50" s="231">
        <v>5571</v>
      </c>
      <c r="EX50" s="229">
        <v>1.3599999999999999E-2</v>
      </c>
      <c r="EY50" s="229">
        <v>0.28520000000000001</v>
      </c>
    </row>
    <row r="51" spans="1:155" ht="17.25" thickBot="1" x14ac:dyDescent="0.3">
      <c r="A51" s="226">
        <v>45936</v>
      </c>
      <c r="B51" s="227" t="s">
        <v>221</v>
      </c>
      <c r="C51" s="227" t="s">
        <v>306</v>
      </c>
      <c r="D51" s="228">
        <v>241.76</v>
      </c>
      <c r="E51" s="228">
        <v>239.03</v>
      </c>
      <c r="F51" s="228">
        <v>2.73</v>
      </c>
      <c r="G51" s="229">
        <v>1.14E-2</v>
      </c>
      <c r="H51" s="228">
        <v>242.13</v>
      </c>
      <c r="I51" s="228">
        <v>240.98</v>
      </c>
      <c r="J51" s="228">
        <v>1.1499999999999999</v>
      </c>
      <c r="K51" s="229">
        <v>4.7999999999999996E-3</v>
      </c>
      <c r="L51" s="228">
        <v>241.76</v>
      </c>
      <c r="M51" s="228">
        <v>239.03</v>
      </c>
      <c r="N51" s="228">
        <v>2.73</v>
      </c>
      <c r="O51" s="229">
        <v>1.14E-2</v>
      </c>
      <c r="P51" s="228">
        <v>241.06</v>
      </c>
      <c r="Q51" s="228">
        <v>238.24</v>
      </c>
      <c r="R51" s="228">
        <v>2.82</v>
      </c>
      <c r="S51" s="229">
        <v>1.18E-2</v>
      </c>
      <c r="T51" s="228">
        <v>240.39</v>
      </c>
      <c r="U51" s="228">
        <v>237.49</v>
      </c>
      <c r="V51" s="228">
        <v>2.9</v>
      </c>
      <c r="W51" s="229">
        <v>1.2200000000000001E-2</v>
      </c>
      <c r="X51" s="228">
        <v>-0.37</v>
      </c>
      <c r="Y51" s="228">
        <v>-1.95</v>
      </c>
      <c r="Z51" s="228">
        <v>1.58</v>
      </c>
      <c r="AA51" s="229">
        <v>-1.5E-3</v>
      </c>
      <c r="AB51" s="228">
        <v>-0.37</v>
      </c>
      <c r="AC51" s="228">
        <v>-1.95</v>
      </c>
      <c r="AD51" s="228">
        <v>1.58</v>
      </c>
      <c r="AE51" s="229">
        <v>-1.5E-3</v>
      </c>
      <c r="AF51" s="228">
        <v>-1.07</v>
      </c>
      <c r="AG51" s="228">
        <v>-2.74</v>
      </c>
      <c r="AH51" s="228">
        <v>1.67</v>
      </c>
      <c r="AI51" s="229">
        <v>-4.4000000000000003E-3</v>
      </c>
      <c r="AJ51" s="228">
        <v>-1.74</v>
      </c>
      <c r="AK51" s="228">
        <v>-3.49</v>
      </c>
      <c r="AL51" s="228">
        <v>1.75</v>
      </c>
      <c r="AM51" s="229">
        <v>-7.1999999999999998E-3</v>
      </c>
      <c r="AN51" s="228">
        <v>240.35</v>
      </c>
      <c r="AO51" s="228">
        <v>239.48</v>
      </c>
      <c r="AP51" s="228">
        <v>0</v>
      </c>
      <c r="AQ51" s="230">
        <v>6045</v>
      </c>
      <c r="AR51" s="230">
        <v>9065</v>
      </c>
      <c r="AS51" s="230">
        <v>-3020</v>
      </c>
      <c r="AT51" s="229">
        <v>-0.33310000000000001</v>
      </c>
      <c r="AU51" s="230">
        <v>5321</v>
      </c>
      <c r="AV51" s="230">
        <v>8155</v>
      </c>
      <c r="AW51" s="230">
        <v>-2834</v>
      </c>
      <c r="AX51" s="229">
        <v>-0.34749999999999998</v>
      </c>
      <c r="AY51" s="228">
        <v>651</v>
      </c>
      <c r="AZ51" s="228">
        <v>865</v>
      </c>
      <c r="BA51" s="228">
        <v>-214</v>
      </c>
      <c r="BB51" s="229">
        <v>-0.24740000000000001</v>
      </c>
      <c r="BC51" s="228">
        <v>73</v>
      </c>
      <c r="BD51" s="228">
        <v>45</v>
      </c>
      <c r="BE51" s="228">
        <v>28</v>
      </c>
      <c r="BF51" s="229">
        <v>0.62219999999999998</v>
      </c>
      <c r="BG51" s="230">
        <v>14334</v>
      </c>
      <c r="BH51" s="230">
        <v>15724</v>
      </c>
      <c r="BI51" s="230">
        <v>-1390</v>
      </c>
      <c r="BJ51" s="229">
        <v>-8.8400000000000006E-2</v>
      </c>
      <c r="BK51" s="230">
        <v>5926</v>
      </c>
      <c r="BL51" s="230">
        <v>8964</v>
      </c>
      <c r="BM51" s="230">
        <v>-3038</v>
      </c>
      <c r="BN51" s="229">
        <v>-0.33889999999999998</v>
      </c>
      <c r="BO51" s="230">
        <v>26305</v>
      </c>
      <c r="BP51" s="230">
        <v>33753</v>
      </c>
      <c r="BQ51" s="230">
        <v>-7448</v>
      </c>
      <c r="BR51" s="229">
        <v>-0.22070000000000001</v>
      </c>
      <c r="BS51" s="230">
        <v>6493881</v>
      </c>
      <c r="BT51" s="230">
        <v>11208968</v>
      </c>
      <c r="BU51" s="230">
        <v>-4715087</v>
      </c>
      <c r="BV51" s="229">
        <v>-0.42070000000000002</v>
      </c>
      <c r="BW51" s="230">
        <v>138207000</v>
      </c>
      <c r="BX51" s="230">
        <v>137100000</v>
      </c>
      <c r="BY51" s="230">
        <v>1107000</v>
      </c>
      <c r="BZ51" s="229">
        <v>8.0999999999999996E-3</v>
      </c>
      <c r="CA51" s="230">
        <v>132444000</v>
      </c>
      <c r="CB51" s="230">
        <v>131769000</v>
      </c>
      <c r="CC51" s="230">
        <v>675000</v>
      </c>
      <c r="CD51" s="229">
        <v>5.1000000000000004E-3</v>
      </c>
      <c r="CE51" s="230">
        <v>5541000</v>
      </c>
      <c r="CF51" s="230">
        <v>5193000</v>
      </c>
      <c r="CG51" s="230">
        <v>348000</v>
      </c>
      <c r="CH51" s="229">
        <v>6.7000000000000004E-2</v>
      </c>
      <c r="CI51" s="230">
        <v>222000</v>
      </c>
      <c r="CJ51" s="230">
        <v>138000</v>
      </c>
      <c r="CK51" s="230">
        <v>84000</v>
      </c>
      <c r="CL51" s="229">
        <v>0.60870000000000002</v>
      </c>
      <c r="CM51" s="230">
        <v>36450000</v>
      </c>
      <c r="CN51" s="230">
        <v>34107000</v>
      </c>
      <c r="CO51" s="230">
        <v>2343000</v>
      </c>
      <c r="CP51" s="229">
        <v>6.8699999999999997E-2</v>
      </c>
      <c r="CQ51" s="230">
        <v>30045000</v>
      </c>
      <c r="CR51" s="230">
        <v>28836000</v>
      </c>
      <c r="CS51" s="230">
        <v>1209000</v>
      </c>
      <c r="CT51" s="229">
        <v>4.19E-2</v>
      </c>
      <c r="CU51" s="230">
        <v>204702000</v>
      </c>
      <c r="CV51" s="230">
        <v>200043000</v>
      </c>
      <c r="CW51" s="230">
        <v>4659000</v>
      </c>
      <c r="CX51" s="229">
        <v>2.3300000000000001E-2</v>
      </c>
      <c r="CY51" s="228">
        <v>28.86</v>
      </c>
      <c r="CZ51" s="228">
        <v>28.16</v>
      </c>
      <c r="DA51" s="228">
        <v>0.7</v>
      </c>
      <c r="DB51" s="228">
        <v>0.7</v>
      </c>
      <c r="DC51" s="228">
        <v>30.86</v>
      </c>
      <c r="DD51" s="228">
        <v>30.94</v>
      </c>
      <c r="DE51" s="228">
        <v>-2</v>
      </c>
      <c r="DF51" s="228">
        <v>-0.08</v>
      </c>
      <c r="DG51" s="228">
        <v>28.68</v>
      </c>
      <c r="DH51" s="228">
        <v>28.1</v>
      </c>
      <c r="DI51" s="228">
        <v>0.57999999999999996</v>
      </c>
      <c r="DJ51" s="228">
        <v>0.57999999999999996</v>
      </c>
      <c r="DK51" s="228">
        <v>29.29</v>
      </c>
      <c r="DL51" s="228">
        <v>28.26</v>
      </c>
      <c r="DM51" s="228">
        <v>1.03</v>
      </c>
      <c r="DN51" s="228">
        <v>1.03</v>
      </c>
      <c r="DO51" s="228">
        <v>0.82</v>
      </c>
      <c r="DP51" s="228">
        <v>0.85</v>
      </c>
      <c r="DQ51" s="228">
        <v>-0.03</v>
      </c>
      <c r="DR51" s="229">
        <v>-3.5299999999999998E-2</v>
      </c>
      <c r="DS51" s="228">
        <v>250</v>
      </c>
      <c r="DT51" s="228">
        <v>240</v>
      </c>
      <c r="DU51" s="228">
        <v>0.41</v>
      </c>
      <c r="DV51" s="228">
        <v>0.56999999999999995</v>
      </c>
      <c r="DW51" s="228">
        <v>-0.16</v>
      </c>
      <c r="DX51" s="229">
        <v>-0.28070000000000001</v>
      </c>
      <c r="DY51" s="229">
        <v>4.1700000000000001E-2</v>
      </c>
      <c r="DZ51" s="230">
        <v>5331000</v>
      </c>
      <c r="EA51" s="229">
        <v>-2.8999999999999998E-3</v>
      </c>
      <c r="EB51" s="229">
        <v>4.1700000000000001E-2</v>
      </c>
      <c r="EC51" s="228">
        <v>-0.87</v>
      </c>
      <c r="ED51" s="229">
        <v>-3.5999999999999999E-3</v>
      </c>
      <c r="EE51" s="230">
        <v>2816855</v>
      </c>
      <c r="EF51" s="230">
        <v>6515459</v>
      </c>
      <c r="EG51" s="229">
        <v>-0.56769999999999998</v>
      </c>
      <c r="EH51" s="229">
        <v>0.43380000000000002</v>
      </c>
      <c r="EI51" s="231">
        <v>108781.21</v>
      </c>
      <c r="EJ51" s="231">
        <v>42730.23</v>
      </c>
      <c r="EK51" s="231">
        <v>43567.76</v>
      </c>
      <c r="EL51" s="231">
        <v>14605</v>
      </c>
      <c r="EM51" s="231">
        <v>195079.2</v>
      </c>
      <c r="EN51" s="231">
        <v>247390.15</v>
      </c>
      <c r="EO51" s="231">
        <v>-52310.95</v>
      </c>
      <c r="EP51" s="229">
        <v>-0.21149999999999999</v>
      </c>
      <c r="EQ51" s="231">
        <v>92897</v>
      </c>
      <c r="ER51" s="231">
        <v>70726</v>
      </c>
      <c r="ES51" s="231">
        <v>334087</v>
      </c>
      <c r="ET51" s="231">
        <v>292948819</v>
      </c>
      <c r="EU51" s="231">
        <v>497710</v>
      </c>
      <c r="EV51" s="231">
        <v>482414</v>
      </c>
      <c r="EW51" s="231">
        <v>15296</v>
      </c>
      <c r="EX51" s="229">
        <v>3.1699999999999999E-2</v>
      </c>
      <c r="EY51" s="229">
        <v>0.69879999999999998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L9" sqref="L9"/>
    </sheetView>
  </sheetViews>
  <sheetFormatPr defaultColWidth="13.7109375" defaultRowHeight="15" x14ac:dyDescent="0.25"/>
  <cols>
    <col min="1" max="1" width="23.85546875" customWidth="1"/>
    <col min="2" max="2" width="11.85546875" customWidth="1"/>
    <col min="3" max="3" width="12.7109375" customWidth="1"/>
    <col min="4" max="4" width="11.140625" customWidth="1"/>
    <col min="5" max="5" width="12.7109375" customWidth="1"/>
    <col min="6" max="6" width="11.140625" customWidth="1"/>
    <col min="7" max="7" width="9.2851562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617</v>
      </c>
      <c r="B2" s="226">
        <v>45936</v>
      </c>
      <c r="C2" s="230">
        <v>19649476</v>
      </c>
      <c r="D2" s="230">
        <v>3600560</v>
      </c>
      <c r="E2" s="230">
        <v>19627555</v>
      </c>
      <c r="F2" s="230">
        <v>3596017</v>
      </c>
      <c r="G2" s="230">
        <v>21921</v>
      </c>
      <c r="H2" s="230">
        <v>4543</v>
      </c>
      <c r="I2" s="230">
        <v>10312623</v>
      </c>
      <c r="J2" s="230">
        <v>1244852</v>
      </c>
      <c r="K2" s="230">
        <v>289505</v>
      </c>
      <c r="L2" s="230">
        <v>58555</v>
      </c>
      <c r="M2" s="230">
        <v>10602128</v>
      </c>
      <c r="N2" s="230">
        <v>1303407</v>
      </c>
      <c r="O2" s="61"/>
      <c r="P2" s="61"/>
      <c r="Q2" s="61"/>
      <c r="R2" s="61"/>
      <c r="S2" s="61"/>
      <c r="U2" t="s">
        <v>453</v>
      </c>
      <c r="V2">
        <f>SUM('Data Vlaue (Cr)'!CD:CD)</f>
        <v>533639</v>
      </c>
      <c r="W2" t="s">
        <v>454</v>
      </c>
    </row>
    <row r="3" spans="1:23" ht="17.25" thickBot="1" x14ac:dyDescent="0.3">
      <c r="A3" s="227" t="s">
        <v>618</v>
      </c>
      <c r="B3" s="226">
        <v>45936</v>
      </c>
      <c r="C3" s="230">
        <v>5956</v>
      </c>
      <c r="D3" s="230">
        <v>1172</v>
      </c>
      <c r="E3" s="230">
        <v>3656</v>
      </c>
      <c r="F3" s="228">
        <v>719</v>
      </c>
      <c r="G3" s="230">
        <v>2300</v>
      </c>
      <c r="H3" s="228">
        <v>453</v>
      </c>
      <c r="I3" s="230">
        <v>31227</v>
      </c>
      <c r="J3" s="230">
        <v>6107</v>
      </c>
      <c r="K3" s="228">
        <v>-554</v>
      </c>
      <c r="L3" s="228">
        <v>-61</v>
      </c>
      <c r="M3" s="230">
        <v>30673</v>
      </c>
      <c r="N3" s="230">
        <v>6046</v>
      </c>
      <c r="O3" s="61"/>
      <c r="P3" s="61"/>
      <c r="Q3" s="61"/>
      <c r="R3" s="61"/>
      <c r="S3" s="61"/>
      <c r="U3" t="s">
        <v>453</v>
      </c>
      <c r="V3">
        <f>SUM('Data shares'!CC:CC)</f>
        <v>14646263863</v>
      </c>
      <c r="W3" t="s">
        <v>455</v>
      </c>
    </row>
    <row r="4" spans="1:23" ht="17.25" thickBot="1" x14ac:dyDescent="0.3">
      <c r="A4" s="227" t="s">
        <v>619</v>
      </c>
      <c r="B4" s="226">
        <v>45936</v>
      </c>
      <c r="C4" s="230">
        <v>151579</v>
      </c>
      <c r="D4" s="230">
        <v>29755</v>
      </c>
      <c r="E4" s="230">
        <v>148539</v>
      </c>
      <c r="F4" s="230">
        <v>29153</v>
      </c>
      <c r="G4" s="230">
        <v>3040</v>
      </c>
      <c r="H4" s="228">
        <v>603</v>
      </c>
      <c r="I4" s="230">
        <v>190667</v>
      </c>
      <c r="J4" s="230">
        <v>37097</v>
      </c>
      <c r="K4" s="230">
        <v>6506</v>
      </c>
      <c r="L4" s="230">
        <v>1622</v>
      </c>
      <c r="M4" s="230">
        <v>197173</v>
      </c>
      <c r="N4" s="230">
        <v>38718</v>
      </c>
      <c r="O4" s="61"/>
      <c r="P4" s="61"/>
      <c r="Q4" s="61"/>
      <c r="R4" s="61"/>
      <c r="S4" s="61"/>
    </row>
    <row r="5" spans="1:23" ht="17.25" thickBot="1" x14ac:dyDescent="0.3">
      <c r="A5" s="227" t="s">
        <v>620</v>
      </c>
      <c r="B5" s="226">
        <v>45936</v>
      </c>
      <c r="C5" s="228">
        <v>133</v>
      </c>
      <c r="D5" s="228">
        <v>23</v>
      </c>
      <c r="E5" s="228">
        <v>64</v>
      </c>
      <c r="F5" s="228">
        <v>11</v>
      </c>
      <c r="G5" s="228">
        <v>69</v>
      </c>
      <c r="H5" s="228">
        <v>12</v>
      </c>
      <c r="I5" s="228">
        <v>159</v>
      </c>
      <c r="J5" s="228">
        <v>27</v>
      </c>
      <c r="K5" s="228">
        <v>-67</v>
      </c>
      <c r="L5" s="228">
        <v>-11</v>
      </c>
      <c r="M5" s="228">
        <v>92</v>
      </c>
      <c r="N5" s="228">
        <v>16</v>
      </c>
      <c r="O5" s="61"/>
      <c r="P5" s="61"/>
      <c r="Q5" s="61"/>
      <c r="R5" s="61"/>
      <c r="S5" s="61"/>
    </row>
    <row r="6" spans="1:23" ht="17.25" thickBot="1" x14ac:dyDescent="0.3">
      <c r="A6" s="227" t="s">
        <v>621</v>
      </c>
      <c r="B6" s="226">
        <v>45936</v>
      </c>
      <c r="C6" s="230">
        <v>11172</v>
      </c>
      <c r="D6" s="230">
        <v>1949</v>
      </c>
      <c r="E6" s="230">
        <v>11316</v>
      </c>
      <c r="F6" s="230">
        <v>1980</v>
      </c>
      <c r="G6" s="228">
        <v>-144</v>
      </c>
      <c r="H6" s="228">
        <v>-31</v>
      </c>
      <c r="I6" s="230">
        <v>3015</v>
      </c>
      <c r="J6" s="228">
        <v>518</v>
      </c>
      <c r="K6" s="230">
        <v>4800</v>
      </c>
      <c r="L6" s="228">
        <v>839</v>
      </c>
      <c r="M6" s="230">
        <v>7815</v>
      </c>
      <c r="N6" s="230">
        <v>1357</v>
      </c>
      <c r="O6" s="61"/>
      <c r="P6" s="61"/>
      <c r="Q6" s="61"/>
      <c r="R6" s="61"/>
      <c r="S6" s="61"/>
    </row>
    <row r="7" spans="1:23" ht="17.25" thickBot="1" x14ac:dyDescent="0.3">
      <c r="A7" s="227" t="s">
        <v>622</v>
      </c>
      <c r="B7" s="226">
        <v>45936</v>
      </c>
      <c r="C7" s="230">
        <v>13043</v>
      </c>
      <c r="D7" s="230">
        <v>2500</v>
      </c>
      <c r="E7" s="230">
        <v>21125</v>
      </c>
      <c r="F7" s="230">
        <v>4003</v>
      </c>
      <c r="G7" s="230">
        <v>-8082</v>
      </c>
      <c r="H7" s="230">
        <v>-1503</v>
      </c>
      <c r="I7" s="230">
        <v>218976</v>
      </c>
      <c r="J7" s="230">
        <v>41151</v>
      </c>
      <c r="K7" s="230">
        <v>11214</v>
      </c>
      <c r="L7" s="230">
        <v>2431</v>
      </c>
      <c r="M7" s="230">
        <v>230190</v>
      </c>
      <c r="N7" s="230">
        <v>43582</v>
      </c>
    </row>
    <row r="8" spans="1:23" ht="17.25" thickBot="1" x14ac:dyDescent="0.3">
      <c r="A8" s="227" t="s">
        <v>623</v>
      </c>
      <c r="B8" s="226">
        <v>45936</v>
      </c>
      <c r="C8" s="230">
        <v>9510734</v>
      </c>
      <c r="D8" s="230">
        <v>1775898</v>
      </c>
      <c r="E8" s="230">
        <v>9488918</v>
      </c>
      <c r="F8" s="230">
        <v>1772077</v>
      </c>
      <c r="G8" s="230">
        <v>21816</v>
      </c>
      <c r="H8" s="230">
        <v>3821</v>
      </c>
      <c r="I8" s="230">
        <v>2014832</v>
      </c>
      <c r="J8" s="230">
        <v>377421</v>
      </c>
      <c r="K8" s="230">
        <v>111273</v>
      </c>
      <c r="L8" s="230">
        <v>23787</v>
      </c>
      <c r="M8" s="230">
        <v>2126105</v>
      </c>
      <c r="N8" s="230">
        <v>401209</v>
      </c>
    </row>
    <row r="9" spans="1:23" ht="17.25" thickBot="1" x14ac:dyDescent="0.3">
      <c r="A9" s="227" t="s">
        <v>624</v>
      </c>
      <c r="B9" s="226">
        <v>45936</v>
      </c>
      <c r="C9" s="228">
        <v>802</v>
      </c>
      <c r="D9" s="228">
        <v>145</v>
      </c>
      <c r="E9" s="228">
        <v>546</v>
      </c>
      <c r="F9" s="228">
        <v>99</v>
      </c>
      <c r="G9" s="228">
        <v>256</v>
      </c>
      <c r="H9" s="228">
        <v>46</v>
      </c>
      <c r="I9" s="230">
        <v>21947</v>
      </c>
      <c r="J9" s="230">
        <v>3953</v>
      </c>
      <c r="K9" s="228">
        <v>-194</v>
      </c>
      <c r="L9" s="228">
        <v>11</v>
      </c>
      <c r="M9" s="230">
        <v>21753</v>
      </c>
      <c r="N9" s="230">
        <v>3963</v>
      </c>
    </row>
    <row r="10" spans="1:23" ht="17.25" thickBot="1" x14ac:dyDescent="0.3">
      <c r="A10" s="227" t="s">
        <v>625</v>
      </c>
      <c r="B10" s="226">
        <v>45936</v>
      </c>
      <c r="C10" s="230">
        <v>40003</v>
      </c>
      <c r="D10" s="230">
        <v>7144</v>
      </c>
      <c r="E10" s="230">
        <v>39291</v>
      </c>
      <c r="F10" s="230">
        <v>7040</v>
      </c>
      <c r="G10" s="228">
        <v>712</v>
      </c>
      <c r="H10" s="228">
        <v>104</v>
      </c>
      <c r="I10" s="230">
        <v>28057</v>
      </c>
      <c r="J10" s="230">
        <v>5025</v>
      </c>
      <c r="K10" s="228">
        <v>168</v>
      </c>
      <c r="L10" s="228">
        <v>90</v>
      </c>
      <c r="M10" s="230">
        <v>28225</v>
      </c>
      <c r="N10" s="230">
        <v>5115</v>
      </c>
    </row>
    <row r="11" spans="1:23" ht="17.25" thickBot="1" x14ac:dyDescent="0.3">
      <c r="A11" s="227" t="s">
        <v>626</v>
      </c>
      <c r="B11" s="226">
        <v>45936</v>
      </c>
      <c r="C11" s="230">
        <v>6125</v>
      </c>
      <c r="D11" s="230">
        <v>1154</v>
      </c>
      <c r="E11" s="230">
        <v>16760</v>
      </c>
      <c r="F11" s="230">
        <v>3157</v>
      </c>
      <c r="G11" s="230">
        <v>-10635</v>
      </c>
      <c r="H11" s="230">
        <v>-2002</v>
      </c>
      <c r="I11" s="230">
        <v>165029</v>
      </c>
      <c r="J11" s="230">
        <v>30958</v>
      </c>
      <c r="K11" s="230">
        <v>11957</v>
      </c>
      <c r="L11" s="230">
        <v>2480</v>
      </c>
      <c r="M11" s="230">
        <v>176986</v>
      </c>
      <c r="N11" s="230">
        <v>33438</v>
      </c>
    </row>
    <row r="12" spans="1:23" ht="17.25" thickBot="1" x14ac:dyDescent="0.3">
      <c r="A12" s="227" t="s">
        <v>627</v>
      </c>
      <c r="B12" s="226">
        <v>45936</v>
      </c>
      <c r="C12" s="230">
        <v>9307943</v>
      </c>
      <c r="D12" s="230">
        <v>1737043</v>
      </c>
      <c r="E12" s="230">
        <v>9289748</v>
      </c>
      <c r="F12" s="230">
        <v>1733900</v>
      </c>
      <c r="G12" s="230">
        <v>18195</v>
      </c>
      <c r="H12" s="230">
        <v>3143</v>
      </c>
      <c r="I12" s="230">
        <v>1793022</v>
      </c>
      <c r="J12" s="230">
        <v>334770</v>
      </c>
      <c r="K12" s="230">
        <v>99780</v>
      </c>
      <c r="L12" s="230">
        <v>21233</v>
      </c>
      <c r="M12" s="230">
        <v>1892802</v>
      </c>
      <c r="N12" s="230">
        <v>356003</v>
      </c>
    </row>
    <row r="13" spans="1:23" ht="17.25" thickBot="1" x14ac:dyDescent="0.3">
      <c r="A13" s="227" t="s">
        <v>628</v>
      </c>
      <c r="B13" s="226">
        <v>45936</v>
      </c>
      <c r="C13" s="228">
        <v>27</v>
      </c>
      <c r="D13" s="228">
        <v>5</v>
      </c>
      <c r="E13" s="228">
        <v>99</v>
      </c>
      <c r="F13" s="228">
        <v>17</v>
      </c>
      <c r="G13" s="228">
        <v>-72</v>
      </c>
      <c r="H13" s="228">
        <v>-12</v>
      </c>
      <c r="I13" s="228">
        <v>614</v>
      </c>
      <c r="J13" s="228">
        <v>106</v>
      </c>
      <c r="K13" s="228">
        <v>72</v>
      </c>
      <c r="L13" s="228">
        <v>13</v>
      </c>
      <c r="M13" s="228">
        <v>686</v>
      </c>
      <c r="N13" s="228">
        <v>118</v>
      </c>
    </row>
    <row r="14" spans="1:23" ht="17.25" thickBot="1" x14ac:dyDescent="0.3">
      <c r="A14" s="227" t="s">
        <v>629</v>
      </c>
      <c r="B14" s="226">
        <v>45936</v>
      </c>
      <c r="C14" s="228">
        <v>37</v>
      </c>
      <c r="D14" s="228">
        <v>6</v>
      </c>
      <c r="E14" s="228">
        <v>24</v>
      </c>
      <c r="F14" s="228">
        <v>4</v>
      </c>
      <c r="G14" s="228">
        <v>13</v>
      </c>
      <c r="H14" s="228">
        <v>2</v>
      </c>
      <c r="I14" s="228">
        <v>71</v>
      </c>
      <c r="J14" s="228">
        <v>12</v>
      </c>
      <c r="K14" s="228">
        <v>19</v>
      </c>
      <c r="L14" s="228">
        <v>3</v>
      </c>
      <c r="M14" s="228">
        <v>90</v>
      </c>
      <c r="N14" s="228">
        <v>15</v>
      </c>
    </row>
    <row r="15" spans="1:23" ht="17.25" thickBot="1" x14ac:dyDescent="0.3">
      <c r="A15" s="227" t="s">
        <v>630</v>
      </c>
      <c r="B15" s="226">
        <v>45936</v>
      </c>
      <c r="C15" s="230">
        <v>284535</v>
      </c>
      <c r="D15" s="230">
        <v>20461</v>
      </c>
      <c r="E15" s="230">
        <v>293347</v>
      </c>
      <c r="F15" s="230">
        <v>20827</v>
      </c>
      <c r="G15" s="230">
        <v>-8812</v>
      </c>
      <c r="H15" s="228">
        <v>-367</v>
      </c>
      <c r="I15" s="230">
        <v>5607973</v>
      </c>
      <c r="J15" s="230">
        <v>391393</v>
      </c>
      <c r="K15" s="230">
        <v>3970</v>
      </c>
      <c r="L15" s="230">
        <v>3126</v>
      </c>
      <c r="M15" s="230">
        <v>5611943</v>
      </c>
      <c r="N15" s="230">
        <v>394519</v>
      </c>
    </row>
    <row r="16" spans="1:23" ht="17.25" thickBot="1" x14ac:dyDescent="0.3">
      <c r="A16" s="227" t="s">
        <v>631</v>
      </c>
      <c r="B16" s="226">
        <v>45936</v>
      </c>
      <c r="C16" s="230">
        <v>317387</v>
      </c>
      <c r="D16" s="230">
        <v>23304</v>
      </c>
      <c r="E16" s="230">
        <v>314122</v>
      </c>
      <c r="F16" s="230">
        <v>23030</v>
      </c>
      <c r="G16" s="230">
        <v>3265</v>
      </c>
      <c r="H16" s="228">
        <v>274</v>
      </c>
      <c r="I16" s="230">
        <v>237034</v>
      </c>
      <c r="J16" s="230">
        <v>16313</v>
      </c>
      <c r="K16" s="230">
        <v>40561</v>
      </c>
      <c r="L16" s="230">
        <v>2993</v>
      </c>
      <c r="M16" s="230">
        <v>277595</v>
      </c>
      <c r="N16" s="230">
        <v>19306</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52" activePane="bottomLeft" state="frozen"/>
      <selection activeCell="A6" sqref="A6:S6"/>
      <selection pane="bottomLeft" activeCell="Q14" sqref="Q14"/>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60" t="s">
        <v>325</v>
      </c>
      <c r="B3" s="261"/>
      <c r="C3" s="261"/>
      <c r="D3" s="261"/>
      <c r="E3" s="261"/>
      <c r="F3" s="261"/>
      <c r="G3" s="261"/>
      <c r="H3" s="261"/>
      <c r="I3" s="261"/>
      <c r="J3" s="261"/>
      <c r="K3" s="261"/>
      <c r="L3" s="261"/>
      <c r="M3" s="261"/>
      <c r="N3" s="261"/>
      <c r="O3" s="261"/>
      <c r="P3" s="261"/>
      <c r="Q3" s="262"/>
    </row>
    <row r="4" spans="1:17" s="64" customFormat="1" x14ac:dyDescent="0.25">
      <c r="A4" s="263"/>
      <c r="B4" s="263" t="s">
        <v>308</v>
      </c>
      <c r="C4" s="263"/>
      <c r="D4" s="264"/>
      <c r="E4" s="264"/>
      <c r="F4" s="263" t="s">
        <v>326</v>
      </c>
      <c r="G4" s="263"/>
      <c r="H4" s="263"/>
      <c r="I4" s="263" t="s">
        <v>327</v>
      </c>
      <c r="J4" s="263"/>
      <c r="K4" s="263"/>
      <c r="L4" s="263" t="s">
        <v>311</v>
      </c>
      <c r="M4" s="263"/>
      <c r="N4" s="263"/>
      <c r="O4" s="263"/>
      <c r="P4" s="263"/>
      <c r="Q4" s="263"/>
    </row>
    <row r="5" spans="1:17" s="64" customFormat="1" x14ac:dyDescent="0.25">
      <c r="A5" s="258"/>
      <c r="B5" s="73" t="s">
        <v>312</v>
      </c>
      <c r="C5" s="258" t="s">
        <v>313</v>
      </c>
      <c r="D5" s="259"/>
      <c r="E5" s="259"/>
      <c r="F5" s="258" t="s">
        <v>314</v>
      </c>
      <c r="G5" s="258"/>
      <c r="H5" s="258"/>
      <c r="I5" s="258" t="s">
        <v>315</v>
      </c>
      <c r="J5" s="258"/>
      <c r="K5" s="258"/>
      <c r="L5" s="258" t="s">
        <v>316</v>
      </c>
      <c r="M5" s="258"/>
      <c r="N5" s="258"/>
      <c r="O5" s="258" t="s">
        <v>317</v>
      </c>
      <c r="P5" s="258"/>
      <c r="Q5" s="258"/>
    </row>
    <row r="6" spans="1:17" s="72" customFormat="1" ht="33.75" x14ac:dyDescent="0.25">
      <c r="A6" s="71" t="s">
        <v>558</v>
      </c>
      <c r="B6" s="66">
        <f>'Snapshot (Value)'!C10</f>
        <v>45936</v>
      </c>
      <c r="C6" s="66">
        <f>'Snapshot (Value)'!D10</f>
        <v>45936</v>
      </c>
      <c r="D6" s="71" t="s">
        <v>322</v>
      </c>
      <c r="E6" s="71" t="s">
        <v>328</v>
      </c>
      <c r="F6" s="66">
        <f>C6</f>
        <v>45936</v>
      </c>
      <c r="G6" s="71" t="s">
        <v>322</v>
      </c>
      <c r="H6" s="71" t="s">
        <v>328</v>
      </c>
      <c r="I6" s="66">
        <f>C6</f>
        <v>45936</v>
      </c>
      <c r="J6" s="71" t="s">
        <v>322</v>
      </c>
      <c r="K6" s="71" t="s">
        <v>328</v>
      </c>
      <c r="L6" s="66">
        <f>C6</f>
        <v>45936</v>
      </c>
      <c r="M6" s="71" t="s">
        <v>322</v>
      </c>
      <c r="N6" s="71" t="s">
        <v>328</v>
      </c>
      <c r="O6" s="66">
        <f>C6</f>
        <v>45936</v>
      </c>
      <c r="P6" s="71" t="s">
        <v>322</v>
      </c>
      <c r="Q6" s="71" t="s">
        <v>328</v>
      </c>
    </row>
    <row r="7" spans="1:17" x14ac:dyDescent="0.25">
      <c r="A7" s="97" t="str">
        <f>'Data Vlaue (Cr)'!C2</f>
        <v>360ONE</v>
      </c>
      <c r="B7" s="140">
        <f>VLOOKUP($A7,'Data shares'!$C:$FB,7)</f>
        <v>1062.4000000000001</v>
      </c>
      <c r="C7" s="140">
        <f>VLOOKUP($A7,'Data shares'!$C:$FB,3)</f>
        <v>1064.5999999999999</v>
      </c>
      <c r="D7" s="140">
        <f>VLOOKUP($A7,'Data shares'!$C:$FB,4)</f>
        <v>1053.2</v>
      </c>
      <c r="E7" s="50">
        <f>(C7-D7)/D7*100</f>
        <v>1.0824154956323455</v>
      </c>
      <c r="F7" s="49">
        <f>VLOOKUP($A7,'Data shares'!$C:$FB,98)</f>
        <v>3707500</v>
      </c>
      <c r="G7" s="49">
        <f>VLOOKUP($A7,'Data shares'!$C:$FB,99)</f>
        <v>3539500</v>
      </c>
      <c r="H7" s="50">
        <f>(F7-G7)/G7*100</f>
        <v>4.7464331120214718</v>
      </c>
      <c r="I7" s="49">
        <f>VLOOKUP($A7,'Data shares'!$C:$FB,66)</f>
        <v>1396000</v>
      </c>
      <c r="J7" s="49">
        <f>VLOOKUP($A7,'Data shares'!$C:$FB,67)</f>
        <v>1454000</v>
      </c>
      <c r="K7" s="50">
        <f>(I7-J7)/I7*100</f>
        <v>-4.1547277936962752</v>
      </c>
      <c r="L7" s="50">
        <f>VLOOKUP($A7,'Data shares'!$C:$FB,118)</f>
        <v>0.63</v>
      </c>
      <c r="M7" s="50">
        <f>VLOOKUP($A7,'Data shares'!$C:$FB,119)</f>
        <v>0.73</v>
      </c>
      <c r="N7" s="50">
        <f>VLOOKUP($A7,'Data shares'!$C:$FB,121)*100</f>
        <v>-13.700000000000001</v>
      </c>
      <c r="O7" s="50">
        <f>VLOOKUP($A7,'Data shares'!$C:$FB,124)</f>
        <v>0.16</v>
      </c>
      <c r="P7" s="50">
        <f>VLOOKUP($A7,'Data shares'!$C:$FB,125)</f>
        <v>0.22</v>
      </c>
      <c r="Q7" s="50">
        <f>VLOOKUP($A7,'Data shares'!$C:$FB,127)*100</f>
        <v>-27.27</v>
      </c>
    </row>
    <row r="8" spans="1:17" x14ac:dyDescent="0.25">
      <c r="A8" s="97" t="str">
        <f>'Data Vlaue (Cr)'!C3</f>
        <v>ABB</v>
      </c>
      <c r="B8" s="140">
        <f>VLOOKUP($A8,'Data shares'!$C:$FB,7)</f>
        <v>5218</v>
      </c>
      <c r="C8" s="140">
        <f>VLOOKUP($A8,'Data shares'!$C:$FB,3)</f>
        <v>5255.5</v>
      </c>
      <c r="D8" s="140">
        <f>VLOOKUP($A8,'Data shares'!$C:$FB,4)</f>
        <v>5218</v>
      </c>
      <c r="E8" s="50">
        <f t="shared" ref="E8:E71" si="0">(C8-D8)/D8*100</f>
        <v>0.71866615561517821</v>
      </c>
      <c r="F8" s="49">
        <f>VLOOKUP($A8,'Data shares'!$C:$FB,98)</f>
        <v>3807375</v>
      </c>
      <c r="G8" s="49">
        <f>VLOOKUP($A8,'Data shares'!$C:$FB,99)</f>
        <v>3501625</v>
      </c>
      <c r="H8" s="50">
        <f t="shared" ref="H8:H71" si="1">(F8-G8)/G8*100</f>
        <v>8.7316603005747329</v>
      </c>
      <c r="I8" s="49">
        <f>VLOOKUP($A8,'Data shares'!$C:$FB,66)</f>
        <v>1925125</v>
      </c>
      <c r="J8" s="49">
        <f>VLOOKUP($A8,'Data shares'!$C:$FB,67)</f>
        <v>910500</v>
      </c>
      <c r="K8" s="50">
        <f t="shared" ref="K8:K71" si="2">(I8-J8)/I8*100</f>
        <v>52.704369846113885</v>
      </c>
      <c r="L8" s="50">
        <f>VLOOKUP($A8,'Data shares'!$C:$FB,118)</f>
        <v>0.67</v>
      </c>
      <c r="M8" s="50">
        <f>VLOOKUP($A8,'Data shares'!$C:$FB,119)</f>
        <v>0.75</v>
      </c>
      <c r="N8" s="50">
        <f>VLOOKUP($A8,'Data shares'!$C:$FB,121)*100</f>
        <v>-10.67</v>
      </c>
      <c r="O8" s="50">
        <f>VLOOKUP($A8,'Data shares'!$C:$FB,124)</f>
        <v>0.25</v>
      </c>
      <c r="P8" s="50">
        <f>VLOOKUP($A8,'Data shares'!$C:$FB,125)</f>
        <v>0.52</v>
      </c>
      <c r="Q8" s="50">
        <f>VLOOKUP($A8,'Data shares'!$C:$FB,127)*100</f>
        <v>-51.92</v>
      </c>
    </row>
    <row r="9" spans="1:17" x14ac:dyDescent="0.25">
      <c r="A9" s="97" t="str">
        <f>'Data Vlaue (Cr)'!C4</f>
        <v>ABCAPITAL</v>
      </c>
      <c r="B9" s="140">
        <f>VLOOKUP($A9,'Data shares'!$C:$FB,7)</f>
        <v>304.05</v>
      </c>
      <c r="C9" s="140">
        <f>VLOOKUP($A9,'Data shares'!$C:$FB,3)</f>
        <v>306.14999999999998</v>
      </c>
      <c r="D9" s="140">
        <f>VLOOKUP($A9,'Data shares'!$C:$FB,4)</f>
        <v>305.5</v>
      </c>
      <c r="E9" s="50">
        <f t="shared" si="0"/>
        <v>0.21276595744680105</v>
      </c>
      <c r="F9" s="49">
        <f>VLOOKUP($A9,'Data shares'!$C:$FB,98)</f>
        <v>94407400</v>
      </c>
      <c r="G9" s="49">
        <f>VLOOKUP($A9,'Data shares'!$C:$FB,99)</f>
        <v>93272800</v>
      </c>
      <c r="H9" s="50">
        <f t="shared" si="1"/>
        <v>1.2164318000531773</v>
      </c>
      <c r="I9" s="49">
        <f>VLOOKUP($A9,'Data shares'!$C:$FB,66)</f>
        <v>52687600</v>
      </c>
      <c r="J9" s="49">
        <f>VLOOKUP($A9,'Data shares'!$C:$FB,67)</f>
        <v>64241300</v>
      </c>
      <c r="K9" s="50">
        <f t="shared" si="2"/>
        <v>-21.928689103318426</v>
      </c>
      <c r="L9" s="50">
        <f>VLOOKUP($A9,'Data shares'!$C:$FB,118)</f>
        <v>0.59</v>
      </c>
      <c r="M9" s="50">
        <f>VLOOKUP($A9,'Data shares'!$C:$FB,119)</f>
        <v>0.56999999999999995</v>
      </c>
      <c r="N9" s="50">
        <f>VLOOKUP($A9,'Data shares'!$C:$FB,121)*100</f>
        <v>3.51</v>
      </c>
      <c r="O9" s="50">
        <f>VLOOKUP($A9,'Data shares'!$C:$FB,124)</f>
        <v>0.49</v>
      </c>
      <c r="P9" s="50">
        <f>VLOOKUP($A9,'Data shares'!$C:$FB,125)</f>
        <v>0.48</v>
      </c>
      <c r="Q9" s="50">
        <f>VLOOKUP($A9,'Data shares'!$C:$FB,127)*100</f>
        <v>2.08</v>
      </c>
    </row>
    <row r="10" spans="1:17" x14ac:dyDescent="0.25">
      <c r="A10" s="97" t="str">
        <f>'Data Vlaue (Cr)'!C5</f>
        <v>ADANIENSOL</v>
      </c>
      <c r="B10" s="140">
        <f>VLOOKUP($A10,'Data shares'!$C:$FB,7)</f>
        <v>926.65</v>
      </c>
      <c r="C10" s="140">
        <f>VLOOKUP($A10,'Data shares'!$C:$FB,3)</f>
        <v>929.7</v>
      </c>
      <c r="D10" s="140">
        <f>VLOOKUP($A10,'Data shares'!$C:$FB,4)</f>
        <v>919.95</v>
      </c>
      <c r="E10" s="50">
        <f t="shared" si="0"/>
        <v>1.0598402087069949</v>
      </c>
      <c r="F10" s="49">
        <f>VLOOKUP($A10,'Data shares'!$C:$FB,98)</f>
        <v>23396175</v>
      </c>
      <c r="G10" s="49">
        <f>VLOOKUP($A10,'Data shares'!$C:$FB,99)</f>
        <v>23093100</v>
      </c>
      <c r="H10" s="50">
        <f t="shared" si="1"/>
        <v>1.3124050040921316</v>
      </c>
      <c r="I10" s="49">
        <f>VLOOKUP($A10,'Data shares'!$C:$FB,66)</f>
        <v>6002775</v>
      </c>
      <c r="J10" s="49">
        <f>VLOOKUP($A10,'Data shares'!$C:$FB,67)</f>
        <v>8389575</v>
      </c>
      <c r="K10" s="50">
        <f t="shared" si="2"/>
        <v>-39.761610255256947</v>
      </c>
      <c r="L10" s="50">
        <f>VLOOKUP($A10,'Data shares'!$C:$FB,118)</f>
        <v>0.53</v>
      </c>
      <c r="M10" s="50">
        <f>VLOOKUP($A10,'Data shares'!$C:$FB,119)</f>
        <v>0.54</v>
      </c>
      <c r="N10" s="50">
        <f>VLOOKUP($A10,'Data shares'!$C:$FB,121)*100</f>
        <v>-1.8499999999999999</v>
      </c>
      <c r="O10" s="50">
        <f>VLOOKUP($A10,'Data shares'!$C:$FB,124)</f>
        <v>0.31</v>
      </c>
      <c r="P10" s="50">
        <f>VLOOKUP($A10,'Data shares'!$C:$FB,125)</f>
        <v>0.32</v>
      </c>
      <c r="Q10" s="50">
        <f>VLOOKUP($A10,'Data shares'!$C:$FB,127)*100</f>
        <v>-3.1300000000000003</v>
      </c>
    </row>
    <row r="11" spans="1:17" x14ac:dyDescent="0.25">
      <c r="A11" s="97" t="str">
        <f>'Data Vlaue (Cr)'!C6</f>
        <v>ADANIENT</v>
      </c>
      <c r="B11" s="140">
        <f>VLOOKUP($A11,'Data shares'!$C:$FB,7)</f>
        <v>2573.5</v>
      </c>
      <c r="C11" s="140">
        <f>VLOOKUP($A11,'Data shares'!$C:$FB,3)</f>
        <v>2588.8000000000002</v>
      </c>
      <c r="D11" s="140">
        <f>VLOOKUP($A11,'Data shares'!$C:$FB,4)</f>
        <v>2607.1999999999998</v>
      </c>
      <c r="E11" s="50">
        <f t="shared" si="0"/>
        <v>-0.70573795642833836</v>
      </c>
      <c r="F11" s="49">
        <f>VLOOKUP($A11,'Data shares'!$C:$FB,98)</f>
        <v>24341400</v>
      </c>
      <c r="G11" s="49">
        <f>VLOOKUP($A11,'Data shares'!$C:$FB,99)</f>
        <v>23993100</v>
      </c>
      <c r="H11" s="50">
        <f t="shared" si="1"/>
        <v>1.4516673543643797</v>
      </c>
      <c r="I11" s="49">
        <f>VLOOKUP($A11,'Data shares'!$C:$FB,66)</f>
        <v>8406000</v>
      </c>
      <c r="J11" s="49">
        <f>VLOOKUP($A11,'Data shares'!$C:$FB,67)</f>
        <v>14184600</v>
      </c>
      <c r="K11" s="50">
        <f t="shared" si="2"/>
        <v>-68.743754461099215</v>
      </c>
      <c r="L11" s="50">
        <f>VLOOKUP($A11,'Data shares'!$C:$FB,118)</f>
        <v>0.64</v>
      </c>
      <c r="M11" s="50">
        <f>VLOOKUP($A11,'Data shares'!$C:$FB,119)</f>
        <v>0.66</v>
      </c>
      <c r="N11" s="50">
        <f>VLOOKUP($A11,'Data shares'!$C:$FB,121)*100</f>
        <v>-3.0300000000000002</v>
      </c>
      <c r="O11" s="50">
        <f>VLOOKUP($A11,'Data shares'!$C:$FB,124)</f>
        <v>0.39</v>
      </c>
      <c r="P11" s="50">
        <f>VLOOKUP($A11,'Data shares'!$C:$FB,125)</f>
        <v>0.45</v>
      </c>
      <c r="Q11" s="50">
        <f>VLOOKUP($A11,'Data shares'!$C:$FB,127)*100</f>
        <v>-13.33</v>
      </c>
    </row>
    <row r="12" spans="1:17" x14ac:dyDescent="0.25">
      <c r="A12" s="97" t="str">
        <f>'Data Vlaue (Cr)'!C7</f>
        <v>ADANIGREEN</v>
      </c>
      <c r="B12" s="140">
        <f>VLOOKUP($A12,'Data shares'!$C:$FB,7)</f>
        <v>1059.4000000000001</v>
      </c>
      <c r="C12" s="140">
        <f>VLOOKUP($A12,'Data shares'!$C:$FB,3)</f>
        <v>1065.4000000000001</v>
      </c>
      <c r="D12" s="140">
        <f>VLOOKUP($A12,'Data shares'!$C:$FB,4)</f>
        <v>1077.5999999999999</v>
      </c>
      <c r="E12" s="50">
        <f t="shared" si="0"/>
        <v>-1.1321455085374739</v>
      </c>
      <c r="F12" s="49">
        <f>VLOOKUP($A12,'Data shares'!$C:$FB,98)</f>
        <v>33340800</v>
      </c>
      <c r="G12" s="49">
        <f>VLOOKUP($A12,'Data shares'!$C:$FB,99)</f>
        <v>32900400</v>
      </c>
      <c r="H12" s="50">
        <f t="shared" si="1"/>
        <v>1.338585549111865</v>
      </c>
      <c r="I12" s="49">
        <f>VLOOKUP($A12,'Data shares'!$C:$FB,66)</f>
        <v>11963400</v>
      </c>
      <c r="J12" s="49">
        <f>VLOOKUP($A12,'Data shares'!$C:$FB,67)</f>
        <v>21409200</v>
      </c>
      <c r="K12" s="50">
        <f t="shared" si="2"/>
        <v>-78.955815236471238</v>
      </c>
      <c r="L12" s="50">
        <f>VLOOKUP($A12,'Data shares'!$C:$FB,118)</f>
        <v>0.49</v>
      </c>
      <c r="M12" s="50">
        <f>VLOOKUP($A12,'Data shares'!$C:$FB,119)</f>
        <v>0.5</v>
      </c>
      <c r="N12" s="50">
        <f>VLOOKUP($A12,'Data shares'!$C:$FB,121)*100</f>
        <v>-2</v>
      </c>
      <c r="O12" s="50">
        <f>VLOOKUP($A12,'Data shares'!$C:$FB,124)</f>
        <v>0.35</v>
      </c>
      <c r="P12" s="50">
        <f>VLOOKUP($A12,'Data shares'!$C:$FB,125)</f>
        <v>0.36</v>
      </c>
      <c r="Q12" s="50">
        <f>VLOOKUP($A12,'Data shares'!$C:$FB,127)*100</f>
        <v>-2.78</v>
      </c>
    </row>
    <row r="13" spans="1:17" x14ac:dyDescent="0.25">
      <c r="A13" s="97" t="str">
        <f>'Data Vlaue (Cr)'!C8</f>
        <v>ADANIPORTS</v>
      </c>
      <c r="B13" s="140">
        <f>VLOOKUP($A13,'Data shares'!$C:$FB,7)</f>
        <v>1400.5</v>
      </c>
      <c r="C13" s="140">
        <f>VLOOKUP($A13,'Data shares'!$C:$FB,3)</f>
        <v>1408.2</v>
      </c>
      <c r="D13" s="140">
        <f>VLOOKUP($A13,'Data shares'!$C:$FB,4)</f>
        <v>1427.9</v>
      </c>
      <c r="E13" s="50">
        <f t="shared" si="0"/>
        <v>-1.3796484347643423</v>
      </c>
      <c r="F13" s="49">
        <f>VLOOKUP($A13,'Data shares'!$C:$FB,98)</f>
        <v>33718350</v>
      </c>
      <c r="G13" s="49">
        <f>VLOOKUP($A13,'Data shares'!$C:$FB,99)</f>
        <v>32525150</v>
      </c>
      <c r="H13" s="50">
        <f t="shared" si="1"/>
        <v>3.6685457253848175</v>
      </c>
      <c r="I13" s="49">
        <f>VLOOKUP($A13,'Data shares'!$C:$FB,66)</f>
        <v>16046450</v>
      </c>
      <c r="J13" s="49">
        <f>VLOOKUP($A13,'Data shares'!$C:$FB,67)</f>
        <v>13041125</v>
      </c>
      <c r="K13" s="50">
        <f t="shared" si="2"/>
        <v>18.728908886389199</v>
      </c>
      <c r="L13" s="50">
        <f>VLOOKUP($A13,'Data shares'!$C:$FB,118)</f>
        <v>0.59</v>
      </c>
      <c r="M13" s="50">
        <f>VLOOKUP($A13,'Data shares'!$C:$FB,119)</f>
        <v>0.66</v>
      </c>
      <c r="N13" s="50">
        <f>VLOOKUP($A13,'Data shares'!$C:$FB,121)*100</f>
        <v>-10.61</v>
      </c>
      <c r="O13" s="50">
        <f>VLOOKUP($A13,'Data shares'!$C:$FB,124)</f>
        <v>0.52</v>
      </c>
      <c r="P13" s="50">
        <f>VLOOKUP($A13,'Data shares'!$C:$FB,125)</f>
        <v>0.37</v>
      </c>
      <c r="Q13" s="50">
        <f>VLOOKUP($A13,'Data shares'!$C:$FB,127)*100</f>
        <v>40.54</v>
      </c>
    </row>
    <row r="14" spans="1:17" x14ac:dyDescent="0.25">
      <c r="A14" s="97" t="str">
        <f>'Data Vlaue (Cr)'!C9</f>
        <v>ALKEM</v>
      </c>
      <c r="B14" s="140">
        <f>VLOOKUP($A14,'Data shares'!$C:$FB,7)</f>
        <v>5494</v>
      </c>
      <c r="C14" s="140">
        <f>VLOOKUP($A14,'Data shares'!$C:$FB,3)</f>
        <v>5526.5</v>
      </c>
      <c r="D14" s="140">
        <f>VLOOKUP($A14,'Data shares'!$C:$FB,4)</f>
        <v>5462</v>
      </c>
      <c r="E14" s="50">
        <f>(C14-D14)/D14*100</f>
        <v>1.1808861222995242</v>
      </c>
      <c r="F14" s="49">
        <f>VLOOKUP($A14,'Data shares'!$C:$FB,98)</f>
        <v>1742000</v>
      </c>
      <c r="G14" s="49">
        <f>VLOOKUP($A14,'Data shares'!$C:$FB,99)</f>
        <v>1672375</v>
      </c>
      <c r="H14" s="50">
        <f t="shared" si="1"/>
        <v>4.1632408999177812</v>
      </c>
      <c r="I14" s="49">
        <f>VLOOKUP($A14,'Data shares'!$C:$FB,66)</f>
        <v>515500</v>
      </c>
      <c r="J14" s="49">
        <f>VLOOKUP($A14,'Data shares'!$C:$FB,67)</f>
        <v>481500</v>
      </c>
      <c r="K14" s="50">
        <f t="shared" si="2"/>
        <v>6.595538312318137</v>
      </c>
      <c r="L14" s="50">
        <f>VLOOKUP($A14,'Data shares'!$C:$FB,118)</f>
        <v>0.64</v>
      </c>
      <c r="M14" s="50">
        <f>VLOOKUP($A14,'Data shares'!$C:$FB,119)</f>
        <v>0.73</v>
      </c>
      <c r="N14" s="50">
        <f>VLOOKUP($A14,'Data shares'!$C:$FB,121)*100</f>
        <v>-12.33</v>
      </c>
      <c r="O14" s="50">
        <f>VLOOKUP($A14,'Data shares'!$C:$FB,124)</f>
        <v>0.36</v>
      </c>
      <c r="P14" s="50">
        <f>VLOOKUP($A14,'Data shares'!$C:$FB,125)</f>
        <v>0.2</v>
      </c>
      <c r="Q14" s="50">
        <f>VLOOKUP($A14,'Data shares'!$C:$FB,127)*100</f>
        <v>80</v>
      </c>
    </row>
    <row r="15" spans="1:17" x14ac:dyDescent="0.25">
      <c r="A15" s="97" t="str">
        <f>'Data Vlaue (Cr)'!C10</f>
        <v>AMBER</v>
      </c>
      <c r="B15" s="140">
        <f>VLOOKUP($A15,'Data shares'!$C:$FB,7)</f>
        <v>8174.5</v>
      </c>
      <c r="C15" s="140">
        <f>VLOOKUP($A15,'Data shares'!$C:$FB,3)</f>
        <v>8170</v>
      </c>
      <c r="D15" s="140">
        <f>VLOOKUP($A15,'Data shares'!$C:$FB,4)</f>
        <v>8202</v>
      </c>
      <c r="E15" s="50">
        <f t="shared" si="0"/>
        <v>-0.39014874420872958</v>
      </c>
      <c r="F15" s="49">
        <f>VLOOKUP($A15,'Data shares'!$C:$FB,98)</f>
        <v>1017600</v>
      </c>
      <c r="G15" s="49">
        <f>VLOOKUP($A15,'Data shares'!$C:$FB,99)</f>
        <v>987800</v>
      </c>
      <c r="H15" s="50">
        <f t="shared" si="1"/>
        <v>3.0168050212593642</v>
      </c>
      <c r="I15" s="49">
        <f>VLOOKUP($A15,'Data shares'!$C:$FB,66)</f>
        <v>564800</v>
      </c>
      <c r="J15" s="49">
        <f>VLOOKUP($A15,'Data shares'!$C:$FB,67)</f>
        <v>364400</v>
      </c>
      <c r="K15" s="50">
        <f t="shared" si="2"/>
        <v>35.481586402266288</v>
      </c>
      <c r="L15" s="50">
        <f>VLOOKUP($A15,'Data shares'!$C:$FB,118)</f>
        <v>0.52</v>
      </c>
      <c r="M15" s="50">
        <f>VLOOKUP($A15,'Data shares'!$C:$FB,119)</f>
        <v>0.52</v>
      </c>
      <c r="N15" s="50">
        <f>VLOOKUP($A15,'Data shares'!$C:$FB,121)*100</f>
        <v>0</v>
      </c>
      <c r="O15" s="50">
        <f>VLOOKUP($A15,'Data shares'!$C:$FB,124)</f>
        <v>0.28000000000000003</v>
      </c>
      <c r="P15" s="50">
        <f>VLOOKUP($A15,'Data shares'!$C:$FB,125)</f>
        <v>0.34</v>
      </c>
      <c r="Q15" s="50">
        <f>VLOOKUP($A15,'Data shares'!$C:$FB,127)*100</f>
        <v>-17.649999999999999</v>
      </c>
    </row>
    <row r="16" spans="1:17" x14ac:dyDescent="0.25">
      <c r="A16" s="97" t="str">
        <f>'Data Vlaue (Cr)'!C11</f>
        <v>AMBUJACEM</v>
      </c>
      <c r="B16" s="140">
        <f>VLOOKUP($A16,'Data shares'!$C:$FB,7)</f>
        <v>573.79999999999995</v>
      </c>
      <c r="C16" s="140">
        <f>VLOOKUP($A16,'Data shares'!$C:$FB,3)</f>
        <v>576.4</v>
      </c>
      <c r="D16" s="140">
        <f>VLOOKUP($A16,'Data shares'!$C:$FB,4)</f>
        <v>579.65</v>
      </c>
      <c r="E16" s="50">
        <f t="shared" si="0"/>
        <v>-0.56068317087897868</v>
      </c>
      <c r="F16" s="49">
        <f>VLOOKUP($A16,'Data shares'!$C:$FB,98)</f>
        <v>57851850</v>
      </c>
      <c r="G16" s="49">
        <f>VLOOKUP($A16,'Data shares'!$C:$FB,99)</f>
        <v>56622300</v>
      </c>
      <c r="H16" s="50">
        <f t="shared" si="1"/>
        <v>2.1714942699254536</v>
      </c>
      <c r="I16" s="49">
        <f>VLOOKUP($A16,'Data shares'!$C:$FB,66)</f>
        <v>7909650</v>
      </c>
      <c r="J16" s="49">
        <f>VLOOKUP($A16,'Data shares'!$C:$FB,67)</f>
        <v>15418200</v>
      </c>
      <c r="K16" s="50">
        <f t="shared" si="2"/>
        <v>-94.928979158369842</v>
      </c>
      <c r="L16" s="50">
        <f>VLOOKUP($A16,'Data shares'!$C:$FB,118)</f>
        <v>0.78</v>
      </c>
      <c r="M16" s="50">
        <f>VLOOKUP($A16,'Data shares'!$C:$FB,119)</f>
        <v>0.81</v>
      </c>
      <c r="N16" s="50">
        <f>VLOOKUP($A16,'Data shares'!$C:$FB,121)*100</f>
        <v>-3.6999999999999997</v>
      </c>
      <c r="O16" s="50">
        <f>VLOOKUP($A16,'Data shares'!$C:$FB,124)</f>
        <v>0.42</v>
      </c>
      <c r="P16" s="50">
        <f>VLOOKUP($A16,'Data shares'!$C:$FB,125)</f>
        <v>0.4</v>
      </c>
      <c r="Q16" s="50">
        <f>VLOOKUP($A16,'Data shares'!$C:$FB,127)*100</f>
        <v>5</v>
      </c>
    </row>
    <row r="17" spans="1:17" x14ac:dyDescent="0.25">
      <c r="A17" s="97" t="str">
        <f>'Data Vlaue (Cr)'!C12</f>
        <v>ANGELONE</v>
      </c>
      <c r="B17" s="140">
        <f>VLOOKUP($A17,'Data shares'!$C:$FB,7)</f>
        <v>2265.1999999999998</v>
      </c>
      <c r="C17" s="140">
        <f>VLOOKUP($A17,'Data shares'!$C:$FB,3)</f>
        <v>2275.9</v>
      </c>
      <c r="D17" s="140">
        <f>VLOOKUP($A17,'Data shares'!$C:$FB,4)</f>
        <v>2206.1999999999998</v>
      </c>
      <c r="E17" s="50">
        <f t="shared" si="0"/>
        <v>3.1592783972441425</v>
      </c>
      <c r="F17" s="49">
        <f>VLOOKUP($A17,'Data shares'!$C:$FB,98)</f>
        <v>6535750</v>
      </c>
      <c r="G17" s="49">
        <f>VLOOKUP($A17,'Data shares'!$C:$FB,99)</f>
        <v>6350500</v>
      </c>
      <c r="H17" s="50">
        <f t="shared" si="1"/>
        <v>2.9170931422722624</v>
      </c>
      <c r="I17" s="49">
        <f>VLOOKUP($A17,'Data shares'!$C:$FB,66)</f>
        <v>9896750</v>
      </c>
      <c r="J17" s="49">
        <f>VLOOKUP($A17,'Data shares'!$C:$FB,67)</f>
        <v>4010500</v>
      </c>
      <c r="K17" s="50">
        <f t="shared" si="2"/>
        <v>59.476595852173695</v>
      </c>
      <c r="L17" s="50">
        <f>VLOOKUP($A17,'Data shares'!$C:$FB,118)</f>
        <v>0.8</v>
      </c>
      <c r="M17" s="50">
        <f>VLOOKUP($A17,'Data shares'!$C:$FB,119)</f>
        <v>0.85</v>
      </c>
      <c r="N17" s="50">
        <f>VLOOKUP($A17,'Data shares'!$C:$FB,121)*100</f>
        <v>-5.88</v>
      </c>
      <c r="O17" s="50">
        <f>VLOOKUP($A17,'Data shares'!$C:$FB,124)</f>
        <v>0.43</v>
      </c>
      <c r="P17" s="50">
        <f>VLOOKUP($A17,'Data shares'!$C:$FB,125)</f>
        <v>0.44</v>
      </c>
      <c r="Q17" s="50">
        <f>VLOOKUP($A17,'Data shares'!$C:$FB,127)*100</f>
        <v>-2.27</v>
      </c>
    </row>
    <row r="18" spans="1:17" x14ac:dyDescent="0.25">
      <c r="A18" s="97" t="str">
        <f>'Data Vlaue (Cr)'!C13</f>
        <v>APLAPOLLO</v>
      </c>
      <c r="B18" s="140">
        <f>VLOOKUP($A18,'Data shares'!$C:$FB,7)</f>
        <v>1742</v>
      </c>
      <c r="C18" s="140">
        <f>VLOOKUP($A18,'Data shares'!$C:$FB,3)</f>
        <v>1750.5</v>
      </c>
      <c r="D18" s="140">
        <f>VLOOKUP($A18,'Data shares'!$C:$FB,4)</f>
        <v>1744.7</v>
      </c>
      <c r="E18" s="50">
        <f t="shared" si="0"/>
        <v>0.33243537570928838</v>
      </c>
      <c r="F18" s="49">
        <f>VLOOKUP($A18,'Data shares'!$C:$FB,98)</f>
        <v>11175500</v>
      </c>
      <c r="G18" s="49">
        <f>VLOOKUP($A18,'Data shares'!$C:$FB,99)</f>
        <v>11211550</v>
      </c>
      <c r="H18" s="50">
        <f t="shared" si="1"/>
        <v>-0.32154340836012862</v>
      </c>
      <c r="I18" s="49">
        <f>VLOOKUP($A18,'Data shares'!$C:$FB,66)</f>
        <v>1743000</v>
      </c>
      <c r="J18" s="49">
        <f>VLOOKUP($A18,'Data shares'!$C:$FB,67)</f>
        <v>2997050</v>
      </c>
      <c r="K18" s="50">
        <f t="shared" si="2"/>
        <v>-71.947791164658639</v>
      </c>
      <c r="L18" s="50">
        <f>VLOOKUP($A18,'Data shares'!$C:$FB,118)</f>
        <v>0.65</v>
      </c>
      <c r="M18" s="50">
        <f>VLOOKUP($A18,'Data shares'!$C:$FB,119)</f>
        <v>0.62</v>
      </c>
      <c r="N18" s="50">
        <f>VLOOKUP($A18,'Data shares'!$C:$FB,121)*100</f>
        <v>4.84</v>
      </c>
      <c r="O18" s="50">
        <f>VLOOKUP($A18,'Data shares'!$C:$FB,124)</f>
        <v>0.38</v>
      </c>
      <c r="P18" s="50">
        <f>VLOOKUP($A18,'Data shares'!$C:$FB,125)</f>
        <v>0.34</v>
      </c>
      <c r="Q18" s="50">
        <f>VLOOKUP($A18,'Data shares'!$C:$FB,127)*100</f>
        <v>11.76</v>
      </c>
    </row>
    <row r="19" spans="1:17" x14ac:dyDescent="0.25">
      <c r="A19" s="97" t="str">
        <f>'Data Vlaue (Cr)'!C14</f>
        <v>APOLLOHOSP</v>
      </c>
      <c r="B19" s="140">
        <f>VLOOKUP($A19,'Data shares'!$C:$FB,7)</f>
        <v>7662</v>
      </c>
      <c r="C19" s="140">
        <f>VLOOKUP($A19,'Data shares'!$C:$FB,3)</f>
        <v>7687.5</v>
      </c>
      <c r="D19" s="140">
        <f>VLOOKUP($A19,'Data shares'!$C:$FB,4)</f>
        <v>7483</v>
      </c>
      <c r="E19" s="50">
        <f t="shared" si="0"/>
        <v>2.7328611519444075</v>
      </c>
      <c r="F19" s="49">
        <f>VLOOKUP($A19,'Data shares'!$C:$FB,98)</f>
        <v>3816750</v>
      </c>
      <c r="G19" s="49">
        <f>VLOOKUP($A19,'Data shares'!$C:$FB,99)</f>
        <v>3634000</v>
      </c>
      <c r="H19" s="50">
        <f t="shared" si="1"/>
        <v>5.0288937809576222</v>
      </c>
      <c r="I19" s="49">
        <f>VLOOKUP($A19,'Data shares'!$C:$FB,66)</f>
        <v>5453250</v>
      </c>
      <c r="J19" s="49">
        <f>VLOOKUP($A19,'Data shares'!$C:$FB,67)</f>
        <v>1105125</v>
      </c>
      <c r="K19" s="50">
        <f t="shared" si="2"/>
        <v>79.734561958465136</v>
      </c>
      <c r="L19" s="50">
        <f>VLOOKUP($A19,'Data shares'!$C:$FB,118)</f>
        <v>0.66</v>
      </c>
      <c r="M19" s="50">
        <f>VLOOKUP($A19,'Data shares'!$C:$FB,119)</f>
        <v>0.53</v>
      </c>
      <c r="N19" s="50">
        <f>VLOOKUP($A19,'Data shares'!$C:$FB,121)*100</f>
        <v>24.529999999999998</v>
      </c>
      <c r="O19" s="50">
        <f>VLOOKUP($A19,'Data shares'!$C:$FB,124)</f>
        <v>0.36</v>
      </c>
      <c r="P19" s="50">
        <f>VLOOKUP($A19,'Data shares'!$C:$FB,125)</f>
        <v>0.31</v>
      </c>
      <c r="Q19" s="50">
        <f>VLOOKUP($A19,'Data shares'!$C:$FB,127)*100</f>
        <v>16.13</v>
      </c>
    </row>
    <row r="20" spans="1:17" x14ac:dyDescent="0.25">
      <c r="A20" s="97" t="str">
        <f>'Data Vlaue (Cr)'!C15</f>
        <v>ASHOKLEY</v>
      </c>
      <c r="B20" s="140">
        <f>VLOOKUP($A20,'Data shares'!$C:$FB,7)</f>
        <v>137.78</v>
      </c>
      <c r="C20" s="140">
        <f>VLOOKUP($A20,'Data shares'!$C:$FB,3)</f>
        <v>138.1</v>
      </c>
      <c r="D20" s="140">
        <f>VLOOKUP($A20,'Data shares'!$C:$FB,4)</f>
        <v>139.19</v>
      </c>
      <c r="E20" s="50">
        <f t="shared" si="0"/>
        <v>-0.78310223435591886</v>
      </c>
      <c r="F20" s="49">
        <f>VLOOKUP($A20,'Data shares'!$C:$FB,98)</f>
        <v>221815000</v>
      </c>
      <c r="G20" s="49">
        <f>VLOOKUP($A20,'Data shares'!$C:$FB,99)</f>
        <v>220740000</v>
      </c>
      <c r="H20" s="50">
        <f t="shared" si="1"/>
        <v>0.48699827851771316</v>
      </c>
      <c r="I20" s="49">
        <f>VLOOKUP($A20,'Data shares'!$C:$FB,66)</f>
        <v>94605000</v>
      </c>
      <c r="J20" s="49">
        <f>VLOOKUP($A20,'Data shares'!$C:$FB,67)</f>
        <v>121950000</v>
      </c>
      <c r="K20" s="50">
        <f t="shared" si="2"/>
        <v>-28.90439194545743</v>
      </c>
      <c r="L20" s="50">
        <f>VLOOKUP($A20,'Data shares'!$C:$FB,118)</f>
        <v>0.46</v>
      </c>
      <c r="M20" s="50">
        <f>VLOOKUP($A20,'Data shares'!$C:$FB,119)</f>
        <v>0.47</v>
      </c>
      <c r="N20" s="50">
        <f>VLOOKUP($A20,'Data shares'!$C:$FB,121)*100</f>
        <v>-2.13</v>
      </c>
      <c r="O20" s="50">
        <f>VLOOKUP($A20,'Data shares'!$C:$FB,124)</f>
        <v>0.31</v>
      </c>
      <c r="P20" s="50">
        <f>VLOOKUP($A20,'Data shares'!$C:$FB,125)</f>
        <v>0.33</v>
      </c>
      <c r="Q20" s="50">
        <f>VLOOKUP($A20,'Data shares'!$C:$FB,127)*100</f>
        <v>-6.0600000000000005</v>
      </c>
    </row>
    <row r="21" spans="1:17" x14ac:dyDescent="0.25">
      <c r="A21" s="97" t="str">
        <f>'Data Vlaue (Cr)'!C16</f>
        <v>ASIANPAINT</v>
      </c>
      <c r="B21" s="140">
        <f>VLOOKUP($A21,'Data shares'!$C:$FB,7)</f>
        <v>2354.8000000000002</v>
      </c>
      <c r="C21" s="140">
        <f>VLOOKUP($A21,'Data shares'!$C:$FB,3)</f>
        <v>2366.3000000000002</v>
      </c>
      <c r="D21" s="140">
        <f>VLOOKUP($A21,'Data shares'!$C:$FB,4)</f>
        <v>2361.8000000000002</v>
      </c>
      <c r="E21" s="50">
        <f t="shared" si="0"/>
        <v>0.19053264459310693</v>
      </c>
      <c r="F21" s="49">
        <f>VLOOKUP($A21,'Data shares'!$C:$FB,98)</f>
        <v>21679750</v>
      </c>
      <c r="G21" s="49">
        <f>VLOOKUP($A21,'Data shares'!$C:$FB,99)</f>
        <v>21122250</v>
      </c>
      <c r="H21" s="50">
        <f t="shared" si="1"/>
        <v>2.6393968445596472</v>
      </c>
      <c r="I21" s="49">
        <f>VLOOKUP($A21,'Data shares'!$C:$FB,66)</f>
        <v>8163250</v>
      </c>
      <c r="J21" s="49">
        <f>VLOOKUP($A21,'Data shares'!$C:$FB,67)</f>
        <v>7481500</v>
      </c>
      <c r="K21" s="50">
        <f t="shared" si="2"/>
        <v>8.3514531589746728</v>
      </c>
      <c r="L21" s="50">
        <f>VLOOKUP($A21,'Data shares'!$C:$FB,118)</f>
        <v>0.66</v>
      </c>
      <c r="M21" s="50">
        <f>VLOOKUP($A21,'Data shares'!$C:$FB,119)</f>
        <v>0.65</v>
      </c>
      <c r="N21" s="50">
        <f>VLOOKUP($A21,'Data shares'!$C:$FB,121)*100</f>
        <v>1.54</v>
      </c>
      <c r="O21" s="50">
        <f>VLOOKUP($A21,'Data shares'!$C:$FB,124)</f>
        <v>0.38</v>
      </c>
      <c r="P21" s="50">
        <f>VLOOKUP($A21,'Data shares'!$C:$FB,125)</f>
        <v>0.34</v>
      </c>
      <c r="Q21" s="50">
        <f>VLOOKUP($A21,'Data shares'!$C:$FB,127)*100</f>
        <v>11.76</v>
      </c>
    </row>
    <row r="22" spans="1:17" x14ac:dyDescent="0.25">
      <c r="A22" s="97" t="str">
        <f>'Data Vlaue (Cr)'!C17</f>
        <v>ASTRAL</v>
      </c>
      <c r="B22" s="140">
        <f>VLOOKUP($A22,'Data shares'!$C:$FB,7)</f>
        <v>1383.6</v>
      </c>
      <c r="C22" s="140">
        <f>VLOOKUP($A22,'Data shares'!$C:$FB,3)</f>
        <v>1393.6</v>
      </c>
      <c r="D22" s="140">
        <f>VLOOKUP($A22,'Data shares'!$C:$FB,4)</f>
        <v>1387</v>
      </c>
      <c r="E22" s="50">
        <f t="shared" si="0"/>
        <v>0.475847152126886</v>
      </c>
      <c r="F22" s="49">
        <f>VLOOKUP($A22,'Data shares'!$C:$FB,98)</f>
        <v>11269300</v>
      </c>
      <c r="G22" s="49">
        <f>VLOOKUP($A22,'Data shares'!$C:$FB,99)</f>
        <v>10797975</v>
      </c>
      <c r="H22" s="50">
        <f t="shared" si="1"/>
        <v>4.3649387963946937</v>
      </c>
      <c r="I22" s="49">
        <f>VLOOKUP($A22,'Data shares'!$C:$FB,66)</f>
        <v>2967350</v>
      </c>
      <c r="J22" s="49">
        <f>VLOOKUP($A22,'Data shares'!$C:$FB,67)</f>
        <v>2969475</v>
      </c>
      <c r="K22" s="50">
        <f t="shared" si="2"/>
        <v>-7.1612718418791174E-2</v>
      </c>
      <c r="L22" s="50">
        <f>VLOOKUP($A22,'Data shares'!$C:$FB,118)</f>
        <v>0.56000000000000005</v>
      </c>
      <c r="M22" s="50">
        <f>VLOOKUP($A22,'Data shares'!$C:$FB,119)</f>
        <v>0.57999999999999996</v>
      </c>
      <c r="N22" s="50">
        <f>VLOOKUP($A22,'Data shares'!$C:$FB,121)*100</f>
        <v>-3.45</v>
      </c>
      <c r="O22" s="50">
        <f>VLOOKUP($A22,'Data shares'!$C:$FB,124)</f>
        <v>0.46</v>
      </c>
      <c r="P22" s="50">
        <f>VLOOKUP($A22,'Data shares'!$C:$FB,125)</f>
        <v>0.59</v>
      </c>
      <c r="Q22" s="50">
        <f>VLOOKUP($A22,'Data shares'!$C:$FB,127)*100</f>
        <v>-22.03</v>
      </c>
    </row>
    <row r="23" spans="1:17" x14ac:dyDescent="0.25">
      <c r="A23" s="97" t="str">
        <f>'Data Vlaue (Cr)'!C18</f>
        <v>AUBANK</v>
      </c>
      <c r="B23" s="140">
        <f>VLOOKUP($A23,'Data shares'!$C:$FB,7)</f>
        <v>762.95</v>
      </c>
      <c r="C23" s="140">
        <f>VLOOKUP($A23,'Data shares'!$C:$FB,3)</f>
        <v>766.3</v>
      </c>
      <c r="D23" s="140">
        <f>VLOOKUP($A23,'Data shares'!$C:$FB,4)</f>
        <v>745.1</v>
      </c>
      <c r="E23" s="50">
        <f t="shared" si="0"/>
        <v>2.8452556703798053</v>
      </c>
      <c r="F23" s="49">
        <f>VLOOKUP($A23,'Data shares'!$C:$FB,98)</f>
        <v>30426000</v>
      </c>
      <c r="G23" s="49">
        <f>VLOOKUP($A23,'Data shares'!$C:$FB,99)</f>
        <v>30312000</v>
      </c>
      <c r="H23" s="50">
        <f t="shared" si="1"/>
        <v>0.3760886777513856</v>
      </c>
      <c r="I23" s="49">
        <f>VLOOKUP($A23,'Data shares'!$C:$FB,66)</f>
        <v>29215000</v>
      </c>
      <c r="J23" s="49">
        <f>VLOOKUP($A23,'Data shares'!$C:$FB,67)</f>
        <v>16826000</v>
      </c>
      <c r="K23" s="50">
        <f t="shared" si="2"/>
        <v>42.406298134519936</v>
      </c>
      <c r="L23" s="50">
        <f>VLOOKUP($A23,'Data shares'!$C:$FB,118)</f>
        <v>0.79</v>
      </c>
      <c r="M23" s="50">
        <f>VLOOKUP($A23,'Data shares'!$C:$FB,119)</f>
        <v>0.77</v>
      </c>
      <c r="N23" s="50">
        <f>VLOOKUP($A23,'Data shares'!$C:$FB,121)*100</f>
        <v>2.6</v>
      </c>
      <c r="O23" s="50">
        <f>VLOOKUP($A23,'Data shares'!$C:$FB,124)</f>
        <v>0.42</v>
      </c>
      <c r="P23" s="50">
        <f>VLOOKUP($A23,'Data shares'!$C:$FB,125)</f>
        <v>0.4</v>
      </c>
      <c r="Q23" s="50">
        <f>VLOOKUP($A23,'Data shares'!$C:$FB,127)*100</f>
        <v>5</v>
      </c>
    </row>
    <row r="24" spans="1:17" x14ac:dyDescent="0.25">
      <c r="A24" s="97" t="str">
        <f>'Data Vlaue (Cr)'!C19</f>
        <v>AUROPHARMA</v>
      </c>
      <c r="B24" s="140">
        <f>VLOOKUP($A24,'Data shares'!$C:$FB,7)</f>
        <v>1096.5</v>
      </c>
      <c r="C24" s="140">
        <f>VLOOKUP($A24,'Data shares'!$C:$FB,3)</f>
        <v>1102.7</v>
      </c>
      <c r="D24" s="140">
        <f>VLOOKUP($A24,'Data shares'!$C:$FB,4)</f>
        <v>1097.5</v>
      </c>
      <c r="E24" s="50">
        <f t="shared" si="0"/>
        <v>0.47380410022779462</v>
      </c>
      <c r="F24" s="49">
        <f>VLOOKUP($A24,'Data shares'!$C:$FB,98)</f>
        <v>24060300</v>
      </c>
      <c r="G24" s="49">
        <f>VLOOKUP($A24,'Data shares'!$C:$FB,99)</f>
        <v>23838100</v>
      </c>
      <c r="H24" s="50">
        <f t="shared" si="1"/>
        <v>0.93212126805408158</v>
      </c>
      <c r="I24" s="49">
        <f>VLOOKUP($A24,'Data shares'!$C:$FB,66)</f>
        <v>4366450</v>
      </c>
      <c r="J24" s="49">
        <f>VLOOKUP($A24,'Data shares'!$C:$FB,67)</f>
        <v>4556200</v>
      </c>
      <c r="K24" s="50">
        <f t="shared" si="2"/>
        <v>-4.3456354704622751</v>
      </c>
      <c r="L24" s="50">
        <f>VLOOKUP($A24,'Data shares'!$C:$FB,118)</f>
        <v>0.91</v>
      </c>
      <c r="M24" s="50">
        <f>VLOOKUP($A24,'Data shares'!$C:$FB,119)</f>
        <v>0.96</v>
      </c>
      <c r="N24" s="50">
        <f>VLOOKUP($A24,'Data shares'!$C:$FB,121)*100</f>
        <v>-5.21</v>
      </c>
      <c r="O24" s="50">
        <f>VLOOKUP($A24,'Data shares'!$C:$FB,124)</f>
        <v>0.48</v>
      </c>
      <c r="P24" s="50">
        <f>VLOOKUP($A24,'Data shares'!$C:$FB,125)</f>
        <v>0.59</v>
      </c>
      <c r="Q24" s="50">
        <f>VLOOKUP($A24,'Data shares'!$C:$FB,127)*100</f>
        <v>-18.64</v>
      </c>
    </row>
    <row r="25" spans="1:17" x14ac:dyDescent="0.25">
      <c r="A25" s="97" t="str">
        <f>'Data Vlaue (Cr)'!C20</f>
        <v>AXISBANK</v>
      </c>
      <c r="B25" s="140">
        <f>VLOOKUP($A25,'Data shares'!$C:$FB,7)</f>
        <v>1212.8</v>
      </c>
      <c r="C25" s="140">
        <f>VLOOKUP($A25,'Data shares'!$C:$FB,3)</f>
        <v>1216.2</v>
      </c>
      <c r="D25" s="140">
        <f>VLOOKUP($A25,'Data shares'!$C:$FB,4)</f>
        <v>1186.8</v>
      </c>
      <c r="E25" s="50">
        <f t="shared" si="0"/>
        <v>2.477249747219421</v>
      </c>
      <c r="F25" s="49">
        <f>VLOOKUP($A25,'Data shares'!$C:$FB,98)</f>
        <v>119758750</v>
      </c>
      <c r="G25" s="49">
        <f>VLOOKUP($A25,'Data shares'!$C:$FB,99)</f>
        <v>120534375</v>
      </c>
      <c r="H25" s="50">
        <f t="shared" si="1"/>
        <v>-0.64348863135516321</v>
      </c>
      <c r="I25" s="49">
        <f>VLOOKUP($A25,'Data shares'!$C:$FB,66)</f>
        <v>102212500</v>
      </c>
      <c r="J25" s="49">
        <f>VLOOKUP($A25,'Data shares'!$C:$FB,67)</f>
        <v>70621875</v>
      </c>
      <c r="K25" s="50">
        <f t="shared" si="2"/>
        <v>30.906811789164728</v>
      </c>
      <c r="L25" s="50">
        <f>VLOOKUP($A25,'Data shares'!$C:$FB,118)</f>
        <v>0.52</v>
      </c>
      <c r="M25" s="50">
        <f>VLOOKUP($A25,'Data shares'!$C:$FB,119)</f>
        <v>0.43</v>
      </c>
      <c r="N25" s="50">
        <f>VLOOKUP($A25,'Data shares'!$C:$FB,121)*100</f>
        <v>20.93</v>
      </c>
      <c r="O25" s="50">
        <f>VLOOKUP($A25,'Data shares'!$C:$FB,124)</f>
        <v>0.68</v>
      </c>
      <c r="P25" s="50">
        <f>VLOOKUP($A25,'Data shares'!$C:$FB,125)</f>
        <v>0.57999999999999996</v>
      </c>
      <c r="Q25" s="50">
        <f>VLOOKUP($A25,'Data shares'!$C:$FB,127)*100</f>
        <v>17.239999999999998</v>
      </c>
    </row>
    <row r="26" spans="1:17" x14ac:dyDescent="0.25">
      <c r="A26" s="97" t="str">
        <f>'Data Vlaue (Cr)'!C21</f>
        <v>BAJAJ-AUTO</v>
      </c>
      <c r="B26" s="140">
        <f>VLOOKUP($A26,'Data shares'!$C:$FB,7)</f>
        <v>8792</v>
      </c>
      <c r="C26" s="140">
        <f>VLOOKUP($A26,'Data shares'!$C:$FB,3)</f>
        <v>8841</v>
      </c>
      <c r="D26" s="140">
        <f>VLOOKUP($A26,'Data shares'!$C:$FB,4)</f>
        <v>8734.5</v>
      </c>
      <c r="E26" s="50">
        <f t="shared" si="0"/>
        <v>1.219302764897819</v>
      </c>
      <c r="F26" s="49">
        <f>VLOOKUP($A26,'Data shares'!$C:$FB,98)</f>
        <v>5646600</v>
      </c>
      <c r="G26" s="49">
        <f>VLOOKUP($A26,'Data shares'!$C:$FB,99)</f>
        <v>5732925</v>
      </c>
      <c r="H26" s="50">
        <f t="shared" si="1"/>
        <v>-1.505775847407737</v>
      </c>
      <c r="I26" s="49">
        <f>VLOOKUP($A26,'Data shares'!$C:$FB,66)</f>
        <v>3887850</v>
      </c>
      <c r="J26" s="49">
        <f>VLOOKUP($A26,'Data shares'!$C:$FB,67)</f>
        <v>7922700</v>
      </c>
      <c r="K26" s="50">
        <f t="shared" si="2"/>
        <v>-103.78101006983293</v>
      </c>
      <c r="L26" s="50">
        <f>VLOOKUP($A26,'Data shares'!$C:$FB,118)</f>
        <v>0.57999999999999996</v>
      </c>
      <c r="M26" s="50">
        <f>VLOOKUP($A26,'Data shares'!$C:$FB,119)</f>
        <v>0.55000000000000004</v>
      </c>
      <c r="N26" s="50">
        <f>VLOOKUP($A26,'Data shares'!$C:$FB,121)*100</f>
        <v>5.45</v>
      </c>
      <c r="O26" s="50">
        <f>VLOOKUP($A26,'Data shares'!$C:$FB,124)</f>
        <v>0.4</v>
      </c>
      <c r="P26" s="50">
        <f>VLOOKUP($A26,'Data shares'!$C:$FB,125)</f>
        <v>0.35</v>
      </c>
      <c r="Q26" s="50">
        <f>VLOOKUP($A26,'Data shares'!$C:$FB,127)*100</f>
        <v>14.29</v>
      </c>
    </row>
    <row r="27" spans="1:17" x14ac:dyDescent="0.25">
      <c r="A27" s="97" t="str">
        <f>'Data Vlaue (Cr)'!C22</f>
        <v>BAJAJFINSV</v>
      </c>
      <c r="B27" s="140">
        <f>VLOOKUP($A27,'Data shares'!$C:$FB,7)</f>
        <v>2033.2</v>
      </c>
      <c r="C27" s="140">
        <f>VLOOKUP($A27,'Data shares'!$C:$FB,3)</f>
        <v>2042.1</v>
      </c>
      <c r="D27" s="140">
        <f>VLOOKUP($A27,'Data shares'!$C:$FB,4)</f>
        <v>2009.2</v>
      </c>
      <c r="E27" s="50">
        <f t="shared" si="0"/>
        <v>1.637467648815442</v>
      </c>
      <c r="F27" s="49">
        <f>VLOOKUP($A27,'Data shares'!$C:$FB,98)</f>
        <v>23497500</v>
      </c>
      <c r="G27" s="49">
        <f>VLOOKUP($A27,'Data shares'!$C:$FB,99)</f>
        <v>22625500</v>
      </c>
      <c r="H27" s="50">
        <f t="shared" si="1"/>
        <v>3.8540584738458818</v>
      </c>
      <c r="I27" s="49">
        <f>VLOOKUP($A27,'Data shares'!$C:$FB,66)</f>
        <v>14789000</v>
      </c>
      <c r="J27" s="49">
        <f>VLOOKUP($A27,'Data shares'!$C:$FB,67)</f>
        <v>9441500</v>
      </c>
      <c r="K27" s="50">
        <f t="shared" si="2"/>
        <v>36.158631415241054</v>
      </c>
      <c r="L27" s="50">
        <f>VLOOKUP($A27,'Data shares'!$C:$FB,118)</f>
        <v>0.74</v>
      </c>
      <c r="M27" s="50">
        <f>VLOOKUP($A27,'Data shares'!$C:$FB,119)</f>
        <v>0.71</v>
      </c>
      <c r="N27" s="50">
        <f>VLOOKUP($A27,'Data shares'!$C:$FB,121)*100</f>
        <v>4.2299999999999995</v>
      </c>
      <c r="O27" s="50">
        <f>VLOOKUP($A27,'Data shares'!$C:$FB,124)</f>
        <v>0.37</v>
      </c>
      <c r="P27" s="50">
        <f>VLOOKUP($A27,'Data shares'!$C:$FB,125)</f>
        <v>0.57999999999999996</v>
      </c>
      <c r="Q27" s="50">
        <f>VLOOKUP($A27,'Data shares'!$C:$FB,127)*100</f>
        <v>-36.21</v>
      </c>
    </row>
    <row r="28" spans="1:17" x14ac:dyDescent="0.25">
      <c r="A28" s="97" t="str">
        <f>'Data Vlaue (Cr)'!C23</f>
        <v>BAJFINANCE</v>
      </c>
      <c r="B28" s="140">
        <f>VLOOKUP($A28,'Data shares'!$C:$FB,7)</f>
        <v>1008.9</v>
      </c>
      <c r="C28" s="140">
        <f>VLOOKUP($A28,'Data shares'!$C:$FB,3)</f>
        <v>1014.9</v>
      </c>
      <c r="D28" s="140">
        <f>VLOOKUP($A28,'Data shares'!$C:$FB,4)</f>
        <v>993.7</v>
      </c>
      <c r="E28" s="50">
        <f t="shared" si="0"/>
        <v>2.1334406762604337</v>
      </c>
      <c r="F28" s="49">
        <f>VLOOKUP($A28,'Data shares'!$C:$FB,98)</f>
        <v>120534750</v>
      </c>
      <c r="G28" s="49">
        <f>VLOOKUP($A28,'Data shares'!$C:$FB,99)</f>
        <v>115238250</v>
      </c>
      <c r="H28" s="50">
        <f t="shared" si="1"/>
        <v>4.5961301911474708</v>
      </c>
      <c r="I28" s="49">
        <f>VLOOKUP($A28,'Data shares'!$C:$FB,66)</f>
        <v>107767500</v>
      </c>
      <c r="J28" s="49">
        <f>VLOOKUP($A28,'Data shares'!$C:$FB,67)</f>
        <v>37300500</v>
      </c>
      <c r="K28" s="50">
        <f t="shared" si="2"/>
        <v>65.387988029786342</v>
      </c>
      <c r="L28" s="50">
        <f>VLOOKUP($A28,'Data shares'!$C:$FB,118)</f>
        <v>0.64</v>
      </c>
      <c r="M28" s="50">
        <f>VLOOKUP($A28,'Data shares'!$C:$FB,119)</f>
        <v>0.72</v>
      </c>
      <c r="N28" s="50">
        <f>VLOOKUP($A28,'Data shares'!$C:$FB,121)*100</f>
        <v>-11.110000000000001</v>
      </c>
      <c r="O28" s="50">
        <f>VLOOKUP($A28,'Data shares'!$C:$FB,124)</f>
        <v>0.39</v>
      </c>
      <c r="P28" s="50">
        <f>VLOOKUP($A28,'Data shares'!$C:$FB,125)</f>
        <v>0.49</v>
      </c>
      <c r="Q28" s="50">
        <f>VLOOKUP($A28,'Data shares'!$C:$FB,127)*100</f>
        <v>-20.41</v>
      </c>
    </row>
    <row r="29" spans="1:17" x14ac:dyDescent="0.25">
      <c r="A29" s="97" t="str">
        <f>'Data Vlaue (Cr)'!C24</f>
        <v>BANDHANBNK</v>
      </c>
      <c r="B29" s="140">
        <f>VLOOKUP($A29,'Data shares'!$C:$FB,7)</f>
        <v>164.79</v>
      </c>
      <c r="C29" s="140">
        <f>VLOOKUP($A29,'Data shares'!$C:$FB,3)</f>
        <v>165.9</v>
      </c>
      <c r="D29" s="140">
        <f>VLOOKUP($A29,'Data shares'!$C:$FB,4)</f>
        <v>166.77</v>
      </c>
      <c r="E29" s="50">
        <f t="shared" si="0"/>
        <v>-0.52167656053247258</v>
      </c>
      <c r="F29" s="49">
        <f>VLOOKUP($A29,'Data shares'!$C:$FB,98)</f>
        <v>142430400</v>
      </c>
      <c r="G29" s="49">
        <f>VLOOKUP($A29,'Data shares'!$C:$FB,99)</f>
        <v>139050000</v>
      </c>
      <c r="H29" s="50">
        <f t="shared" si="1"/>
        <v>2.4310679611650485</v>
      </c>
      <c r="I29" s="49">
        <f>VLOOKUP($A29,'Data shares'!$C:$FB,66)</f>
        <v>41994000</v>
      </c>
      <c r="J29" s="49">
        <f>VLOOKUP($A29,'Data shares'!$C:$FB,67)</f>
        <v>80834400</v>
      </c>
      <c r="K29" s="50">
        <f t="shared" si="2"/>
        <v>-92.4903557651093</v>
      </c>
      <c r="L29" s="50">
        <f>VLOOKUP($A29,'Data shares'!$C:$FB,118)</f>
        <v>0.88</v>
      </c>
      <c r="M29" s="50">
        <f>VLOOKUP($A29,'Data shares'!$C:$FB,119)</f>
        <v>0.91</v>
      </c>
      <c r="N29" s="50">
        <f>VLOOKUP($A29,'Data shares'!$C:$FB,121)*100</f>
        <v>-3.3000000000000003</v>
      </c>
      <c r="O29" s="50">
        <f>VLOOKUP($A29,'Data shares'!$C:$FB,124)</f>
        <v>0.42</v>
      </c>
      <c r="P29" s="50">
        <f>VLOOKUP($A29,'Data shares'!$C:$FB,125)</f>
        <v>0.51</v>
      </c>
      <c r="Q29" s="50">
        <f>VLOOKUP($A29,'Data shares'!$C:$FB,127)*100</f>
        <v>-17.649999999999999</v>
      </c>
    </row>
    <row r="30" spans="1:17" x14ac:dyDescent="0.25">
      <c r="A30" s="97" t="str">
        <f>'Data Vlaue (Cr)'!C25</f>
        <v>BANKBARODA</v>
      </c>
      <c r="B30" s="176">
        <f>VLOOKUP($A30,'Data shares'!$C:$FB,7)</f>
        <v>266.60000000000002</v>
      </c>
      <c r="C30" s="176">
        <f>VLOOKUP($A30,'Data shares'!$C:$FB,3)</f>
        <v>267.60000000000002</v>
      </c>
      <c r="D30" s="176">
        <f>VLOOKUP($A30,'Data shares'!$C:$FB,4)</f>
        <v>265.64999999999998</v>
      </c>
      <c r="E30" s="50">
        <f t="shared" si="0"/>
        <v>0.73404856013553388</v>
      </c>
      <c r="F30" s="49">
        <f>VLOOKUP($A30,'Data shares'!$C:$FB,98)</f>
        <v>193482900</v>
      </c>
      <c r="G30" s="49">
        <f>VLOOKUP($A30,'Data shares'!$C:$FB,99)</f>
        <v>189455175</v>
      </c>
      <c r="H30" s="50">
        <f t="shared" si="1"/>
        <v>2.1259514288802088</v>
      </c>
      <c r="I30" s="49">
        <f>VLOOKUP($A30,'Data shares'!$C:$FB,66)</f>
        <v>167096475</v>
      </c>
      <c r="J30" s="49">
        <f>VLOOKUP($A30,'Data shares'!$C:$FB,67)</f>
        <v>147537000</v>
      </c>
      <c r="K30" s="50">
        <f t="shared" si="2"/>
        <v>11.705498275771527</v>
      </c>
      <c r="L30" s="50">
        <f>VLOOKUP($A30,'Data shares'!$C:$FB,118)</f>
        <v>0.92</v>
      </c>
      <c r="M30" s="50">
        <f>VLOOKUP($A30,'Data shares'!$C:$FB,119)</f>
        <v>0.99</v>
      </c>
      <c r="N30" s="50">
        <f>VLOOKUP($A30,'Data shares'!$C:$FB,121)*100</f>
        <v>-7.07</v>
      </c>
      <c r="O30" s="50">
        <f>VLOOKUP($A30,'Data shares'!$C:$FB,124)</f>
        <v>0.56999999999999995</v>
      </c>
      <c r="P30" s="50">
        <f>VLOOKUP($A30,'Data shares'!$C:$FB,125)</f>
        <v>0.61</v>
      </c>
      <c r="Q30" s="50">
        <f>VLOOKUP($A30,'Data shares'!$C:$FB,127)*100</f>
        <v>-6.5600000000000005</v>
      </c>
    </row>
    <row r="31" spans="1:17" x14ac:dyDescent="0.25">
      <c r="A31" s="97" t="str">
        <f>'Data Vlaue (Cr)'!C26</f>
        <v>BANKINDIA</v>
      </c>
      <c r="B31" s="140">
        <f>VLOOKUP($A31,'Data shares'!$C:$FB,7)</f>
        <v>126.04</v>
      </c>
      <c r="C31" s="140">
        <f>VLOOKUP($A31,'Data shares'!$C:$FB,3)</f>
        <v>126.86</v>
      </c>
      <c r="D31" s="140">
        <f>VLOOKUP($A31,'Data shares'!$C:$FB,4)</f>
        <v>126.34</v>
      </c>
      <c r="E31" s="50">
        <f t="shared" si="0"/>
        <v>0.4115877790090201</v>
      </c>
      <c r="F31" s="49">
        <f>VLOOKUP($A31,'Data shares'!$C:$FB,98)</f>
        <v>100198800</v>
      </c>
      <c r="G31" s="49">
        <f>VLOOKUP($A31,'Data shares'!$C:$FB,99)</f>
        <v>99361600</v>
      </c>
      <c r="H31" s="50">
        <f t="shared" si="1"/>
        <v>0.84257902449235922</v>
      </c>
      <c r="I31" s="49">
        <f>VLOOKUP($A31,'Data shares'!$C:$FB,66)</f>
        <v>39468000</v>
      </c>
      <c r="J31" s="49">
        <f>VLOOKUP($A31,'Data shares'!$C:$FB,67)</f>
        <v>47611200</v>
      </c>
      <c r="K31" s="50">
        <f t="shared" si="2"/>
        <v>-20.632411067193676</v>
      </c>
      <c r="L31" s="50">
        <f>VLOOKUP($A31,'Data shares'!$C:$FB,118)</f>
        <v>0.73</v>
      </c>
      <c r="M31" s="50">
        <f>VLOOKUP($A31,'Data shares'!$C:$FB,119)</f>
        <v>0.73</v>
      </c>
      <c r="N31" s="50">
        <f>VLOOKUP($A31,'Data shares'!$C:$FB,121)*100</f>
        <v>0</v>
      </c>
      <c r="O31" s="50">
        <f>VLOOKUP($A31,'Data shares'!$C:$FB,124)</f>
        <v>0.44</v>
      </c>
      <c r="P31" s="50">
        <f>VLOOKUP($A31,'Data shares'!$C:$FB,125)</f>
        <v>0.46</v>
      </c>
      <c r="Q31" s="50">
        <f>VLOOKUP($A31,'Data shares'!$C:$FB,127)*100</f>
        <v>-4.3499999999999996</v>
      </c>
    </row>
    <row r="32" spans="1:17" x14ac:dyDescent="0.25">
      <c r="A32" s="97" t="str">
        <f>'Data Vlaue (Cr)'!C27</f>
        <v>BANKNIFTY</v>
      </c>
      <c r="B32" s="140">
        <f>VLOOKUP($A32,'Data shares'!$C:$FB,7)</f>
        <v>56104.85</v>
      </c>
      <c r="C32" s="140">
        <f>VLOOKUP($A32,'Data shares'!$C:$FB,3)</f>
        <v>56297.8</v>
      </c>
      <c r="D32" s="140">
        <f>VLOOKUP($A32,'Data shares'!$C:$FB,4)</f>
        <v>55854.2</v>
      </c>
      <c r="E32" s="50">
        <f t="shared" si="0"/>
        <v>0.79421064127676322</v>
      </c>
      <c r="F32" s="49">
        <f>VLOOKUP($A32,'Data shares'!$C:$FB,98)</f>
        <v>34275910</v>
      </c>
      <c r="G32" s="49">
        <f>VLOOKUP($A32,'Data shares'!$C:$FB,99)</f>
        <v>31890765</v>
      </c>
      <c r="H32" s="50">
        <f t="shared" si="1"/>
        <v>7.4791087639321283</v>
      </c>
      <c r="I32" s="49">
        <f>VLOOKUP($A32,'Data shares'!$C:$FB,66)</f>
        <v>94201695</v>
      </c>
      <c r="J32" s="49">
        <f>VLOOKUP($A32,'Data shares'!$C:$FB,67)</f>
        <v>81698610</v>
      </c>
      <c r="K32" s="50">
        <f t="shared" si="2"/>
        <v>13.272675189124783</v>
      </c>
      <c r="L32" s="50">
        <f>VLOOKUP($A32,'Data shares'!$C:$FB,118)</f>
        <v>1.1299999999999999</v>
      </c>
      <c r="M32" s="50">
        <f>VLOOKUP($A32,'Data shares'!$C:$FB,119)</f>
        <v>1.1499999999999999</v>
      </c>
      <c r="N32" s="50">
        <f>VLOOKUP($A32,'Data shares'!$C:$FB,121)*100</f>
        <v>-1.7399999999999998</v>
      </c>
      <c r="O32" s="50">
        <f>VLOOKUP($A32,'Data shares'!$C:$FB,124)</f>
        <v>0.88</v>
      </c>
      <c r="P32" s="50">
        <f>VLOOKUP($A32,'Data shares'!$C:$FB,125)</f>
        <v>0.91</v>
      </c>
      <c r="Q32" s="50">
        <f>VLOOKUP($A32,'Data shares'!$C:$FB,127)*100</f>
        <v>-3.3000000000000003</v>
      </c>
    </row>
    <row r="33" spans="1:17" x14ac:dyDescent="0.25">
      <c r="A33" s="97" t="str">
        <f>'Data Vlaue (Cr)'!C28</f>
        <v>BDL</v>
      </c>
      <c r="B33" s="140">
        <f>VLOOKUP($A33,'Data shares'!$C:$FB,7)</f>
        <v>1559.1</v>
      </c>
      <c r="C33" s="140">
        <f>VLOOKUP($A33,'Data shares'!$C:$FB,3)</f>
        <v>1568.6</v>
      </c>
      <c r="D33" s="140">
        <f>VLOOKUP($A33,'Data shares'!$C:$FB,4)</f>
        <v>1567.7</v>
      </c>
      <c r="E33" s="50">
        <f t="shared" si="0"/>
        <v>5.7408943037562256E-2</v>
      </c>
      <c r="F33" s="49">
        <f>VLOOKUP($A33,'Data shares'!$C:$FB,98)</f>
        <v>8543275</v>
      </c>
      <c r="G33" s="49">
        <f>VLOOKUP($A33,'Data shares'!$C:$FB,99)</f>
        <v>8141900</v>
      </c>
      <c r="H33" s="50">
        <f t="shared" si="1"/>
        <v>4.9297461280536483</v>
      </c>
      <c r="I33" s="49">
        <f>VLOOKUP($A33,'Data shares'!$C:$FB,66)</f>
        <v>4315675</v>
      </c>
      <c r="J33" s="49">
        <f>VLOOKUP($A33,'Data shares'!$C:$FB,67)</f>
        <v>10868000</v>
      </c>
      <c r="K33" s="50">
        <f t="shared" si="2"/>
        <v>-151.82619173130507</v>
      </c>
      <c r="L33" s="50">
        <f>VLOOKUP($A33,'Data shares'!$C:$FB,118)</f>
        <v>0.65</v>
      </c>
      <c r="M33" s="50">
        <f>VLOOKUP($A33,'Data shares'!$C:$FB,119)</f>
        <v>0.74</v>
      </c>
      <c r="N33" s="50">
        <f>VLOOKUP($A33,'Data shares'!$C:$FB,121)*100</f>
        <v>-12.16</v>
      </c>
      <c r="O33" s="50">
        <f>VLOOKUP($A33,'Data shares'!$C:$FB,124)</f>
        <v>0.35</v>
      </c>
      <c r="P33" s="50">
        <f>VLOOKUP($A33,'Data shares'!$C:$FB,125)</f>
        <v>0.35</v>
      </c>
      <c r="Q33" s="50">
        <f>VLOOKUP($A33,'Data shares'!$C:$FB,127)*100</f>
        <v>0</v>
      </c>
    </row>
    <row r="34" spans="1:17" x14ac:dyDescent="0.25">
      <c r="A34" s="97" t="str">
        <f>'Data Vlaue (Cr)'!C29</f>
        <v>BEL</v>
      </c>
      <c r="B34" s="140">
        <f>VLOOKUP($A34,'Data shares'!$C:$FB,7)</f>
        <v>413.25</v>
      </c>
      <c r="C34" s="140">
        <f>VLOOKUP($A34,'Data shares'!$C:$FB,3)</f>
        <v>415.55</v>
      </c>
      <c r="D34" s="140">
        <f>VLOOKUP($A34,'Data shares'!$C:$FB,4)</f>
        <v>415.15</v>
      </c>
      <c r="E34" s="50">
        <f t="shared" si="0"/>
        <v>9.6350716608462991E-2</v>
      </c>
      <c r="F34" s="49">
        <f>VLOOKUP($A34,'Data shares'!$C:$FB,98)</f>
        <v>191445900</v>
      </c>
      <c r="G34" s="49">
        <f>VLOOKUP($A34,'Data shares'!$C:$FB,99)</f>
        <v>186672150</v>
      </c>
      <c r="H34" s="50">
        <f t="shared" si="1"/>
        <v>2.5572909510068857</v>
      </c>
      <c r="I34" s="49">
        <f>VLOOKUP($A34,'Data shares'!$C:$FB,66)</f>
        <v>131507550</v>
      </c>
      <c r="J34" s="49">
        <f>VLOOKUP($A34,'Data shares'!$C:$FB,67)</f>
        <v>175323450</v>
      </c>
      <c r="K34" s="50">
        <f t="shared" si="2"/>
        <v>-33.318163101662222</v>
      </c>
      <c r="L34" s="50">
        <f>VLOOKUP($A34,'Data shares'!$C:$FB,118)</f>
        <v>0.71</v>
      </c>
      <c r="M34" s="50">
        <f>VLOOKUP($A34,'Data shares'!$C:$FB,119)</f>
        <v>0.7</v>
      </c>
      <c r="N34" s="50">
        <f>VLOOKUP($A34,'Data shares'!$C:$FB,121)*100</f>
        <v>1.43</v>
      </c>
      <c r="O34" s="50">
        <f>VLOOKUP($A34,'Data shares'!$C:$FB,124)</f>
        <v>0.5</v>
      </c>
      <c r="P34" s="50">
        <f>VLOOKUP($A34,'Data shares'!$C:$FB,125)</f>
        <v>0.47</v>
      </c>
      <c r="Q34" s="50">
        <f>VLOOKUP($A34,'Data shares'!$C:$FB,127)*100</f>
        <v>6.38</v>
      </c>
    </row>
    <row r="35" spans="1:17" x14ac:dyDescent="0.25">
      <c r="A35" s="97" t="str">
        <f>'Data Vlaue (Cr)'!C30</f>
        <v>BHARATFORG</v>
      </c>
      <c r="B35" s="140">
        <f>VLOOKUP($A35,'Data shares'!$C:$FB,7)</f>
        <v>1234.5999999999999</v>
      </c>
      <c r="C35" s="140">
        <f>VLOOKUP($A35,'Data shares'!$C:$FB,3)</f>
        <v>1229.5999999999999</v>
      </c>
      <c r="D35" s="140">
        <f>VLOOKUP($A35,'Data shares'!$C:$FB,4)</f>
        <v>1221.0999999999999</v>
      </c>
      <c r="E35" s="50">
        <f t="shared" si="0"/>
        <v>0.69609368602080102</v>
      </c>
      <c r="F35" s="49">
        <f>VLOOKUP($A35,'Data shares'!$C:$FB,98)</f>
        <v>14504000</v>
      </c>
      <c r="G35" s="49">
        <f>VLOOKUP($A35,'Data shares'!$C:$FB,99)</f>
        <v>13895000</v>
      </c>
      <c r="H35" s="50">
        <f t="shared" si="1"/>
        <v>4.382871536523929</v>
      </c>
      <c r="I35" s="49">
        <f>VLOOKUP($A35,'Data shares'!$C:$FB,66)</f>
        <v>6182000</v>
      </c>
      <c r="J35" s="49">
        <f>VLOOKUP($A35,'Data shares'!$C:$FB,67)</f>
        <v>4588000</v>
      </c>
      <c r="K35" s="50">
        <f t="shared" si="2"/>
        <v>25.78453574894856</v>
      </c>
      <c r="L35" s="50">
        <f>VLOOKUP($A35,'Data shares'!$C:$FB,118)</f>
        <v>0.75</v>
      </c>
      <c r="M35" s="50">
        <f>VLOOKUP($A35,'Data shares'!$C:$FB,119)</f>
        <v>0.79</v>
      </c>
      <c r="N35" s="50">
        <f>VLOOKUP($A35,'Data shares'!$C:$FB,121)*100</f>
        <v>-5.0599999999999996</v>
      </c>
      <c r="O35" s="50">
        <f>VLOOKUP($A35,'Data shares'!$C:$FB,124)</f>
        <v>0.3</v>
      </c>
      <c r="P35" s="50">
        <f>VLOOKUP($A35,'Data shares'!$C:$FB,125)</f>
        <v>0.33</v>
      </c>
      <c r="Q35" s="50">
        <f>VLOOKUP($A35,'Data shares'!$C:$FB,127)*100</f>
        <v>-9.09</v>
      </c>
    </row>
    <row r="36" spans="1:17" x14ac:dyDescent="0.25">
      <c r="A36" s="97" t="str">
        <f>'Data Vlaue (Cr)'!C31</f>
        <v>BHARTIARTL</v>
      </c>
      <c r="B36" s="140">
        <f>VLOOKUP($A36,'Data shares'!$C:$FB,7)</f>
        <v>1903.1</v>
      </c>
      <c r="C36" s="140">
        <f>VLOOKUP($A36,'Data shares'!$C:$FB,3)</f>
        <v>1912.2</v>
      </c>
      <c r="D36" s="140">
        <f>VLOOKUP($A36,'Data shares'!$C:$FB,4)</f>
        <v>1904</v>
      </c>
      <c r="E36" s="50">
        <f t="shared" si="0"/>
        <v>0.43067226890756538</v>
      </c>
      <c r="F36" s="49">
        <f>VLOOKUP($A36,'Data shares'!$C:$FB,98)</f>
        <v>62137600</v>
      </c>
      <c r="G36" s="49">
        <f>VLOOKUP($A36,'Data shares'!$C:$FB,99)</f>
        <v>61987975</v>
      </c>
      <c r="H36" s="50">
        <f t="shared" si="1"/>
        <v>0.24137746070911334</v>
      </c>
      <c r="I36" s="49">
        <f>VLOOKUP($A36,'Data shares'!$C:$FB,66)</f>
        <v>23083100</v>
      </c>
      <c r="J36" s="49">
        <f>VLOOKUP($A36,'Data shares'!$C:$FB,67)</f>
        <v>44507025</v>
      </c>
      <c r="K36" s="50">
        <f t="shared" si="2"/>
        <v>-92.812165610338297</v>
      </c>
      <c r="L36" s="50">
        <f>VLOOKUP($A36,'Data shares'!$C:$FB,118)</f>
        <v>0.56999999999999995</v>
      </c>
      <c r="M36" s="50">
        <f>VLOOKUP($A36,'Data shares'!$C:$FB,119)</f>
        <v>0.57999999999999996</v>
      </c>
      <c r="N36" s="50">
        <f>VLOOKUP($A36,'Data shares'!$C:$FB,121)*100</f>
        <v>-1.72</v>
      </c>
      <c r="O36" s="50">
        <f>VLOOKUP($A36,'Data shares'!$C:$FB,124)</f>
        <v>0.42</v>
      </c>
      <c r="P36" s="50">
        <f>VLOOKUP($A36,'Data shares'!$C:$FB,125)</f>
        <v>0.42</v>
      </c>
      <c r="Q36" s="50">
        <f>VLOOKUP($A36,'Data shares'!$C:$FB,127)*100</f>
        <v>0</v>
      </c>
    </row>
    <row r="37" spans="1:17" x14ac:dyDescent="0.25">
      <c r="A37" s="97" t="str">
        <f>'Data Vlaue (Cr)'!C32</f>
        <v>BHEL</v>
      </c>
      <c r="B37" s="140">
        <f>VLOOKUP($A37,'Data shares'!$C:$FB,7)</f>
        <v>245.31</v>
      </c>
      <c r="C37" s="140">
        <f>VLOOKUP($A37,'Data shares'!$C:$FB,3)</f>
        <v>246.24</v>
      </c>
      <c r="D37" s="140">
        <f>VLOOKUP($A37,'Data shares'!$C:$FB,4)</f>
        <v>246.1</v>
      </c>
      <c r="E37" s="50">
        <f t="shared" si="0"/>
        <v>5.6887444128409091E-2</v>
      </c>
      <c r="F37" s="49">
        <f>VLOOKUP($A37,'Data shares'!$C:$FB,98)</f>
        <v>91092750</v>
      </c>
      <c r="G37" s="49">
        <f>VLOOKUP($A37,'Data shares'!$C:$FB,99)</f>
        <v>89656875</v>
      </c>
      <c r="H37" s="50">
        <f t="shared" si="1"/>
        <v>1.6015224710876883</v>
      </c>
      <c r="I37" s="49">
        <f>VLOOKUP($A37,'Data shares'!$C:$FB,66)</f>
        <v>45100125</v>
      </c>
      <c r="J37" s="49">
        <f>VLOOKUP($A37,'Data shares'!$C:$FB,67)</f>
        <v>75817875</v>
      </c>
      <c r="K37" s="50">
        <f t="shared" si="2"/>
        <v>-68.110121646004302</v>
      </c>
      <c r="L37" s="50">
        <f>VLOOKUP($A37,'Data shares'!$C:$FB,118)</f>
        <v>0.78</v>
      </c>
      <c r="M37" s="50">
        <f>VLOOKUP($A37,'Data shares'!$C:$FB,119)</f>
        <v>0.85</v>
      </c>
      <c r="N37" s="50">
        <f>VLOOKUP($A37,'Data shares'!$C:$FB,121)*100</f>
        <v>-8.24</v>
      </c>
      <c r="O37" s="50">
        <f>VLOOKUP($A37,'Data shares'!$C:$FB,124)</f>
        <v>0.53</v>
      </c>
      <c r="P37" s="50">
        <f>VLOOKUP($A37,'Data shares'!$C:$FB,125)</f>
        <v>0.41</v>
      </c>
      <c r="Q37" s="50">
        <f>VLOOKUP($A37,'Data shares'!$C:$FB,127)*100</f>
        <v>29.270000000000003</v>
      </c>
    </row>
    <row r="38" spans="1:17" x14ac:dyDescent="0.25">
      <c r="A38" s="97" t="str">
        <f>'Data Vlaue (Cr)'!C33</f>
        <v>BIOCON</v>
      </c>
      <c r="B38" s="140">
        <f>VLOOKUP($A38,'Data shares'!$C:$FB,7)</f>
        <v>347.75</v>
      </c>
      <c r="C38" s="140">
        <f>VLOOKUP($A38,'Data shares'!$C:$FB,3)</f>
        <v>349.5</v>
      </c>
      <c r="D38" s="140">
        <f>VLOOKUP($A38,'Data shares'!$C:$FB,4)</f>
        <v>354.4</v>
      </c>
      <c r="E38" s="50">
        <f t="shared" si="0"/>
        <v>-1.3826185101580073</v>
      </c>
      <c r="F38" s="49">
        <f>VLOOKUP($A38,'Data shares'!$C:$FB,98)</f>
        <v>60985000</v>
      </c>
      <c r="G38" s="49">
        <f>VLOOKUP($A38,'Data shares'!$C:$FB,99)</f>
        <v>58502500</v>
      </c>
      <c r="H38" s="50">
        <f t="shared" si="1"/>
        <v>4.2434084013503695</v>
      </c>
      <c r="I38" s="49">
        <f>VLOOKUP($A38,'Data shares'!$C:$FB,66)</f>
        <v>24337500</v>
      </c>
      <c r="J38" s="49">
        <f>VLOOKUP($A38,'Data shares'!$C:$FB,67)</f>
        <v>22055000</v>
      </c>
      <c r="K38" s="50">
        <f t="shared" si="2"/>
        <v>9.3785310734463287</v>
      </c>
      <c r="L38" s="50">
        <f>VLOOKUP($A38,'Data shares'!$C:$FB,118)</f>
        <v>0.65</v>
      </c>
      <c r="M38" s="50">
        <f>VLOOKUP($A38,'Data shares'!$C:$FB,119)</f>
        <v>0.78</v>
      </c>
      <c r="N38" s="50">
        <f>VLOOKUP($A38,'Data shares'!$C:$FB,121)*100</f>
        <v>-16.669999999999998</v>
      </c>
      <c r="O38" s="50">
        <f>VLOOKUP($A38,'Data shares'!$C:$FB,124)</f>
        <v>0.32</v>
      </c>
      <c r="P38" s="50">
        <f>VLOOKUP($A38,'Data shares'!$C:$FB,125)</f>
        <v>0.41</v>
      </c>
      <c r="Q38" s="50">
        <f>VLOOKUP($A38,'Data shares'!$C:$FB,127)*100</f>
        <v>-21.95</v>
      </c>
    </row>
    <row r="39" spans="1:17" x14ac:dyDescent="0.25">
      <c r="A39" s="97" t="str">
        <f>'Data Vlaue (Cr)'!C34</f>
        <v>BLUESTARCO</v>
      </c>
      <c r="B39" s="140">
        <f>VLOOKUP($A39,'Data shares'!$C:$FB,7)</f>
        <v>1892.8</v>
      </c>
      <c r="C39" s="140">
        <f>VLOOKUP($A39,'Data shares'!$C:$FB,3)</f>
        <v>1901.7</v>
      </c>
      <c r="D39" s="140">
        <f>VLOOKUP($A39,'Data shares'!$C:$FB,4)</f>
        <v>1901.9</v>
      </c>
      <c r="E39" s="50">
        <f t="shared" si="0"/>
        <v>-1.0515799989486591E-2</v>
      </c>
      <c r="F39" s="49">
        <f>VLOOKUP($A39,'Data shares'!$C:$FB,98)</f>
        <v>2334150</v>
      </c>
      <c r="G39" s="49">
        <f>VLOOKUP($A39,'Data shares'!$C:$FB,99)</f>
        <v>2311725</v>
      </c>
      <c r="H39" s="50">
        <f t="shared" si="1"/>
        <v>0.9700548291859975</v>
      </c>
      <c r="I39" s="49">
        <f>VLOOKUP($A39,'Data shares'!$C:$FB,66)</f>
        <v>568425</v>
      </c>
      <c r="J39" s="49">
        <f>VLOOKUP($A39,'Data shares'!$C:$FB,67)</f>
        <v>557375</v>
      </c>
      <c r="K39" s="50">
        <f t="shared" si="2"/>
        <v>1.9439679817038307</v>
      </c>
      <c r="L39" s="50">
        <f>VLOOKUP($A39,'Data shares'!$C:$FB,118)</f>
        <v>0.87</v>
      </c>
      <c r="M39" s="50">
        <f>VLOOKUP($A39,'Data shares'!$C:$FB,119)</f>
        <v>0.85</v>
      </c>
      <c r="N39" s="50">
        <f>VLOOKUP($A39,'Data shares'!$C:$FB,121)*100</f>
        <v>2.35</v>
      </c>
      <c r="O39" s="50">
        <f>VLOOKUP($A39,'Data shares'!$C:$FB,124)</f>
        <v>0.52</v>
      </c>
      <c r="P39" s="50">
        <f>VLOOKUP($A39,'Data shares'!$C:$FB,125)</f>
        <v>0.43</v>
      </c>
      <c r="Q39" s="50">
        <f>VLOOKUP($A39,'Data shares'!$C:$FB,127)*100</f>
        <v>20.93</v>
      </c>
    </row>
    <row r="40" spans="1:17" x14ac:dyDescent="0.25">
      <c r="A40" s="97" t="str">
        <f>'Data Vlaue (Cr)'!C35</f>
        <v>BOSCHLTD</v>
      </c>
      <c r="B40" s="140">
        <f>VLOOKUP($A40,'Data shares'!$C:$FB,7)</f>
        <v>38800</v>
      </c>
      <c r="C40" s="140">
        <f>VLOOKUP($A40,'Data shares'!$C:$FB,3)</f>
        <v>39030</v>
      </c>
      <c r="D40" s="140">
        <f>VLOOKUP($A40,'Data shares'!$C:$FB,4)</f>
        <v>38785</v>
      </c>
      <c r="E40" s="50">
        <f t="shared" si="0"/>
        <v>0.63168750805723861</v>
      </c>
      <c r="F40" s="49">
        <f>VLOOKUP($A40,'Data shares'!$C:$FB,98)</f>
        <v>314025</v>
      </c>
      <c r="G40" s="49">
        <f>VLOOKUP($A40,'Data shares'!$C:$FB,99)</f>
        <v>308775</v>
      </c>
      <c r="H40" s="50">
        <f t="shared" si="1"/>
        <v>1.7002671848433324</v>
      </c>
      <c r="I40" s="49">
        <f>VLOOKUP($A40,'Data shares'!$C:$FB,66)</f>
        <v>140925</v>
      </c>
      <c r="J40" s="49">
        <f>VLOOKUP($A40,'Data shares'!$C:$FB,67)</f>
        <v>132075</v>
      </c>
      <c r="K40" s="50">
        <f t="shared" si="2"/>
        <v>6.2799361362426822</v>
      </c>
      <c r="L40" s="50">
        <f>VLOOKUP($A40,'Data shares'!$C:$FB,118)</f>
        <v>0.67</v>
      </c>
      <c r="M40" s="50">
        <f>VLOOKUP($A40,'Data shares'!$C:$FB,119)</f>
        <v>0.72</v>
      </c>
      <c r="N40" s="50">
        <f>VLOOKUP($A40,'Data shares'!$C:$FB,121)*100</f>
        <v>-6.94</v>
      </c>
      <c r="O40" s="50">
        <f>VLOOKUP($A40,'Data shares'!$C:$FB,124)</f>
        <v>0.28000000000000003</v>
      </c>
      <c r="P40" s="50">
        <f>VLOOKUP($A40,'Data shares'!$C:$FB,125)</f>
        <v>0.31</v>
      </c>
      <c r="Q40" s="50">
        <f>VLOOKUP($A40,'Data shares'!$C:$FB,127)*100</f>
        <v>-9.68</v>
      </c>
    </row>
    <row r="41" spans="1:17" x14ac:dyDescent="0.25">
      <c r="A41" s="97" t="str">
        <f>'Data Vlaue (Cr)'!C36</f>
        <v>BPCL</v>
      </c>
      <c r="B41" s="140">
        <f>VLOOKUP($A41,'Data shares'!$C:$FB,7)</f>
        <v>343.6</v>
      </c>
      <c r="C41" s="140">
        <f>VLOOKUP($A41,'Data shares'!$C:$FB,3)</f>
        <v>345.9</v>
      </c>
      <c r="D41" s="140">
        <f>VLOOKUP($A41,'Data shares'!$C:$FB,4)</f>
        <v>343.6</v>
      </c>
      <c r="E41" s="50">
        <f t="shared" si="0"/>
        <v>0.66938300349241975</v>
      </c>
      <c r="F41" s="49">
        <f>VLOOKUP($A41,'Data shares'!$C:$FB,98)</f>
        <v>58157825</v>
      </c>
      <c r="G41" s="49">
        <f>VLOOKUP($A41,'Data shares'!$C:$FB,99)</f>
        <v>52057050</v>
      </c>
      <c r="H41" s="50">
        <f t="shared" si="1"/>
        <v>11.71940207906518</v>
      </c>
      <c r="I41" s="49">
        <f>VLOOKUP($A41,'Data shares'!$C:$FB,66)</f>
        <v>67250725</v>
      </c>
      <c r="J41" s="49">
        <f>VLOOKUP($A41,'Data shares'!$C:$FB,67)</f>
        <v>34931825</v>
      </c>
      <c r="K41" s="50">
        <f t="shared" si="2"/>
        <v>48.057325776041822</v>
      </c>
      <c r="L41" s="50">
        <f>VLOOKUP($A41,'Data shares'!$C:$FB,118)</f>
        <v>0.93</v>
      </c>
      <c r="M41" s="50">
        <f>VLOOKUP($A41,'Data shares'!$C:$FB,119)</f>
        <v>0.75</v>
      </c>
      <c r="N41" s="50">
        <f>VLOOKUP($A41,'Data shares'!$C:$FB,121)*100</f>
        <v>24</v>
      </c>
      <c r="O41" s="50">
        <f>VLOOKUP($A41,'Data shares'!$C:$FB,124)</f>
        <v>0.72</v>
      </c>
      <c r="P41" s="50">
        <f>VLOOKUP($A41,'Data shares'!$C:$FB,125)</f>
        <v>0.47</v>
      </c>
      <c r="Q41" s="50">
        <f>VLOOKUP($A41,'Data shares'!$C:$FB,127)*100</f>
        <v>53.190000000000005</v>
      </c>
    </row>
    <row r="42" spans="1:17" x14ac:dyDescent="0.25">
      <c r="A42" s="97" t="str">
        <f>'Data Vlaue (Cr)'!C37</f>
        <v>BRITANNIA</v>
      </c>
      <c r="B42" s="140">
        <f>VLOOKUP($A42,'Data shares'!$C:$FB,7)</f>
        <v>6011</v>
      </c>
      <c r="C42" s="140">
        <f>VLOOKUP($A42,'Data shares'!$C:$FB,3)</f>
        <v>6034</v>
      </c>
      <c r="D42" s="140">
        <f>VLOOKUP($A42,'Data shares'!$C:$FB,4)</f>
        <v>6022.5</v>
      </c>
      <c r="E42" s="50">
        <f t="shared" si="0"/>
        <v>0.19095060190950602</v>
      </c>
      <c r="F42" s="49">
        <f>VLOOKUP($A42,'Data shares'!$C:$FB,98)</f>
        <v>4793500</v>
      </c>
      <c r="G42" s="49">
        <f>VLOOKUP($A42,'Data shares'!$C:$FB,99)</f>
        <v>4677500</v>
      </c>
      <c r="H42" s="50">
        <f t="shared" si="1"/>
        <v>2.4799572421165155</v>
      </c>
      <c r="I42" s="49">
        <f>VLOOKUP($A42,'Data shares'!$C:$FB,66)</f>
        <v>1227250</v>
      </c>
      <c r="J42" s="49">
        <f>VLOOKUP($A42,'Data shares'!$C:$FB,67)</f>
        <v>1040625</v>
      </c>
      <c r="K42" s="50">
        <f t="shared" si="2"/>
        <v>15.206763088205339</v>
      </c>
      <c r="L42" s="50">
        <f>VLOOKUP($A42,'Data shares'!$C:$FB,118)</f>
        <v>0.53</v>
      </c>
      <c r="M42" s="50">
        <f>VLOOKUP($A42,'Data shares'!$C:$FB,119)</f>
        <v>0.53</v>
      </c>
      <c r="N42" s="50">
        <f>VLOOKUP($A42,'Data shares'!$C:$FB,121)*100</f>
        <v>0</v>
      </c>
      <c r="O42" s="50">
        <f>VLOOKUP($A42,'Data shares'!$C:$FB,124)</f>
        <v>0.3</v>
      </c>
      <c r="P42" s="50">
        <f>VLOOKUP($A42,'Data shares'!$C:$FB,125)</f>
        <v>0.24</v>
      </c>
      <c r="Q42" s="50">
        <f>VLOOKUP($A42,'Data shares'!$C:$FB,127)*100</f>
        <v>25</v>
      </c>
    </row>
    <row r="43" spans="1:17" x14ac:dyDescent="0.25">
      <c r="A43" s="97" t="str">
        <f>'Data Vlaue (Cr)'!C38</f>
        <v>BSE</v>
      </c>
      <c r="B43" s="140">
        <f>VLOOKUP($A43,'Data shares'!$C:$FB,7)</f>
        <v>2217.9</v>
      </c>
      <c r="C43" s="140">
        <f>VLOOKUP($A43,'Data shares'!$C:$FB,3)</f>
        <v>2230.3000000000002</v>
      </c>
      <c r="D43" s="140">
        <f>VLOOKUP($A43,'Data shares'!$C:$FB,4)</f>
        <v>2107.1</v>
      </c>
      <c r="E43" s="50">
        <f t="shared" si="0"/>
        <v>5.8468985809881007</v>
      </c>
      <c r="F43" s="49">
        <f>VLOOKUP($A43,'Data shares'!$C:$FB,98)</f>
        <v>28260000</v>
      </c>
      <c r="G43" s="49">
        <f>VLOOKUP($A43,'Data shares'!$C:$FB,99)</f>
        <v>27536625</v>
      </c>
      <c r="H43" s="50">
        <f t="shared" si="1"/>
        <v>2.6269559178003838</v>
      </c>
      <c r="I43" s="49">
        <f>VLOOKUP($A43,'Data shares'!$C:$FB,66)</f>
        <v>63988875</v>
      </c>
      <c r="J43" s="49">
        <f>VLOOKUP($A43,'Data shares'!$C:$FB,67)</f>
        <v>17036625</v>
      </c>
      <c r="K43" s="50">
        <f t="shared" si="2"/>
        <v>73.375645375856351</v>
      </c>
      <c r="L43" s="50">
        <f>VLOOKUP($A43,'Data shares'!$C:$FB,118)</f>
        <v>0.95</v>
      </c>
      <c r="M43" s="50">
        <f>VLOOKUP($A43,'Data shares'!$C:$FB,119)</f>
        <v>0.91</v>
      </c>
      <c r="N43" s="50">
        <f>VLOOKUP($A43,'Data shares'!$C:$FB,121)*100</f>
        <v>4.3999999999999995</v>
      </c>
      <c r="O43" s="50">
        <f>VLOOKUP($A43,'Data shares'!$C:$FB,124)</f>
        <v>0.48</v>
      </c>
      <c r="P43" s="50">
        <f>VLOOKUP($A43,'Data shares'!$C:$FB,125)</f>
        <v>0.61</v>
      </c>
      <c r="Q43" s="50">
        <f>VLOOKUP($A43,'Data shares'!$C:$FB,127)*100</f>
        <v>-21.310000000000002</v>
      </c>
    </row>
    <row r="44" spans="1:17" x14ac:dyDescent="0.25">
      <c r="A44" s="97" t="str">
        <f>'Data Vlaue (Cr)'!C39</f>
        <v>CAMS</v>
      </c>
      <c r="B44" s="140">
        <f>VLOOKUP($A44,'Data shares'!$C:$FB,7)</f>
        <v>3825.5</v>
      </c>
      <c r="C44" s="140">
        <f>VLOOKUP($A44,'Data shares'!$C:$FB,3)</f>
        <v>3857.2</v>
      </c>
      <c r="D44" s="140">
        <f>VLOOKUP($A44,'Data shares'!$C:$FB,4)</f>
        <v>3833.5</v>
      </c>
      <c r="E44" s="50">
        <f t="shared" si="0"/>
        <v>0.61823398982652455</v>
      </c>
      <c r="F44" s="49">
        <f>VLOOKUP($A44,'Data shares'!$C:$FB,98)</f>
        <v>2960850</v>
      </c>
      <c r="G44" s="49">
        <f>VLOOKUP($A44,'Data shares'!$C:$FB,99)</f>
        <v>2803200</v>
      </c>
      <c r="H44" s="50">
        <f t="shared" si="1"/>
        <v>5.6239297945205475</v>
      </c>
      <c r="I44" s="49">
        <f>VLOOKUP($A44,'Data shares'!$C:$FB,66)</f>
        <v>1444050</v>
      </c>
      <c r="J44" s="49">
        <f>VLOOKUP($A44,'Data shares'!$C:$FB,67)</f>
        <v>1255050</v>
      </c>
      <c r="K44" s="50">
        <f t="shared" si="2"/>
        <v>13.088189467123716</v>
      </c>
      <c r="L44" s="50">
        <f>VLOOKUP($A44,'Data shares'!$C:$FB,118)</f>
        <v>0.72</v>
      </c>
      <c r="M44" s="50">
        <f>VLOOKUP($A44,'Data shares'!$C:$FB,119)</f>
        <v>0.69</v>
      </c>
      <c r="N44" s="50">
        <f>VLOOKUP($A44,'Data shares'!$C:$FB,121)*100</f>
        <v>4.3499999999999996</v>
      </c>
      <c r="O44" s="50">
        <f>VLOOKUP($A44,'Data shares'!$C:$FB,124)</f>
        <v>0.39</v>
      </c>
      <c r="P44" s="50">
        <f>VLOOKUP($A44,'Data shares'!$C:$FB,125)</f>
        <v>0.35</v>
      </c>
      <c r="Q44" s="50">
        <f>VLOOKUP($A44,'Data shares'!$C:$FB,127)*100</f>
        <v>11.43</v>
      </c>
    </row>
    <row r="45" spans="1:17" x14ac:dyDescent="0.25">
      <c r="A45" s="97" t="str">
        <f>'Data Vlaue (Cr)'!C40</f>
        <v>CANBK</v>
      </c>
      <c r="B45" s="140">
        <f>VLOOKUP($A45,'Data shares'!$C:$FB,7)</f>
        <v>126.76</v>
      </c>
      <c r="C45" s="140">
        <f>VLOOKUP($A45,'Data shares'!$C:$FB,3)</f>
        <v>127.42</v>
      </c>
      <c r="D45" s="140">
        <f>VLOOKUP($A45,'Data shares'!$C:$FB,4)</f>
        <v>126.73</v>
      </c>
      <c r="E45" s="50">
        <f t="shared" si="0"/>
        <v>0.54446460980036115</v>
      </c>
      <c r="F45" s="49">
        <f>VLOOKUP($A45,'Data shares'!$C:$FB,98)</f>
        <v>413106750</v>
      </c>
      <c r="G45" s="49">
        <f>VLOOKUP($A45,'Data shares'!$C:$FB,99)</f>
        <v>401051250</v>
      </c>
      <c r="H45" s="50">
        <f t="shared" si="1"/>
        <v>3.0059749221577041</v>
      </c>
      <c r="I45" s="49">
        <f>VLOOKUP($A45,'Data shares'!$C:$FB,66)</f>
        <v>279105750</v>
      </c>
      <c r="J45" s="49">
        <f>VLOOKUP($A45,'Data shares'!$C:$FB,67)</f>
        <v>357338250</v>
      </c>
      <c r="K45" s="50">
        <f t="shared" si="2"/>
        <v>-28.029698420759875</v>
      </c>
      <c r="L45" s="50">
        <f>VLOOKUP($A45,'Data shares'!$C:$FB,118)</f>
        <v>0.94</v>
      </c>
      <c r="M45" s="50">
        <f>VLOOKUP($A45,'Data shares'!$C:$FB,119)</f>
        <v>0.94</v>
      </c>
      <c r="N45" s="50">
        <f>VLOOKUP($A45,'Data shares'!$C:$FB,121)*100</f>
        <v>0</v>
      </c>
      <c r="O45" s="50">
        <f>VLOOKUP($A45,'Data shares'!$C:$FB,124)</f>
        <v>0.51</v>
      </c>
      <c r="P45" s="50">
        <f>VLOOKUP($A45,'Data shares'!$C:$FB,125)</f>
        <v>0.53</v>
      </c>
      <c r="Q45" s="50">
        <f>VLOOKUP($A45,'Data shares'!$C:$FB,127)*100</f>
        <v>-3.7699999999999996</v>
      </c>
    </row>
    <row r="46" spans="1:17" x14ac:dyDescent="0.25">
      <c r="A46" s="97" t="str">
        <f>'Data Vlaue (Cr)'!C41</f>
        <v>CDSL</v>
      </c>
      <c r="B46" s="140">
        <f>VLOOKUP($A46,'Data shares'!$C:$FB,7)</f>
        <v>1524.9</v>
      </c>
      <c r="C46" s="140">
        <f>VLOOKUP($A46,'Data shares'!$C:$FB,3)</f>
        <v>1529.3</v>
      </c>
      <c r="D46" s="140">
        <f>VLOOKUP($A46,'Data shares'!$C:$FB,4)</f>
        <v>1497.2</v>
      </c>
      <c r="E46" s="50">
        <f t="shared" si="0"/>
        <v>2.1440021373229969</v>
      </c>
      <c r="F46" s="49">
        <f>VLOOKUP($A46,'Data shares'!$C:$FB,98)</f>
        <v>16349975</v>
      </c>
      <c r="G46" s="49">
        <f>VLOOKUP($A46,'Data shares'!$C:$FB,99)</f>
        <v>15795175</v>
      </c>
      <c r="H46" s="50">
        <f t="shared" si="1"/>
        <v>3.5124650407482036</v>
      </c>
      <c r="I46" s="49">
        <f>VLOOKUP($A46,'Data shares'!$C:$FB,66)</f>
        <v>18374425</v>
      </c>
      <c r="J46" s="49">
        <f>VLOOKUP($A46,'Data shares'!$C:$FB,67)</f>
        <v>7883100</v>
      </c>
      <c r="K46" s="50">
        <f t="shared" si="2"/>
        <v>57.097432980896002</v>
      </c>
      <c r="L46" s="50">
        <f>VLOOKUP($A46,'Data shares'!$C:$FB,118)</f>
        <v>0.72</v>
      </c>
      <c r="M46" s="50">
        <f>VLOOKUP($A46,'Data shares'!$C:$FB,119)</f>
        <v>0.73</v>
      </c>
      <c r="N46" s="50">
        <f>VLOOKUP($A46,'Data shares'!$C:$FB,121)*100</f>
        <v>-1.37</v>
      </c>
      <c r="O46" s="50">
        <f>VLOOKUP($A46,'Data shares'!$C:$FB,124)</f>
        <v>0.34</v>
      </c>
      <c r="P46" s="50">
        <f>VLOOKUP($A46,'Data shares'!$C:$FB,125)</f>
        <v>0.41</v>
      </c>
      <c r="Q46" s="50">
        <f>VLOOKUP($A46,'Data shares'!$C:$FB,127)*100</f>
        <v>-17.07</v>
      </c>
    </row>
    <row r="47" spans="1:17" x14ac:dyDescent="0.25">
      <c r="A47" s="97" t="str">
        <f>'Data Vlaue (Cr)'!C42</f>
        <v>CGPOWER</v>
      </c>
      <c r="B47" s="140">
        <f>VLOOKUP($A47,'Data shares'!$C:$FB,7)</f>
        <v>745.4</v>
      </c>
      <c r="C47" s="140">
        <f>VLOOKUP($A47,'Data shares'!$C:$FB,3)</f>
        <v>749.95</v>
      </c>
      <c r="D47" s="140">
        <f>VLOOKUP($A47,'Data shares'!$C:$FB,4)</f>
        <v>750.6</v>
      </c>
      <c r="E47" s="50">
        <f t="shared" si="0"/>
        <v>-8.6597388755659102E-2</v>
      </c>
      <c r="F47" s="49">
        <f>VLOOKUP($A47,'Data shares'!$C:$FB,98)</f>
        <v>24307450</v>
      </c>
      <c r="G47" s="49">
        <f>VLOOKUP($A47,'Data shares'!$C:$FB,99)</f>
        <v>23689500</v>
      </c>
      <c r="H47" s="50">
        <f t="shared" si="1"/>
        <v>2.6085396483674201</v>
      </c>
      <c r="I47" s="49">
        <f>VLOOKUP($A47,'Data shares'!$C:$FB,66)</f>
        <v>5378800</v>
      </c>
      <c r="J47" s="49">
        <f>VLOOKUP($A47,'Data shares'!$C:$FB,67)</f>
        <v>6229650</v>
      </c>
      <c r="K47" s="50">
        <f t="shared" si="2"/>
        <v>-15.81858407079646</v>
      </c>
      <c r="L47" s="50">
        <f>VLOOKUP($A47,'Data shares'!$C:$FB,118)</f>
        <v>0.59</v>
      </c>
      <c r="M47" s="50">
        <f>VLOOKUP($A47,'Data shares'!$C:$FB,119)</f>
        <v>0.61</v>
      </c>
      <c r="N47" s="50">
        <f>VLOOKUP($A47,'Data shares'!$C:$FB,121)*100</f>
        <v>-3.2800000000000002</v>
      </c>
      <c r="O47" s="50">
        <f>VLOOKUP($A47,'Data shares'!$C:$FB,124)</f>
        <v>0.2</v>
      </c>
      <c r="P47" s="50">
        <f>VLOOKUP($A47,'Data shares'!$C:$FB,125)</f>
        <v>0.23</v>
      </c>
      <c r="Q47" s="50">
        <f>VLOOKUP($A47,'Data shares'!$C:$FB,127)*100</f>
        <v>-13.04</v>
      </c>
    </row>
    <row r="48" spans="1:17" x14ac:dyDescent="0.25">
      <c r="A48" s="97" t="str">
        <f>'Data Vlaue (Cr)'!C43</f>
        <v>CHOLAFIN</v>
      </c>
      <c r="B48" s="140">
        <f>VLOOKUP($A48,'Data shares'!$C:$FB,7)</f>
        <v>1634.1</v>
      </c>
      <c r="C48" s="140">
        <f>VLOOKUP($A48,'Data shares'!$C:$FB,3)</f>
        <v>1620.4</v>
      </c>
      <c r="D48" s="140">
        <f>VLOOKUP($A48,'Data shares'!$C:$FB,4)</f>
        <v>1566.2</v>
      </c>
      <c r="E48" s="50">
        <f t="shared" si="0"/>
        <v>3.4606052866811421</v>
      </c>
      <c r="F48" s="49">
        <f>VLOOKUP($A48,'Data shares'!$C:$FB,98)</f>
        <v>18148750</v>
      </c>
      <c r="G48" s="49">
        <f>VLOOKUP($A48,'Data shares'!$C:$FB,99)</f>
        <v>18015000</v>
      </c>
      <c r="H48" s="50">
        <f t="shared" si="1"/>
        <v>0.74243685817374405</v>
      </c>
      <c r="I48" s="49">
        <f>VLOOKUP($A48,'Data shares'!$C:$FB,66)</f>
        <v>14715625</v>
      </c>
      <c r="J48" s="49">
        <f>VLOOKUP($A48,'Data shares'!$C:$FB,67)</f>
        <v>9516250</v>
      </c>
      <c r="K48" s="50">
        <f t="shared" si="2"/>
        <v>35.332342323210874</v>
      </c>
      <c r="L48" s="50">
        <f>VLOOKUP($A48,'Data shares'!$C:$FB,118)</f>
        <v>0.81</v>
      </c>
      <c r="M48" s="50">
        <f>VLOOKUP($A48,'Data shares'!$C:$FB,119)</f>
        <v>0.8</v>
      </c>
      <c r="N48" s="50">
        <f>VLOOKUP($A48,'Data shares'!$C:$FB,121)*100</f>
        <v>1.25</v>
      </c>
      <c r="O48" s="50">
        <f>VLOOKUP($A48,'Data shares'!$C:$FB,124)</f>
        <v>0.42</v>
      </c>
      <c r="P48" s="50">
        <f>VLOOKUP($A48,'Data shares'!$C:$FB,125)</f>
        <v>0.59</v>
      </c>
      <c r="Q48" s="50">
        <f>VLOOKUP($A48,'Data shares'!$C:$FB,127)*100</f>
        <v>-28.810000000000002</v>
      </c>
    </row>
    <row r="49" spans="1:17" x14ac:dyDescent="0.25">
      <c r="A49" s="97" t="str">
        <f>'Data Vlaue (Cr)'!C44</f>
        <v>CIPLA</v>
      </c>
      <c r="B49" s="140">
        <f>VLOOKUP($A49,'Data shares'!$C:$FB,7)</f>
        <v>1513.1</v>
      </c>
      <c r="C49" s="140">
        <f>VLOOKUP($A49,'Data shares'!$C:$FB,3)</f>
        <v>1522.1</v>
      </c>
      <c r="D49" s="140">
        <f>VLOOKUP($A49,'Data shares'!$C:$FB,4)</f>
        <v>1523.7</v>
      </c>
      <c r="E49" s="50">
        <f t="shared" si="0"/>
        <v>-0.10500754741747957</v>
      </c>
      <c r="F49" s="49">
        <f>VLOOKUP($A49,'Data shares'!$C:$FB,98)</f>
        <v>15394875</v>
      </c>
      <c r="G49" s="49">
        <f>VLOOKUP($A49,'Data shares'!$C:$FB,99)</f>
        <v>14830500</v>
      </c>
      <c r="H49" s="50">
        <f t="shared" si="1"/>
        <v>3.8055021745726711</v>
      </c>
      <c r="I49" s="49">
        <f>VLOOKUP($A49,'Data shares'!$C:$FB,66)</f>
        <v>4946250</v>
      </c>
      <c r="J49" s="49">
        <f>VLOOKUP($A49,'Data shares'!$C:$FB,67)</f>
        <v>4588875</v>
      </c>
      <c r="K49" s="50">
        <f t="shared" si="2"/>
        <v>7.2251705837755882</v>
      </c>
      <c r="L49" s="50">
        <f>VLOOKUP($A49,'Data shares'!$C:$FB,118)</f>
        <v>0.75</v>
      </c>
      <c r="M49" s="50">
        <f>VLOOKUP($A49,'Data shares'!$C:$FB,119)</f>
        <v>0.91</v>
      </c>
      <c r="N49" s="50">
        <f>VLOOKUP($A49,'Data shares'!$C:$FB,121)*100</f>
        <v>-17.580000000000002</v>
      </c>
      <c r="O49" s="50">
        <f>VLOOKUP($A49,'Data shares'!$C:$FB,124)</f>
        <v>0.61</v>
      </c>
      <c r="P49" s="50">
        <f>VLOOKUP($A49,'Data shares'!$C:$FB,125)</f>
        <v>0.6</v>
      </c>
      <c r="Q49" s="50">
        <f>VLOOKUP($A49,'Data shares'!$C:$FB,127)*100</f>
        <v>1.67</v>
      </c>
    </row>
    <row r="50" spans="1:17" x14ac:dyDescent="0.25">
      <c r="A50" s="97" t="str">
        <f>'Data Vlaue (Cr)'!C45</f>
        <v>COALINDIA</v>
      </c>
      <c r="B50" s="140">
        <f>VLOOKUP($A50,'Data shares'!$C:$FB,7)</f>
        <v>381.9</v>
      </c>
      <c r="C50" s="140">
        <f>VLOOKUP($A50,'Data shares'!$C:$FB,3)</f>
        <v>384.2</v>
      </c>
      <c r="D50" s="140">
        <f>VLOOKUP($A50,'Data shares'!$C:$FB,4)</f>
        <v>384.9</v>
      </c>
      <c r="E50" s="50">
        <f t="shared" si="0"/>
        <v>-0.18186541958950081</v>
      </c>
      <c r="F50" s="49">
        <f>VLOOKUP($A50,'Data shares'!$C:$FB,98)</f>
        <v>112428000</v>
      </c>
      <c r="G50" s="49">
        <f>VLOOKUP($A50,'Data shares'!$C:$FB,99)</f>
        <v>107796150</v>
      </c>
      <c r="H50" s="50">
        <f t="shared" si="1"/>
        <v>4.2968603238612877</v>
      </c>
      <c r="I50" s="49">
        <f>VLOOKUP($A50,'Data shares'!$C:$FB,66)</f>
        <v>34678800</v>
      </c>
      <c r="J50" s="49">
        <f>VLOOKUP($A50,'Data shares'!$C:$FB,67)</f>
        <v>60710850</v>
      </c>
      <c r="K50" s="50">
        <f t="shared" si="2"/>
        <v>-75.066178760510752</v>
      </c>
      <c r="L50" s="50">
        <f>VLOOKUP($A50,'Data shares'!$C:$FB,118)</f>
        <v>0.72</v>
      </c>
      <c r="M50" s="50">
        <f>VLOOKUP($A50,'Data shares'!$C:$FB,119)</f>
        <v>0.78</v>
      </c>
      <c r="N50" s="50">
        <f>VLOOKUP($A50,'Data shares'!$C:$FB,121)*100</f>
        <v>-7.6899999999999995</v>
      </c>
      <c r="O50" s="50">
        <f>VLOOKUP($A50,'Data shares'!$C:$FB,124)</f>
        <v>0.38</v>
      </c>
      <c r="P50" s="50">
        <f>VLOOKUP($A50,'Data shares'!$C:$FB,125)</f>
        <v>0.48</v>
      </c>
      <c r="Q50" s="50">
        <f>VLOOKUP($A50,'Data shares'!$C:$FB,127)*100</f>
        <v>-20.830000000000002</v>
      </c>
    </row>
    <row r="51" spans="1:17" x14ac:dyDescent="0.25">
      <c r="A51" s="97" t="str">
        <f>'Data Vlaue (Cr)'!C46</f>
        <v>COFORGE</v>
      </c>
      <c r="B51" s="140">
        <f>VLOOKUP($A51,'Data shares'!$C:$FB,7)</f>
        <v>1662.4</v>
      </c>
      <c r="C51" s="140">
        <f>VLOOKUP($A51,'Data shares'!$C:$FB,3)</f>
        <v>1668.5</v>
      </c>
      <c r="D51" s="140">
        <f>VLOOKUP($A51,'Data shares'!$C:$FB,4)</f>
        <v>1619</v>
      </c>
      <c r="E51" s="50">
        <f t="shared" si="0"/>
        <v>3.0574428659666459</v>
      </c>
      <c r="F51" s="49">
        <f>VLOOKUP($A51,'Data shares'!$C:$FB,98)</f>
        <v>19674000</v>
      </c>
      <c r="G51" s="49">
        <f>VLOOKUP($A51,'Data shares'!$C:$FB,99)</f>
        <v>19698000</v>
      </c>
      <c r="H51" s="50">
        <f t="shared" si="1"/>
        <v>-0.12183978068839477</v>
      </c>
      <c r="I51" s="49">
        <f>VLOOKUP($A51,'Data shares'!$C:$FB,66)</f>
        <v>15207375</v>
      </c>
      <c r="J51" s="49">
        <f>VLOOKUP($A51,'Data shares'!$C:$FB,67)</f>
        <v>7171875</v>
      </c>
      <c r="K51" s="50">
        <f t="shared" si="2"/>
        <v>52.839493995512044</v>
      </c>
      <c r="L51" s="50">
        <f>VLOOKUP($A51,'Data shares'!$C:$FB,118)</f>
        <v>0.59</v>
      </c>
      <c r="M51" s="50">
        <f>VLOOKUP($A51,'Data shares'!$C:$FB,119)</f>
        <v>0.6</v>
      </c>
      <c r="N51" s="50">
        <f>VLOOKUP($A51,'Data shares'!$C:$FB,121)*100</f>
        <v>-1.67</v>
      </c>
      <c r="O51" s="50">
        <f>VLOOKUP($A51,'Data shares'!$C:$FB,124)</f>
        <v>0.4</v>
      </c>
      <c r="P51" s="50">
        <f>VLOOKUP($A51,'Data shares'!$C:$FB,125)</f>
        <v>0.45</v>
      </c>
      <c r="Q51" s="50">
        <f>VLOOKUP($A51,'Data shares'!$C:$FB,127)*100</f>
        <v>-11.110000000000001</v>
      </c>
    </row>
    <row r="52" spans="1:17" x14ac:dyDescent="0.25">
      <c r="A52" s="97" t="str">
        <f>'Data Vlaue (Cr)'!C47</f>
        <v>COLPAL</v>
      </c>
      <c r="B52" s="140">
        <f>VLOOKUP($A52,'Data shares'!$C:$FB,7)</f>
        <v>2228.8000000000002</v>
      </c>
      <c r="C52" s="140">
        <f>VLOOKUP($A52,'Data shares'!$C:$FB,3)</f>
        <v>2243.6</v>
      </c>
      <c r="D52" s="140">
        <f>VLOOKUP($A52,'Data shares'!$C:$FB,4)</f>
        <v>2226.4</v>
      </c>
      <c r="E52" s="50">
        <f t="shared" si="0"/>
        <v>0.77254761049226628</v>
      </c>
      <c r="F52" s="49">
        <f>VLOOKUP($A52,'Data shares'!$C:$FB,98)</f>
        <v>7889625</v>
      </c>
      <c r="G52" s="49">
        <f>VLOOKUP($A52,'Data shares'!$C:$FB,99)</f>
        <v>7876350</v>
      </c>
      <c r="H52" s="50">
        <f t="shared" si="1"/>
        <v>0.16854253556533166</v>
      </c>
      <c r="I52" s="49">
        <f>VLOOKUP($A52,'Data shares'!$C:$FB,66)</f>
        <v>2433375</v>
      </c>
      <c r="J52" s="49">
        <f>VLOOKUP($A52,'Data shares'!$C:$FB,67)</f>
        <v>2793375</v>
      </c>
      <c r="K52" s="50">
        <f t="shared" si="2"/>
        <v>-14.794267221451687</v>
      </c>
      <c r="L52" s="50">
        <f>VLOOKUP($A52,'Data shares'!$C:$FB,118)</f>
        <v>0.79</v>
      </c>
      <c r="M52" s="50">
        <f>VLOOKUP($A52,'Data shares'!$C:$FB,119)</f>
        <v>0.78</v>
      </c>
      <c r="N52" s="50">
        <f>VLOOKUP($A52,'Data shares'!$C:$FB,121)*100</f>
        <v>1.28</v>
      </c>
      <c r="O52" s="50">
        <f>VLOOKUP($A52,'Data shares'!$C:$FB,124)</f>
        <v>0.2</v>
      </c>
      <c r="P52" s="50">
        <f>VLOOKUP($A52,'Data shares'!$C:$FB,125)</f>
        <v>0.36</v>
      </c>
      <c r="Q52" s="50">
        <f>VLOOKUP($A52,'Data shares'!$C:$FB,127)*100</f>
        <v>-44.440000000000005</v>
      </c>
    </row>
    <row r="53" spans="1:17" x14ac:dyDescent="0.25">
      <c r="A53" s="97" t="str">
        <f>'Data Vlaue (Cr)'!C48</f>
        <v>CONCOR</v>
      </c>
      <c r="B53" s="140">
        <f>VLOOKUP($A53,'Data shares'!$C:$FB,7)</f>
        <v>532.15</v>
      </c>
      <c r="C53" s="140">
        <f>VLOOKUP($A53,'Data shares'!$C:$FB,3)</f>
        <v>534</v>
      </c>
      <c r="D53" s="140">
        <f>VLOOKUP($A53,'Data shares'!$C:$FB,4)</f>
        <v>535.6</v>
      </c>
      <c r="E53" s="50">
        <f t="shared" si="0"/>
        <v>-0.29873039581777866</v>
      </c>
      <c r="F53" s="49">
        <f>VLOOKUP($A53,'Data shares'!$C:$FB,98)</f>
        <v>39386250</v>
      </c>
      <c r="G53" s="49">
        <f>VLOOKUP($A53,'Data shares'!$C:$FB,99)</f>
        <v>37810000</v>
      </c>
      <c r="H53" s="50">
        <f t="shared" si="1"/>
        <v>4.1688706691351491</v>
      </c>
      <c r="I53" s="49">
        <f>VLOOKUP($A53,'Data shares'!$C:$FB,66)</f>
        <v>9037500</v>
      </c>
      <c r="J53" s="49">
        <f>VLOOKUP($A53,'Data shares'!$C:$FB,67)</f>
        <v>13155000</v>
      </c>
      <c r="K53" s="50">
        <f t="shared" si="2"/>
        <v>-45.560165975103736</v>
      </c>
      <c r="L53" s="50">
        <f>VLOOKUP($A53,'Data shares'!$C:$FB,118)</f>
        <v>0.8</v>
      </c>
      <c r="M53" s="50">
        <f>VLOOKUP($A53,'Data shares'!$C:$FB,119)</f>
        <v>0.83</v>
      </c>
      <c r="N53" s="50">
        <f>VLOOKUP($A53,'Data shares'!$C:$FB,121)*100</f>
        <v>-3.61</v>
      </c>
      <c r="O53" s="50">
        <f>VLOOKUP($A53,'Data shares'!$C:$FB,124)</f>
        <v>0.37</v>
      </c>
      <c r="P53" s="50">
        <f>VLOOKUP($A53,'Data shares'!$C:$FB,125)</f>
        <v>0.36</v>
      </c>
      <c r="Q53" s="50">
        <f>VLOOKUP($A53,'Data shares'!$C:$FB,127)*100</f>
        <v>2.78</v>
      </c>
    </row>
    <row r="54" spans="1:17" x14ac:dyDescent="0.25">
      <c r="A54" s="97" t="str">
        <f>'Data Vlaue (Cr)'!C49</f>
        <v>CROMPTON</v>
      </c>
      <c r="B54" s="140">
        <f>VLOOKUP($A54,'Data shares'!$C:$FB,7)</f>
        <v>289.05</v>
      </c>
      <c r="C54" s="140">
        <f>VLOOKUP($A54,'Data shares'!$C:$FB,3)</f>
        <v>290.8</v>
      </c>
      <c r="D54" s="140">
        <f>VLOOKUP($A54,'Data shares'!$C:$FB,4)</f>
        <v>296.39999999999998</v>
      </c>
      <c r="E54" s="50">
        <f t="shared" si="0"/>
        <v>-1.8893387314439833</v>
      </c>
      <c r="F54" s="49">
        <f>VLOOKUP($A54,'Data shares'!$C:$FB,98)</f>
        <v>69708600</v>
      </c>
      <c r="G54" s="49">
        <f>VLOOKUP($A54,'Data shares'!$C:$FB,99)</f>
        <v>65073600</v>
      </c>
      <c r="H54" s="50">
        <f t="shared" si="1"/>
        <v>7.1227041380836464</v>
      </c>
      <c r="I54" s="49">
        <f>VLOOKUP($A54,'Data shares'!$C:$FB,66)</f>
        <v>21603600</v>
      </c>
      <c r="J54" s="49">
        <f>VLOOKUP($A54,'Data shares'!$C:$FB,67)</f>
        <v>9624600</v>
      </c>
      <c r="K54" s="50">
        <f t="shared" si="2"/>
        <v>55.449091818030325</v>
      </c>
      <c r="L54" s="50">
        <f>VLOOKUP($A54,'Data shares'!$C:$FB,118)</f>
        <v>0.68</v>
      </c>
      <c r="M54" s="50">
        <f>VLOOKUP($A54,'Data shares'!$C:$FB,119)</f>
        <v>0.76</v>
      </c>
      <c r="N54" s="50">
        <f>VLOOKUP($A54,'Data shares'!$C:$FB,121)*100</f>
        <v>-10.530000000000001</v>
      </c>
      <c r="O54" s="50">
        <f>VLOOKUP($A54,'Data shares'!$C:$FB,124)</f>
        <v>0.35</v>
      </c>
      <c r="P54" s="50">
        <f>VLOOKUP($A54,'Data shares'!$C:$FB,125)</f>
        <v>0.38</v>
      </c>
      <c r="Q54" s="50">
        <f>VLOOKUP($A54,'Data shares'!$C:$FB,127)*100</f>
        <v>-7.89</v>
      </c>
    </row>
    <row r="55" spans="1:17" x14ac:dyDescent="0.25">
      <c r="A55" s="97" t="str">
        <f>'Data Vlaue (Cr)'!C50</f>
        <v>CUMMINSIND</v>
      </c>
      <c r="B55" s="140">
        <f>VLOOKUP($A55,'Data shares'!$C:$FB,7)</f>
        <v>3943</v>
      </c>
      <c r="C55" s="140">
        <f>VLOOKUP($A55,'Data shares'!$C:$FB,3)</f>
        <v>3966.2</v>
      </c>
      <c r="D55" s="140">
        <f>VLOOKUP($A55,'Data shares'!$C:$FB,4)</f>
        <v>3936</v>
      </c>
      <c r="E55" s="50">
        <f t="shared" si="0"/>
        <v>0.76727642276422303</v>
      </c>
      <c r="F55" s="49">
        <f>VLOOKUP($A55,'Data shares'!$C:$FB,98)</f>
        <v>4047200</v>
      </c>
      <c r="G55" s="49">
        <f>VLOOKUP($A55,'Data shares'!$C:$FB,99)</f>
        <v>3975400</v>
      </c>
      <c r="H55" s="50">
        <f t="shared" si="1"/>
        <v>1.8061075615032447</v>
      </c>
      <c r="I55" s="49">
        <f>VLOOKUP($A55,'Data shares'!$C:$FB,66)</f>
        <v>1508800</v>
      </c>
      <c r="J55" s="49">
        <f>VLOOKUP($A55,'Data shares'!$C:$FB,67)</f>
        <v>1943800</v>
      </c>
      <c r="K55" s="50">
        <f t="shared" si="2"/>
        <v>-28.830858960763521</v>
      </c>
      <c r="L55" s="50">
        <f>VLOOKUP($A55,'Data shares'!$C:$FB,118)</f>
        <v>0.78</v>
      </c>
      <c r="M55" s="50">
        <f>VLOOKUP($A55,'Data shares'!$C:$FB,119)</f>
        <v>0.85</v>
      </c>
      <c r="N55" s="50">
        <f>VLOOKUP($A55,'Data shares'!$C:$FB,121)*100</f>
        <v>-8.24</v>
      </c>
      <c r="O55" s="50">
        <f>VLOOKUP($A55,'Data shares'!$C:$FB,124)</f>
        <v>0.34</v>
      </c>
      <c r="P55" s="50">
        <f>VLOOKUP($A55,'Data shares'!$C:$FB,125)</f>
        <v>0.33</v>
      </c>
      <c r="Q55" s="50">
        <f>VLOOKUP($A55,'Data shares'!$C:$FB,127)*100</f>
        <v>3.0300000000000002</v>
      </c>
    </row>
    <row r="56" spans="1:17" x14ac:dyDescent="0.25">
      <c r="A56" s="97" t="str">
        <f>'Data Vlaue (Cr)'!C51</f>
        <v>CYIENT</v>
      </c>
      <c r="B56" s="140">
        <f>VLOOKUP($A56,'Data shares'!$C:$FB,7)</f>
        <v>1180.5999999999999</v>
      </c>
      <c r="C56" s="140">
        <f>VLOOKUP($A56,'Data shares'!$C:$FB,3)</f>
        <v>1185.2</v>
      </c>
      <c r="D56" s="140">
        <f>VLOOKUP($A56,'Data shares'!$C:$FB,4)</f>
        <v>1170.3</v>
      </c>
      <c r="E56" s="50">
        <f t="shared" si="0"/>
        <v>1.2731778176536008</v>
      </c>
      <c r="F56" s="49">
        <f>VLOOKUP($A56,'Data shares'!$C:$FB,98)</f>
        <v>5790200</v>
      </c>
      <c r="G56" s="49">
        <f>VLOOKUP($A56,'Data shares'!$C:$FB,99)</f>
        <v>5286150</v>
      </c>
      <c r="H56" s="50">
        <f t="shared" si="1"/>
        <v>9.5352950635150346</v>
      </c>
      <c r="I56" s="49">
        <f>VLOOKUP($A56,'Data shares'!$C:$FB,66)</f>
        <v>3958450</v>
      </c>
      <c r="J56" s="49">
        <f>VLOOKUP($A56,'Data shares'!$C:$FB,67)</f>
        <v>2015775</v>
      </c>
      <c r="K56" s="50">
        <f t="shared" si="2"/>
        <v>49.07665879321452</v>
      </c>
      <c r="L56" s="50">
        <f>VLOOKUP($A56,'Data shares'!$C:$FB,118)</f>
        <v>0.61</v>
      </c>
      <c r="M56" s="50">
        <f>VLOOKUP($A56,'Data shares'!$C:$FB,119)</f>
        <v>0.61</v>
      </c>
      <c r="N56" s="50">
        <f>VLOOKUP($A56,'Data shares'!$C:$FB,121)*100</f>
        <v>0</v>
      </c>
      <c r="O56" s="50">
        <f>VLOOKUP($A56,'Data shares'!$C:$FB,124)</f>
        <v>0.21</v>
      </c>
      <c r="P56" s="50">
        <f>VLOOKUP($A56,'Data shares'!$C:$FB,125)</f>
        <v>0.23</v>
      </c>
      <c r="Q56" s="50">
        <f>VLOOKUP($A56,'Data shares'!$C:$FB,127)*100</f>
        <v>-8.6999999999999993</v>
      </c>
    </row>
    <row r="57" spans="1:17" x14ac:dyDescent="0.25">
      <c r="A57" s="97" t="str">
        <f>'Data Vlaue (Cr)'!C52</f>
        <v>DABUR</v>
      </c>
      <c r="B57" s="140">
        <f>VLOOKUP($A57,'Data shares'!$C:$FB,7)</f>
        <v>493.35</v>
      </c>
      <c r="C57" s="140">
        <f>VLOOKUP($A57,'Data shares'!$C:$FB,3)</f>
        <v>496.35</v>
      </c>
      <c r="D57" s="140">
        <f>VLOOKUP($A57,'Data shares'!$C:$FB,4)</f>
        <v>499.5</v>
      </c>
      <c r="E57" s="50">
        <f t="shared" si="0"/>
        <v>-0.63063063063062608</v>
      </c>
      <c r="F57" s="49">
        <f>VLOOKUP($A57,'Data shares'!$C:$FB,98)</f>
        <v>44995000</v>
      </c>
      <c r="G57" s="49">
        <f>VLOOKUP($A57,'Data shares'!$C:$FB,99)</f>
        <v>43092500</v>
      </c>
      <c r="H57" s="50">
        <f t="shared" si="1"/>
        <v>4.4149213900330686</v>
      </c>
      <c r="I57" s="49">
        <f>VLOOKUP($A57,'Data shares'!$C:$FB,66)</f>
        <v>13187500</v>
      </c>
      <c r="J57" s="49">
        <f>VLOOKUP($A57,'Data shares'!$C:$FB,67)</f>
        <v>15616250</v>
      </c>
      <c r="K57" s="50">
        <f t="shared" si="2"/>
        <v>-18.417061611374407</v>
      </c>
      <c r="L57" s="50">
        <f>VLOOKUP($A57,'Data shares'!$C:$FB,118)</f>
        <v>0.51</v>
      </c>
      <c r="M57" s="50">
        <f>VLOOKUP($A57,'Data shares'!$C:$FB,119)</f>
        <v>0.55000000000000004</v>
      </c>
      <c r="N57" s="50">
        <f>VLOOKUP($A57,'Data shares'!$C:$FB,121)*100</f>
        <v>-7.2700000000000005</v>
      </c>
      <c r="O57" s="50">
        <f>VLOOKUP($A57,'Data shares'!$C:$FB,124)</f>
        <v>0.39</v>
      </c>
      <c r="P57" s="50">
        <f>VLOOKUP($A57,'Data shares'!$C:$FB,125)</f>
        <v>0.32</v>
      </c>
      <c r="Q57" s="50">
        <f>VLOOKUP($A57,'Data shares'!$C:$FB,127)*100</f>
        <v>21.88</v>
      </c>
    </row>
    <row r="58" spans="1:17" x14ac:dyDescent="0.25">
      <c r="A58" s="97" t="str">
        <f>'Data Vlaue (Cr)'!C53</f>
        <v>DALBHARAT</v>
      </c>
      <c r="B58" s="140">
        <f>VLOOKUP($A58,'Data shares'!$C:$FB,7)</f>
        <v>2251.1999999999998</v>
      </c>
      <c r="C58" s="140">
        <f>VLOOKUP($A58,'Data shares'!$C:$FB,3)</f>
        <v>2264</v>
      </c>
      <c r="D58" s="140">
        <f>VLOOKUP($A58,'Data shares'!$C:$FB,4)</f>
        <v>2269.1</v>
      </c>
      <c r="E58" s="50">
        <f t="shared" si="0"/>
        <v>-0.22475871490899077</v>
      </c>
      <c r="F58" s="49">
        <f>VLOOKUP($A58,'Data shares'!$C:$FB,98)</f>
        <v>2843750</v>
      </c>
      <c r="G58" s="49">
        <f>VLOOKUP($A58,'Data shares'!$C:$FB,99)</f>
        <v>2787200</v>
      </c>
      <c r="H58" s="50">
        <f t="shared" si="1"/>
        <v>2.028917910447761</v>
      </c>
      <c r="I58" s="49">
        <f>VLOOKUP($A58,'Data shares'!$C:$FB,66)</f>
        <v>665275</v>
      </c>
      <c r="J58" s="49">
        <f>VLOOKUP($A58,'Data shares'!$C:$FB,67)</f>
        <v>1411475</v>
      </c>
      <c r="K58" s="50">
        <f t="shared" si="2"/>
        <v>-112.16414264777723</v>
      </c>
      <c r="L58" s="50">
        <f>VLOOKUP($A58,'Data shares'!$C:$FB,118)</f>
        <v>0.51</v>
      </c>
      <c r="M58" s="50">
        <f>VLOOKUP($A58,'Data shares'!$C:$FB,119)</f>
        <v>0.52</v>
      </c>
      <c r="N58" s="50">
        <f>VLOOKUP($A58,'Data shares'!$C:$FB,121)*100</f>
        <v>-1.92</v>
      </c>
      <c r="O58" s="50">
        <f>VLOOKUP($A58,'Data shares'!$C:$FB,124)</f>
        <v>0.3</v>
      </c>
      <c r="P58" s="50">
        <f>VLOOKUP($A58,'Data shares'!$C:$FB,125)</f>
        <v>1.22</v>
      </c>
      <c r="Q58" s="50">
        <f>VLOOKUP($A58,'Data shares'!$C:$FB,127)*100</f>
        <v>-75.41</v>
      </c>
    </row>
    <row r="59" spans="1:17" x14ac:dyDescent="0.25">
      <c r="A59" s="97" t="str">
        <f>'Data Vlaue (Cr)'!C54</f>
        <v>DELHIVERY</v>
      </c>
      <c r="B59" s="140">
        <f>VLOOKUP($A59,'Data shares'!$C:$FB,7)</f>
        <v>462.6</v>
      </c>
      <c r="C59" s="140">
        <f>VLOOKUP($A59,'Data shares'!$C:$FB,3)</f>
        <v>465.1</v>
      </c>
      <c r="D59" s="140">
        <f>VLOOKUP($A59,'Data shares'!$C:$FB,4)</f>
        <v>440.3</v>
      </c>
      <c r="E59" s="50">
        <f t="shared" si="0"/>
        <v>5.6325232795821059</v>
      </c>
      <c r="F59" s="49">
        <f>VLOOKUP($A59,'Data shares'!$C:$FB,98)</f>
        <v>29303150</v>
      </c>
      <c r="G59" s="49">
        <f>VLOOKUP($A59,'Data shares'!$C:$FB,99)</f>
        <v>25460250</v>
      </c>
      <c r="H59" s="50">
        <f t="shared" si="1"/>
        <v>15.093724531377342</v>
      </c>
      <c r="I59" s="49">
        <f>VLOOKUP($A59,'Data shares'!$C:$FB,66)</f>
        <v>68860950</v>
      </c>
      <c r="J59" s="49">
        <f>VLOOKUP($A59,'Data shares'!$C:$FB,67)</f>
        <v>34088100</v>
      </c>
      <c r="K59" s="50">
        <f t="shared" si="2"/>
        <v>50.497197613451448</v>
      </c>
      <c r="L59" s="50">
        <f>VLOOKUP($A59,'Data shares'!$C:$FB,118)</f>
        <v>0.76</v>
      </c>
      <c r="M59" s="50">
        <f>VLOOKUP($A59,'Data shares'!$C:$FB,119)</f>
        <v>0.56000000000000005</v>
      </c>
      <c r="N59" s="50">
        <f>VLOOKUP($A59,'Data shares'!$C:$FB,121)*100</f>
        <v>35.709999999999994</v>
      </c>
      <c r="O59" s="50">
        <f>VLOOKUP($A59,'Data shares'!$C:$FB,124)</f>
        <v>0.47</v>
      </c>
      <c r="P59" s="50">
        <f>VLOOKUP($A59,'Data shares'!$C:$FB,125)</f>
        <v>0.48</v>
      </c>
      <c r="Q59" s="50">
        <f>VLOOKUP($A59,'Data shares'!$C:$FB,127)*100</f>
        <v>-2.08</v>
      </c>
    </row>
    <row r="60" spans="1:17" x14ac:dyDescent="0.25">
      <c r="A60" s="97" t="str">
        <f>'Data Vlaue (Cr)'!C55</f>
        <v>DIVISLAB</v>
      </c>
      <c r="B60" s="140">
        <f>VLOOKUP($A60,'Data shares'!$C:$FB,7)</f>
        <v>5826.5</v>
      </c>
      <c r="C60" s="140">
        <f>VLOOKUP($A60,'Data shares'!$C:$FB,3)</f>
        <v>5853</v>
      </c>
      <c r="D60" s="140">
        <f>VLOOKUP($A60,'Data shares'!$C:$FB,4)</f>
        <v>5887</v>
      </c>
      <c r="E60" s="50">
        <f t="shared" si="0"/>
        <v>-0.57754374044504841</v>
      </c>
      <c r="F60" s="49">
        <f>VLOOKUP($A60,'Data shares'!$C:$FB,98)</f>
        <v>3929400</v>
      </c>
      <c r="G60" s="49">
        <f>VLOOKUP($A60,'Data shares'!$C:$FB,99)</f>
        <v>3877100</v>
      </c>
      <c r="H60" s="50">
        <f t="shared" si="1"/>
        <v>1.3489463774470609</v>
      </c>
      <c r="I60" s="49">
        <f>VLOOKUP($A60,'Data shares'!$C:$FB,66)</f>
        <v>1278100</v>
      </c>
      <c r="J60" s="49">
        <f>VLOOKUP($A60,'Data shares'!$C:$FB,67)</f>
        <v>2705200</v>
      </c>
      <c r="K60" s="50">
        <f t="shared" si="2"/>
        <v>-111.657929739457</v>
      </c>
      <c r="L60" s="50">
        <f>VLOOKUP($A60,'Data shares'!$C:$FB,118)</f>
        <v>0.6</v>
      </c>
      <c r="M60" s="50">
        <f>VLOOKUP($A60,'Data shares'!$C:$FB,119)</f>
        <v>0.65</v>
      </c>
      <c r="N60" s="50">
        <f>VLOOKUP($A60,'Data shares'!$C:$FB,121)*100</f>
        <v>-7.6899999999999995</v>
      </c>
      <c r="O60" s="50">
        <f>VLOOKUP($A60,'Data shares'!$C:$FB,124)</f>
        <v>0.5</v>
      </c>
      <c r="P60" s="50">
        <f>VLOOKUP($A60,'Data shares'!$C:$FB,125)</f>
        <v>0.31</v>
      </c>
      <c r="Q60" s="50">
        <f>VLOOKUP($A60,'Data shares'!$C:$FB,127)*100</f>
        <v>61.29</v>
      </c>
    </row>
    <row r="61" spans="1:17" x14ac:dyDescent="0.25">
      <c r="A61" s="97" t="str">
        <f>'Data Vlaue (Cr)'!C56</f>
        <v>DIXON</v>
      </c>
      <c r="B61" s="140">
        <f>VLOOKUP($A61,'Data shares'!$C:$FB,7)</f>
        <v>17041</v>
      </c>
      <c r="C61" s="140">
        <f>VLOOKUP($A61,'Data shares'!$C:$FB,3)</f>
        <v>17118</v>
      </c>
      <c r="D61" s="140">
        <f>VLOOKUP($A61,'Data shares'!$C:$FB,4)</f>
        <v>16670</v>
      </c>
      <c r="E61" s="50">
        <f t="shared" si="0"/>
        <v>2.6874625074985001</v>
      </c>
      <c r="F61" s="49">
        <f>VLOOKUP($A61,'Data shares'!$C:$FB,98)</f>
        <v>3183200</v>
      </c>
      <c r="G61" s="49">
        <f>VLOOKUP($A61,'Data shares'!$C:$FB,99)</f>
        <v>3277100</v>
      </c>
      <c r="H61" s="50">
        <f t="shared" si="1"/>
        <v>-2.8653382563852183</v>
      </c>
      <c r="I61" s="49">
        <f>VLOOKUP($A61,'Data shares'!$C:$FB,66)</f>
        <v>4594450</v>
      </c>
      <c r="J61" s="49">
        <f>VLOOKUP($A61,'Data shares'!$C:$FB,67)</f>
        <v>2090500</v>
      </c>
      <c r="K61" s="50">
        <f t="shared" si="2"/>
        <v>54.499450423880994</v>
      </c>
      <c r="L61" s="50">
        <f>VLOOKUP($A61,'Data shares'!$C:$FB,118)</f>
        <v>0.76</v>
      </c>
      <c r="M61" s="50">
        <f>VLOOKUP($A61,'Data shares'!$C:$FB,119)</f>
        <v>0.62</v>
      </c>
      <c r="N61" s="50">
        <f>VLOOKUP($A61,'Data shares'!$C:$FB,121)*100</f>
        <v>22.58</v>
      </c>
      <c r="O61" s="50">
        <f>VLOOKUP($A61,'Data shares'!$C:$FB,124)</f>
        <v>0.42</v>
      </c>
      <c r="P61" s="50">
        <f>VLOOKUP($A61,'Data shares'!$C:$FB,125)</f>
        <v>0.5</v>
      </c>
      <c r="Q61" s="50">
        <f>VLOOKUP($A61,'Data shares'!$C:$FB,127)*100</f>
        <v>-16</v>
      </c>
    </row>
    <row r="62" spans="1:17" x14ac:dyDescent="0.25">
      <c r="A62" s="97" t="str">
        <f>'Data Vlaue (Cr)'!C57</f>
        <v>DLF</v>
      </c>
      <c r="B62" s="140">
        <f>VLOOKUP($A62,'Data shares'!$C:$FB,7)</f>
        <v>735.25</v>
      </c>
      <c r="C62" s="140">
        <f>VLOOKUP($A62,'Data shares'!$C:$FB,3)</f>
        <v>737.65</v>
      </c>
      <c r="D62" s="140">
        <f>VLOOKUP($A62,'Data shares'!$C:$FB,4)</f>
        <v>731.85</v>
      </c>
      <c r="E62" s="50">
        <f t="shared" si="0"/>
        <v>0.79251212680193417</v>
      </c>
      <c r="F62" s="49">
        <f>VLOOKUP($A62,'Data shares'!$C:$FB,98)</f>
        <v>68841300</v>
      </c>
      <c r="G62" s="49">
        <f>VLOOKUP($A62,'Data shares'!$C:$FB,99)</f>
        <v>68121075</v>
      </c>
      <c r="H62" s="50">
        <f t="shared" si="1"/>
        <v>1.0572719235566967</v>
      </c>
      <c r="I62" s="49">
        <f>VLOOKUP($A62,'Data shares'!$C:$FB,66)</f>
        <v>22562925</v>
      </c>
      <c r="J62" s="49">
        <f>VLOOKUP($A62,'Data shares'!$C:$FB,67)</f>
        <v>24471975</v>
      </c>
      <c r="K62" s="50">
        <f t="shared" si="2"/>
        <v>-8.4610040586493103</v>
      </c>
      <c r="L62" s="50">
        <f>VLOOKUP($A62,'Data shares'!$C:$FB,118)</f>
        <v>0.66</v>
      </c>
      <c r="M62" s="50">
        <f>VLOOKUP($A62,'Data shares'!$C:$FB,119)</f>
        <v>0.68</v>
      </c>
      <c r="N62" s="50">
        <f>VLOOKUP($A62,'Data shares'!$C:$FB,121)*100</f>
        <v>-2.94</v>
      </c>
      <c r="O62" s="50">
        <f>VLOOKUP($A62,'Data shares'!$C:$FB,124)</f>
        <v>0.3</v>
      </c>
      <c r="P62" s="50">
        <f>VLOOKUP($A62,'Data shares'!$C:$FB,125)</f>
        <v>0.31</v>
      </c>
      <c r="Q62" s="50">
        <f>VLOOKUP($A62,'Data shares'!$C:$FB,127)*100</f>
        <v>-3.2300000000000004</v>
      </c>
    </row>
    <row r="63" spans="1:17" x14ac:dyDescent="0.25">
      <c r="A63" s="97" t="str">
        <f>'Data Vlaue (Cr)'!C58</f>
        <v>DMART</v>
      </c>
      <c r="B63" s="140">
        <f>VLOOKUP($A63,'Data shares'!$C:$FB,7)</f>
        <v>4301.6000000000004</v>
      </c>
      <c r="C63" s="140">
        <f>VLOOKUP($A63,'Data shares'!$C:$FB,3)</f>
        <v>4312.7</v>
      </c>
      <c r="D63" s="140">
        <f>VLOOKUP($A63,'Data shares'!$C:$FB,4)</f>
        <v>4410.8999999999996</v>
      </c>
      <c r="E63" s="50">
        <f t="shared" si="0"/>
        <v>-2.2263030220589863</v>
      </c>
      <c r="F63" s="49">
        <f>VLOOKUP($A63,'Data shares'!$C:$FB,98)</f>
        <v>8674650</v>
      </c>
      <c r="G63" s="49">
        <f>VLOOKUP($A63,'Data shares'!$C:$FB,99)</f>
        <v>7776150</v>
      </c>
      <c r="H63" s="50">
        <f t="shared" si="1"/>
        <v>11.554561061707915</v>
      </c>
      <c r="I63" s="49">
        <f>VLOOKUP($A63,'Data shares'!$C:$FB,66)</f>
        <v>9982350</v>
      </c>
      <c r="J63" s="49">
        <f>VLOOKUP($A63,'Data shares'!$C:$FB,67)</f>
        <v>3330900</v>
      </c>
      <c r="K63" s="50">
        <f t="shared" si="2"/>
        <v>66.632105666501374</v>
      </c>
      <c r="L63" s="50">
        <f>VLOOKUP($A63,'Data shares'!$C:$FB,118)</f>
        <v>0.62</v>
      </c>
      <c r="M63" s="50">
        <f>VLOOKUP($A63,'Data shares'!$C:$FB,119)</f>
        <v>0.67</v>
      </c>
      <c r="N63" s="50">
        <f>VLOOKUP($A63,'Data shares'!$C:$FB,121)*100</f>
        <v>-7.46</v>
      </c>
      <c r="O63" s="50">
        <f>VLOOKUP($A63,'Data shares'!$C:$FB,124)</f>
        <v>0.62</v>
      </c>
      <c r="P63" s="50">
        <f>VLOOKUP($A63,'Data shares'!$C:$FB,125)</f>
        <v>0.61</v>
      </c>
      <c r="Q63" s="50">
        <f>VLOOKUP($A63,'Data shares'!$C:$FB,127)*100</f>
        <v>1.6400000000000001</v>
      </c>
    </row>
    <row r="64" spans="1:17" x14ac:dyDescent="0.25">
      <c r="A64" s="97" t="str">
        <f>'Data Vlaue (Cr)'!C59</f>
        <v>DRREDDY</v>
      </c>
      <c r="B64" s="140">
        <f>VLOOKUP($A64,'Data shares'!$C:$FB,7)</f>
        <v>1248.5999999999999</v>
      </c>
      <c r="C64" s="140">
        <f>VLOOKUP($A64,'Data shares'!$C:$FB,3)</f>
        <v>1255</v>
      </c>
      <c r="D64" s="140">
        <f>VLOOKUP($A64,'Data shares'!$C:$FB,4)</f>
        <v>1254.7</v>
      </c>
      <c r="E64" s="50">
        <f t="shared" si="0"/>
        <v>2.3910098031398302E-2</v>
      </c>
      <c r="F64" s="49">
        <f>VLOOKUP($A64,'Data shares'!$C:$FB,98)</f>
        <v>18621250</v>
      </c>
      <c r="G64" s="49">
        <f>VLOOKUP($A64,'Data shares'!$C:$FB,99)</f>
        <v>17700625</v>
      </c>
      <c r="H64" s="50">
        <f t="shared" si="1"/>
        <v>5.2010875322199075</v>
      </c>
      <c r="I64" s="49">
        <f>VLOOKUP($A64,'Data shares'!$C:$FB,66)</f>
        <v>6703750</v>
      </c>
      <c r="J64" s="49">
        <f>VLOOKUP($A64,'Data shares'!$C:$FB,67)</f>
        <v>6994375</v>
      </c>
      <c r="K64" s="50">
        <f t="shared" si="2"/>
        <v>-4.3352601156069364</v>
      </c>
      <c r="L64" s="50">
        <f>VLOOKUP($A64,'Data shares'!$C:$FB,118)</f>
        <v>0.65</v>
      </c>
      <c r="M64" s="50">
        <f>VLOOKUP($A64,'Data shares'!$C:$FB,119)</f>
        <v>0.77</v>
      </c>
      <c r="N64" s="50">
        <f>VLOOKUP($A64,'Data shares'!$C:$FB,121)*100</f>
        <v>-15.58</v>
      </c>
      <c r="O64" s="50">
        <f>VLOOKUP($A64,'Data shares'!$C:$FB,124)</f>
        <v>0.44</v>
      </c>
      <c r="P64" s="50">
        <f>VLOOKUP($A64,'Data shares'!$C:$FB,125)</f>
        <v>0.5</v>
      </c>
      <c r="Q64" s="50">
        <f>VLOOKUP($A64,'Data shares'!$C:$FB,127)*100</f>
        <v>-12</v>
      </c>
    </row>
    <row r="65" spans="1:17" x14ac:dyDescent="0.25">
      <c r="A65" s="97" t="str">
        <f>'Data Vlaue (Cr)'!C60</f>
        <v>EICHERMOT</v>
      </c>
      <c r="B65" s="140">
        <f>VLOOKUP($A65,'Data shares'!$C:$FB,7)</f>
        <v>6880</v>
      </c>
      <c r="C65" s="140">
        <f>VLOOKUP($A65,'Data shares'!$C:$FB,3)</f>
        <v>6919.5</v>
      </c>
      <c r="D65" s="140">
        <f>VLOOKUP($A65,'Data shares'!$C:$FB,4)</f>
        <v>6965</v>
      </c>
      <c r="E65" s="50">
        <f t="shared" si="0"/>
        <v>-0.65326633165829151</v>
      </c>
      <c r="F65" s="49">
        <f>VLOOKUP($A65,'Data shares'!$C:$FB,98)</f>
        <v>6787900</v>
      </c>
      <c r="G65" s="49">
        <f>VLOOKUP($A65,'Data shares'!$C:$FB,99)</f>
        <v>6830775</v>
      </c>
      <c r="H65" s="50">
        <f t="shared" si="1"/>
        <v>-0.62767401941946555</v>
      </c>
      <c r="I65" s="49">
        <f>VLOOKUP($A65,'Data shares'!$C:$FB,66)</f>
        <v>3963400</v>
      </c>
      <c r="J65" s="49">
        <f>VLOOKUP($A65,'Data shares'!$C:$FB,67)</f>
        <v>9595775</v>
      </c>
      <c r="K65" s="50">
        <f t="shared" si="2"/>
        <v>-142.10967855881313</v>
      </c>
      <c r="L65" s="50">
        <f>VLOOKUP($A65,'Data shares'!$C:$FB,118)</f>
        <v>0.76</v>
      </c>
      <c r="M65" s="50">
        <f>VLOOKUP($A65,'Data shares'!$C:$FB,119)</f>
        <v>0.84</v>
      </c>
      <c r="N65" s="50">
        <f>VLOOKUP($A65,'Data shares'!$C:$FB,121)*100</f>
        <v>-9.5200000000000014</v>
      </c>
      <c r="O65" s="50">
        <f>VLOOKUP($A65,'Data shares'!$C:$FB,124)</f>
        <v>0.43</v>
      </c>
      <c r="P65" s="50">
        <f>VLOOKUP($A65,'Data shares'!$C:$FB,125)</f>
        <v>0.8</v>
      </c>
      <c r="Q65" s="50">
        <f>VLOOKUP($A65,'Data shares'!$C:$FB,127)*100</f>
        <v>-46.25</v>
      </c>
    </row>
    <row r="66" spans="1:17" x14ac:dyDescent="0.25">
      <c r="A66" s="97" t="str">
        <f>'Data Vlaue (Cr)'!C61</f>
        <v>ETERNAL</v>
      </c>
      <c r="B66" s="140">
        <f>VLOOKUP($A66,'Data shares'!$C:$FB,7)</f>
        <v>335.1</v>
      </c>
      <c r="C66" s="140">
        <f>VLOOKUP($A66,'Data shares'!$C:$FB,3)</f>
        <v>337.15</v>
      </c>
      <c r="D66" s="140">
        <f>VLOOKUP($A66,'Data shares'!$C:$FB,4)</f>
        <v>330.55</v>
      </c>
      <c r="E66" s="50">
        <f t="shared" si="0"/>
        <v>1.996672212978359</v>
      </c>
      <c r="F66" s="49">
        <f>VLOOKUP($A66,'Data shares'!$C:$FB,98)</f>
        <v>337758850</v>
      </c>
      <c r="G66" s="49">
        <f>VLOOKUP($A66,'Data shares'!$C:$FB,99)</f>
        <v>335527850</v>
      </c>
      <c r="H66" s="50">
        <f t="shared" si="1"/>
        <v>0.66492244980558246</v>
      </c>
      <c r="I66" s="49">
        <f>VLOOKUP($A66,'Data shares'!$C:$FB,66)</f>
        <v>113230525</v>
      </c>
      <c r="J66" s="49">
        <f>VLOOKUP($A66,'Data shares'!$C:$FB,67)</f>
        <v>92867800</v>
      </c>
      <c r="K66" s="50">
        <f t="shared" si="2"/>
        <v>17.983423639517699</v>
      </c>
      <c r="L66" s="50">
        <f>VLOOKUP($A66,'Data shares'!$C:$FB,118)</f>
        <v>0.73</v>
      </c>
      <c r="M66" s="50">
        <f>VLOOKUP($A66,'Data shares'!$C:$FB,119)</f>
        <v>0.69</v>
      </c>
      <c r="N66" s="50">
        <f>VLOOKUP($A66,'Data shares'!$C:$FB,121)*100</f>
        <v>5.8000000000000007</v>
      </c>
      <c r="O66" s="50">
        <f>VLOOKUP($A66,'Data shares'!$C:$FB,124)</f>
        <v>0.52</v>
      </c>
      <c r="P66" s="50">
        <f>VLOOKUP($A66,'Data shares'!$C:$FB,125)</f>
        <v>0.53</v>
      </c>
      <c r="Q66" s="50">
        <f>VLOOKUP($A66,'Data shares'!$C:$FB,127)*100</f>
        <v>-1.8900000000000001</v>
      </c>
    </row>
    <row r="67" spans="1:17" x14ac:dyDescent="0.25">
      <c r="A67" s="97" t="str">
        <f>'Data Vlaue (Cr)'!C62</f>
        <v>EXIDEIND</v>
      </c>
      <c r="B67" s="140">
        <f>VLOOKUP($A67,'Data shares'!$C:$FB,7)</f>
        <v>399.95</v>
      </c>
      <c r="C67" s="140">
        <f>VLOOKUP($A67,'Data shares'!$C:$FB,3)</f>
        <v>401.45</v>
      </c>
      <c r="D67" s="140">
        <f>VLOOKUP($A67,'Data shares'!$C:$FB,4)</f>
        <v>399.35</v>
      </c>
      <c r="E67" s="50">
        <f t="shared" si="0"/>
        <v>0.52585451358456636</v>
      </c>
      <c r="F67" s="49">
        <f>VLOOKUP($A67,'Data shares'!$C:$FB,98)</f>
        <v>45925200</v>
      </c>
      <c r="G67" s="49">
        <f>VLOOKUP($A67,'Data shares'!$C:$FB,99)</f>
        <v>45433800</v>
      </c>
      <c r="H67" s="50">
        <f t="shared" si="1"/>
        <v>1.0815736302048256</v>
      </c>
      <c r="I67" s="49">
        <f>VLOOKUP($A67,'Data shares'!$C:$FB,66)</f>
        <v>11318400</v>
      </c>
      <c r="J67" s="49">
        <f>VLOOKUP($A67,'Data shares'!$C:$FB,67)</f>
        <v>13231800</v>
      </c>
      <c r="K67" s="50">
        <f t="shared" si="2"/>
        <v>-16.905216284987276</v>
      </c>
      <c r="L67" s="50">
        <f>VLOOKUP($A67,'Data shares'!$C:$FB,118)</f>
        <v>0.75</v>
      </c>
      <c r="M67" s="50">
        <f>VLOOKUP($A67,'Data shares'!$C:$FB,119)</f>
        <v>0.74</v>
      </c>
      <c r="N67" s="50">
        <f>VLOOKUP($A67,'Data shares'!$C:$FB,121)*100</f>
        <v>1.35</v>
      </c>
      <c r="O67" s="50">
        <f>VLOOKUP($A67,'Data shares'!$C:$FB,124)</f>
        <v>0.37</v>
      </c>
      <c r="P67" s="50">
        <f>VLOOKUP($A67,'Data shares'!$C:$FB,125)</f>
        <v>0.38</v>
      </c>
      <c r="Q67" s="50">
        <f>VLOOKUP($A67,'Data shares'!$C:$FB,127)*100</f>
        <v>-2.63</v>
      </c>
    </row>
    <row r="68" spans="1:17" x14ac:dyDescent="0.25">
      <c r="A68" s="97" t="str">
        <f>'Data Vlaue (Cr)'!C63</f>
        <v>FEDERALBNK</v>
      </c>
      <c r="B68" s="140">
        <f>VLOOKUP($A68,'Data shares'!$C:$FB,7)</f>
        <v>193.66</v>
      </c>
      <c r="C68" s="140">
        <f>VLOOKUP($A68,'Data shares'!$C:$FB,3)</f>
        <v>194.7</v>
      </c>
      <c r="D68" s="140">
        <f>VLOOKUP($A68,'Data shares'!$C:$FB,4)</f>
        <v>193.59</v>
      </c>
      <c r="E68" s="50">
        <f t="shared" si="0"/>
        <v>0.57337672400433137</v>
      </c>
      <c r="F68" s="49">
        <f>VLOOKUP($A68,'Data shares'!$C:$FB,98)</f>
        <v>164080000</v>
      </c>
      <c r="G68" s="49">
        <f>VLOOKUP($A68,'Data shares'!$C:$FB,99)</f>
        <v>146030000</v>
      </c>
      <c r="H68" s="50">
        <f t="shared" si="1"/>
        <v>12.360473875231117</v>
      </c>
      <c r="I68" s="49">
        <f>VLOOKUP($A68,'Data shares'!$C:$FB,66)</f>
        <v>126445000</v>
      </c>
      <c r="J68" s="49">
        <f>VLOOKUP($A68,'Data shares'!$C:$FB,67)</f>
        <v>61935000</v>
      </c>
      <c r="K68" s="50">
        <f t="shared" si="2"/>
        <v>51.018229269642923</v>
      </c>
      <c r="L68" s="50">
        <f>VLOOKUP($A68,'Data shares'!$C:$FB,118)</f>
        <v>0.69</v>
      </c>
      <c r="M68" s="50">
        <f>VLOOKUP($A68,'Data shares'!$C:$FB,119)</f>
        <v>0.84</v>
      </c>
      <c r="N68" s="50">
        <f>VLOOKUP($A68,'Data shares'!$C:$FB,121)*100</f>
        <v>-17.86</v>
      </c>
      <c r="O68" s="50">
        <f>VLOOKUP($A68,'Data shares'!$C:$FB,124)</f>
        <v>0.32</v>
      </c>
      <c r="P68" s="50">
        <f>VLOOKUP($A68,'Data shares'!$C:$FB,125)</f>
        <v>0.51</v>
      </c>
      <c r="Q68" s="50">
        <f>VLOOKUP($A68,'Data shares'!$C:$FB,127)*100</f>
        <v>-37.25</v>
      </c>
    </row>
    <row r="69" spans="1:17" x14ac:dyDescent="0.25">
      <c r="A69" s="97" t="str">
        <f>'Data Vlaue (Cr)'!C64</f>
        <v>FINNIFTY</v>
      </c>
      <c r="B69" s="140">
        <f>VLOOKUP($A69,'Data shares'!$C:$FB,7)</f>
        <v>26712.05</v>
      </c>
      <c r="C69" s="140">
        <f>VLOOKUP($A69,'Data shares'!$C:$FB,3)</f>
        <v>26798.6</v>
      </c>
      <c r="D69" s="140">
        <f>VLOOKUP($A69,'Data shares'!$C:$FB,4)</f>
        <v>26549.7</v>
      </c>
      <c r="E69" s="50">
        <f t="shared" si="0"/>
        <v>0.93748705258439002</v>
      </c>
      <c r="F69" s="49">
        <f>VLOOKUP($A69,'Data shares'!$C:$FB,98)</f>
        <v>1306890</v>
      </c>
      <c r="G69" s="49">
        <f>VLOOKUP($A69,'Data shares'!$C:$FB,99)</f>
        <v>655265</v>
      </c>
      <c r="H69" s="50">
        <f t="shared" si="1"/>
        <v>99.444499553615714</v>
      </c>
      <c r="I69" s="49">
        <f>VLOOKUP($A69,'Data shares'!$C:$FB,66)</f>
        <v>3838770</v>
      </c>
      <c r="J69" s="49">
        <f>VLOOKUP($A69,'Data shares'!$C:$FB,67)</f>
        <v>2280395</v>
      </c>
      <c r="K69" s="50">
        <f t="shared" si="2"/>
        <v>40.595685597209524</v>
      </c>
      <c r="L69" s="50">
        <f>VLOOKUP($A69,'Data shares'!$C:$FB,118)</f>
        <v>0.71</v>
      </c>
      <c r="M69" s="50">
        <f>VLOOKUP($A69,'Data shares'!$C:$FB,119)</f>
        <v>0.57999999999999996</v>
      </c>
      <c r="N69" s="50">
        <f>VLOOKUP($A69,'Data shares'!$C:$FB,121)*100</f>
        <v>22.41</v>
      </c>
      <c r="O69" s="50">
        <f>VLOOKUP($A69,'Data shares'!$C:$FB,124)</f>
        <v>0.62</v>
      </c>
      <c r="P69" s="50">
        <f>VLOOKUP($A69,'Data shares'!$C:$FB,125)</f>
        <v>0.66</v>
      </c>
      <c r="Q69" s="50">
        <f>VLOOKUP($A69,'Data shares'!$C:$FB,127)*100</f>
        <v>-6.0600000000000005</v>
      </c>
    </row>
    <row r="70" spans="1:17" x14ac:dyDescent="0.25">
      <c r="A70" s="97" t="str">
        <f>'Data Vlaue (Cr)'!C65</f>
        <v>FORTIS</v>
      </c>
      <c r="B70" s="140">
        <f>VLOOKUP($A70,'Data shares'!$C:$FB,7)</f>
        <v>1053.9000000000001</v>
      </c>
      <c r="C70" s="140">
        <f>VLOOKUP($A70,'Data shares'!$C:$FB,3)</f>
        <v>1057.45</v>
      </c>
      <c r="D70" s="140">
        <f>VLOOKUP($A70,'Data shares'!$C:$FB,4)</f>
        <v>986.8</v>
      </c>
      <c r="E70" s="50">
        <f t="shared" si="0"/>
        <v>7.1595054722334917</v>
      </c>
      <c r="F70" s="49">
        <f>VLOOKUP($A70,'Data shares'!$C:$FB,98)</f>
        <v>15906875</v>
      </c>
      <c r="G70" s="49">
        <f>VLOOKUP($A70,'Data shares'!$C:$FB,99)</f>
        <v>10568675</v>
      </c>
      <c r="H70" s="50">
        <f t="shared" si="1"/>
        <v>50.509642883332106</v>
      </c>
      <c r="I70" s="49">
        <f>VLOOKUP($A70,'Data shares'!$C:$FB,66)</f>
        <v>79029850</v>
      </c>
      <c r="J70" s="49">
        <f>VLOOKUP($A70,'Data shares'!$C:$FB,67)</f>
        <v>8546700</v>
      </c>
      <c r="K70" s="50">
        <f t="shared" si="2"/>
        <v>89.185478651420951</v>
      </c>
      <c r="L70" s="50">
        <f>VLOOKUP($A70,'Data shares'!$C:$FB,118)</f>
        <v>0.7</v>
      </c>
      <c r="M70" s="50">
        <f>VLOOKUP($A70,'Data shares'!$C:$FB,119)</f>
        <v>0.57999999999999996</v>
      </c>
      <c r="N70" s="50">
        <f>VLOOKUP($A70,'Data shares'!$C:$FB,121)*100</f>
        <v>20.69</v>
      </c>
      <c r="O70" s="50">
        <f>VLOOKUP($A70,'Data shares'!$C:$FB,124)</f>
        <v>0.35</v>
      </c>
      <c r="P70" s="50">
        <f>VLOOKUP($A70,'Data shares'!$C:$FB,125)</f>
        <v>0.63</v>
      </c>
      <c r="Q70" s="50">
        <f>VLOOKUP($A70,'Data shares'!$C:$FB,127)*100</f>
        <v>-44.440000000000005</v>
      </c>
    </row>
    <row r="71" spans="1:17" x14ac:dyDescent="0.25">
      <c r="A71" s="97" t="str">
        <f>'Data Vlaue (Cr)'!C66</f>
        <v>GAIL</v>
      </c>
      <c r="B71" s="140">
        <f>VLOOKUP($A71,'Data shares'!$C:$FB,7)</f>
        <v>176.62</v>
      </c>
      <c r="C71" s="140">
        <f>VLOOKUP($A71,'Data shares'!$C:$FB,3)</f>
        <v>177.62</v>
      </c>
      <c r="D71" s="140">
        <f>VLOOKUP($A71,'Data shares'!$C:$FB,4)</f>
        <v>178.5</v>
      </c>
      <c r="E71" s="50">
        <f t="shared" si="0"/>
        <v>-0.49299719887954924</v>
      </c>
      <c r="F71" s="49">
        <f>VLOOKUP($A71,'Data shares'!$C:$FB,98)</f>
        <v>161834400</v>
      </c>
      <c r="G71" s="49">
        <f>VLOOKUP($A71,'Data shares'!$C:$FB,99)</f>
        <v>155269800</v>
      </c>
      <c r="H71" s="50">
        <f t="shared" si="1"/>
        <v>4.2278665909275333</v>
      </c>
      <c r="I71" s="49">
        <f>VLOOKUP($A71,'Data shares'!$C:$FB,66)</f>
        <v>47064150</v>
      </c>
      <c r="J71" s="49">
        <f>VLOOKUP($A71,'Data shares'!$C:$FB,67)</f>
        <v>41680800</v>
      </c>
      <c r="K71" s="50">
        <f t="shared" si="2"/>
        <v>11.438324074693796</v>
      </c>
      <c r="L71" s="50">
        <f>VLOOKUP($A71,'Data shares'!$C:$FB,118)</f>
        <v>0.65</v>
      </c>
      <c r="M71" s="50">
        <f>VLOOKUP($A71,'Data shares'!$C:$FB,119)</f>
        <v>0.71</v>
      </c>
      <c r="N71" s="50">
        <f>VLOOKUP($A71,'Data shares'!$C:$FB,121)*100</f>
        <v>-8.4500000000000011</v>
      </c>
      <c r="O71" s="50">
        <f>VLOOKUP($A71,'Data shares'!$C:$FB,124)</f>
        <v>0.25</v>
      </c>
      <c r="P71" s="50">
        <f>VLOOKUP($A71,'Data shares'!$C:$FB,125)</f>
        <v>0.31</v>
      </c>
      <c r="Q71" s="50">
        <f>VLOOKUP($A71,'Data shares'!$C:$FB,127)*100</f>
        <v>-19.350000000000001</v>
      </c>
    </row>
    <row r="72" spans="1:17" x14ac:dyDescent="0.25">
      <c r="A72" s="97" t="str">
        <f>'Data Vlaue (Cr)'!C67</f>
        <v>GLENMARK</v>
      </c>
      <c r="B72" s="140">
        <f>VLOOKUP($A72,'Data shares'!$C:$FB,7)</f>
        <v>1971.2</v>
      </c>
      <c r="C72" s="140">
        <f>VLOOKUP($A72,'Data shares'!$C:$FB,3)</f>
        <v>1978.4</v>
      </c>
      <c r="D72" s="140">
        <f>VLOOKUP($A72,'Data shares'!$C:$FB,4)</f>
        <v>1988</v>
      </c>
      <c r="E72" s="50">
        <f t="shared" ref="E72:E135" si="3">(C72-D72)/D72*100</f>
        <v>-0.4828973843058304</v>
      </c>
      <c r="F72" s="49">
        <f>VLOOKUP($A72,'Data shares'!$C:$FB,98)</f>
        <v>9644625</v>
      </c>
      <c r="G72" s="49">
        <f>VLOOKUP($A72,'Data shares'!$C:$FB,99)</f>
        <v>9603750</v>
      </c>
      <c r="H72" s="50">
        <f t="shared" ref="H72:H135" si="4">(F72-G72)/G72*100</f>
        <v>0.42561499414291287</v>
      </c>
      <c r="I72" s="49">
        <f>VLOOKUP($A72,'Data shares'!$C:$FB,66)</f>
        <v>1925625</v>
      </c>
      <c r="J72" s="49">
        <f>VLOOKUP($A72,'Data shares'!$C:$FB,67)</f>
        <v>2830500</v>
      </c>
      <c r="K72" s="50">
        <f t="shared" ref="K72:K135" si="5">(I72-J72)/I72*100</f>
        <v>-46.991236611489775</v>
      </c>
      <c r="L72" s="50">
        <f>VLOOKUP($A72,'Data shares'!$C:$FB,118)</f>
        <v>0.69</v>
      </c>
      <c r="M72" s="50">
        <f>VLOOKUP($A72,'Data shares'!$C:$FB,119)</f>
        <v>0.73</v>
      </c>
      <c r="N72" s="50">
        <f>VLOOKUP($A72,'Data shares'!$C:$FB,121)*100</f>
        <v>-5.48</v>
      </c>
      <c r="O72" s="50">
        <f>VLOOKUP($A72,'Data shares'!$C:$FB,124)</f>
        <v>0.38</v>
      </c>
      <c r="P72" s="50">
        <f>VLOOKUP($A72,'Data shares'!$C:$FB,125)</f>
        <v>0.34</v>
      </c>
      <c r="Q72" s="50">
        <f>VLOOKUP($A72,'Data shares'!$C:$FB,127)*100</f>
        <v>11.76</v>
      </c>
    </row>
    <row r="73" spans="1:17" x14ac:dyDescent="0.25">
      <c r="A73" s="97" t="str">
        <f>'Data Vlaue (Cr)'!C68</f>
        <v>GMRAIRPORT</v>
      </c>
      <c r="B73" s="140">
        <f>VLOOKUP($A73,'Data shares'!$C:$FB,7)</f>
        <v>88.7</v>
      </c>
      <c r="C73" s="140">
        <f>VLOOKUP($A73,'Data shares'!$C:$FB,3)</f>
        <v>89</v>
      </c>
      <c r="D73" s="140">
        <f>VLOOKUP($A73,'Data shares'!$C:$FB,4)</f>
        <v>89.64</v>
      </c>
      <c r="E73" s="50">
        <f t="shared" si="3"/>
        <v>-0.71396697902722062</v>
      </c>
      <c r="F73" s="49">
        <f>VLOOKUP($A73,'Data shares'!$C:$FB,98)</f>
        <v>302966100</v>
      </c>
      <c r="G73" s="49">
        <f>VLOOKUP($A73,'Data shares'!$C:$FB,99)</f>
        <v>296130600</v>
      </c>
      <c r="H73" s="50">
        <f t="shared" si="4"/>
        <v>2.3082720934614662</v>
      </c>
      <c r="I73" s="49">
        <f>VLOOKUP($A73,'Data shares'!$C:$FB,66)</f>
        <v>79277850</v>
      </c>
      <c r="J73" s="49">
        <f>VLOOKUP($A73,'Data shares'!$C:$FB,67)</f>
        <v>58638825</v>
      </c>
      <c r="K73" s="50">
        <f t="shared" si="5"/>
        <v>26.03378497272567</v>
      </c>
      <c r="L73" s="50">
        <f>VLOOKUP($A73,'Data shares'!$C:$FB,118)</f>
        <v>0.51</v>
      </c>
      <c r="M73" s="50">
        <f>VLOOKUP($A73,'Data shares'!$C:$FB,119)</f>
        <v>0.53</v>
      </c>
      <c r="N73" s="50">
        <f>VLOOKUP($A73,'Data shares'!$C:$FB,121)*100</f>
        <v>-3.7699999999999996</v>
      </c>
      <c r="O73" s="50">
        <f>VLOOKUP($A73,'Data shares'!$C:$FB,124)</f>
        <v>0.37</v>
      </c>
      <c r="P73" s="50">
        <f>VLOOKUP($A73,'Data shares'!$C:$FB,125)</f>
        <v>0.39</v>
      </c>
      <c r="Q73" s="50">
        <f>VLOOKUP($A73,'Data shares'!$C:$FB,127)*100</f>
        <v>-5.13</v>
      </c>
    </row>
    <row r="74" spans="1:17" x14ac:dyDescent="0.25">
      <c r="A74" s="97" t="str">
        <f>'Data Vlaue (Cr)'!C69</f>
        <v>GODREJCP</v>
      </c>
      <c r="B74" s="140">
        <f>VLOOKUP($A74,'Data shares'!$C:$FB,7)</f>
        <v>1147.5999999999999</v>
      </c>
      <c r="C74" s="140">
        <f>VLOOKUP($A74,'Data shares'!$C:$FB,3)</f>
        <v>1150</v>
      </c>
      <c r="D74" s="140">
        <f>VLOOKUP($A74,'Data shares'!$C:$FB,4)</f>
        <v>1145.3</v>
      </c>
      <c r="E74" s="50">
        <f t="shared" si="3"/>
        <v>0.41037282807998304</v>
      </c>
      <c r="F74" s="49">
        <f>VLOOKUP($A74,'Data shares'!$C:$FB,98)</f>
        <v>15561500</v>
      </c>
      <c r="G74" s="49">
        <f>VLOOKUP($A74,'Data shares'!$C:$FB,99)</f>
        <v>15094500</v>
      </c>
      <c r="H74" s="50">
        <f t="shared" si="4"/>
        <v>3.0938421279273909</v>
      </c>
      <c r="I74" s="49">
        <f>VLOOKUP($A74,'Data shares'!$C:$FB,66)</f>
        <v>4380000</v>
      </c>
      <c r="J74" s="49">
        <f>VLOOKUP($A74,'Data shares'!$C:$FB,67)</f>
        <v>3147500</v>
      </c>
      <c r="K74" s="50">
        <f t="shared" si="5"/>
        <v>28.139269406392692</v>
      </c>
      <c r="L74" s="50">
        <f>VLOOKUP($A74,'Data shares'!$C:$FB,118)</f>
        <v>0.71</v>
      </c>
      <c r="M74" s="50">
        <f>VLOOKUP($A74,'Data shares'!$C:$FB,119)</f>
        <v>0.65</v>
      </c>
      <c r="N74" s="50">
        <f>VLOOKUP($A74,'Data shares'!$C:$FB,121)*100</f>
        <v>9.2299999999999986</v>
      </c>
      <c r="O74" s="50">
        <f>VLOOKUP($A74,'Data shares'!$C:$FB,124)</f>
        <v>0.51</v>
      </c>
      <c r="P74" s="50">
        <f>VLOOKUP($A74,'Data shares'!$C:$FB,125)</f>
        <v>0.44</v>
      </c>
      <c r="Q74" s="50">
        <f>VLOOKUP($A74,'Data shares'!$C:$FB,127)*100</f>
        <v>15.909999999999998</v>
      </c>
    </row>
    <row r="75" spans="1:17" x14ac:dyDescent="0.25">
      <c r="A75" s="97" t="str">
        <f>'Data Vlaue (Cr)'!C70</f>
        <v>GODREJPROP</v>
      </c>
      <c r="B75" s="140">
        <f>VLOOKUP($A75,'Data shares'!$C:$FB,7)</f>
        <v>2056.5</v>
      </c>
      <c r="C75" s="140">
        <f>VLOOKUP($A75,'Data shares'!$C:$FB,3)</f>
        <v>2065</v>
      </c>
      <c r="D75" s="140">
        <f>VLOOKUP($A75,'Data shares'!$C:$FB,4)</f>
        <v>2040.7</v>
      </c>
      <c r="E75" s="50">
        <f t="shared" si="3"/>
        <v>1.1907678737688026</v>
      </c>
      <c r="F75" s="49">
        <f>VLOOKUP($A75,'Data shares'!$C:$FB,98)</f>
        <v>13890525</v>
      </c>
      <c r="G75" s="49">
        <f>VLOOKUP($A75,'Data shares'!$C:$FB,99)</f>
        <v>13821775</v>
      </c>
      <c r="H75" s="50">
        <f t="shared" si="4"/>
        <v>0.4974035534509858</v>
      </c>
      <c r="I75" s="49">
        <f>VLOOKUP($A75,'Data shares'!$C:$FB,66)</f>
        <v>3096225</v>
      </c>
      <c r="J75" s="49">
        <f>VLOOKUP($A75,'Data shares'!$C:$FB,67)</f>
        <v>3177350</v>
      </c>
      <c r="K75" s="50">
        <f t="shared" si="5"/>
        <v>-2.6201261213251623</v>
      </c>
      <c r="L75" s="50">
        <f>VLOOKUP($A75,'Data shares'!$C:$FB,118)</f>
        <v>0.66</v>
      </c>
      <c r="M75" s="50">
        <f>VLOOKUP($A75,'Data shares'!$C:$FB,119)</f>
        <v>0.67</v>
      </c>
      <c r="N75" s="50">
        <f>VLOOKUP($A75,'Data shares'!$C:$FB,121)*100</f>
        <v>-1.49</v>
      </c>
      <c r="O75" s="50">
        <f>VLOOKUP($A75,'Data shares'!$C:$FB,124)</f>
        <v>0.33</v>
      </c>
      <c r="P75" s="50">
        <f>VLOOKUP($A75,'Data shares'!$C:$FB,125)</f>
        <v>0.35</v>
      </c>
      <c r="Q75" s="50">
        <f>VLOOKUP($A75,'Data shares'!$C:$FB,127)*100</f>
        <v>-5.71</v>
      </c>
    </row>
    <row r="76" spans="1:17" x14ac:dyDescent="0.25">
      <c r="A76" s="97" t="str">
        <f>'Data Vlaue (Cr)'!C71</f>
        <v>GRASIM</v>
      </c>
      <c r="B76" s="140">
        <f>VLOOKUP($A76,'Data shares'!$C:$FB,7)</f>
        <v>2807.4</v>
      </c>
      <c r="C76" s="140">
        <f>VLOOKUP($A76,'Data shares'!$C:$FB,3)</f>
        <v>2823.6</v>
      </c>
      <c r="D76" s="140">
        <f>VLOOKUP($A76,'Data shares'!$C:$FB,4)</f>
        <v>2810.5</v>
      </c>
      <c r="E76" s="50">
        <f t="shared" si="3"/>
        <v>0.46610923323251763</v>
      </c>
      <c r="F76" s="49">
        <f>VLOOKUP($A76,'Data shares'!$C:$FB,98)</f>
        <v>16453500</v>
      </c>
      <c r="G76" s="49">
        <f>VLOOKUP($A76,'Data shares'!$C:$FB,99)</f>
        <v>16250750</v>
      </c>
      <c r="H76" s="50">
        <f t="shared" si="4"/>
        <v>1.2476347245511745</v>
      </c>
      <c r="I76" s="49">
        <f>VLOOKUP($A76,'Data shares'!$C:$FB,66)</f>
        <v>3454250</v>
      </c>
      <c r="J76" s="49">
        <f>VLOOKUP($A76,'Data shares'!$C:$FB,67)</f>
        <v>4650500</v>
      </c>
      <c r="K76" s="50">
        <f t="shared" si="5"/>
        <v>-34.631251357023956</v>
      </c>
      <c r="L76" s="50">
        <f>VLOOKUP($A76,'Data shares'!$C:$FB,118)</f>
        <v>0.62</v>
      </c>
      <c r="M76" s="50">
        <f>VLOOKUP($A76,'Data shares'!$C:$FB,119)</f>
        <v>0.63</v>
      </c>
      <c r="N76" s="50">
        <f>VLOOKUP($A76,'Data shares'!$C:$FB,121)*100</f>
        <v>-1.59</v>
      </c>
      <c r="O76" s="50">
        <f>VLOOKUP($A76,'Data shares'!$C:$FB,124)</f>
        <v>0.48</v>
      </c>
      <c r="P76" s="50">
        <f>VLOOKUP($A76,'Data shares'!$C:$FB,125)</f>
        <v>0.52</v>
      </c>
      <c r="Q76" s="50">
        <f>VLOOKUP($A76,'Data shares'!$C:$FB,127)*100</f>
        <v>-7.6899999999999995</v>
      </c>
    </row>
    <row r="77" spans="1:17" x14ac:dyDescent="0.25">
      <c r="A77" s="97" t="str">
        <f>'Data Vlaue (Cr)'!C72</f>
        <v>HAL</v>
      </c>
      <c r="B77" s="140">
        <f>VLOOKUP($A77,'Data shares'!$C:$FB,7)</f>
        <v>4845.2</v>
      </c>
      <c r="C77" s="140">
        <f>VLOOKUP($A77,'Data shares'!$C:$FB,3)</f>
        <v>4874.1000000000004</v>
      </c>
      <c r="D77" s="140">
        <f>VLOOKUP($A77,'Data shares'!$C:$FB,4)</f>
        <v>4894.6000000000004</v>
      </c>
      <c r="E77" s="50">
        <f t="shared" si="3"/>
        <v>-0.41882891349650631</v>
      </c>
      <c r="F77" s="49">
        <f>VLOOKUP($A77,'Data shares'!$C:$FB,98)</f>
        <v>14685600</v>
      </c>
      <c r="G77" s="49">
        <f>VLOOKUP($A77,'Data shares'!$C:$FB,99)</f>
        <v>14056350</v>
      </c>
      <c r="H77" s="50">
        <f t="shared" si="4"/>
        <v>4.4766244437567364</v>
      </c>
      <c r="I77" s="49">
        <f>VLOOKUP($A77,'Data shares'!$C:$FB,66)</f>
        <v>7653750</v>
      </c>
      <c r="J77" s="49">
        <f>VLOOKUP($A77,'Data shares'!$C:$FB,67)</f>
        <v>10336500</v>
      </c>
      <c r="K77" s="50">
        <f t="shared" si="5"/>
        <v>-35.051445369916706</v>
      </c>
      <c r="L77" s="50">
        <f>VLOOKUP($A77,'Data shares'!$C:$FB,118)</f>
        <v>0.63</v>
      </c>
      <c r="M77" s="50">
        <f>VLOOKUP($A77,'Data shares'!$C:$FB,119)</f>
        <v>0.7</v>
      </c>
      <c r="N77" s="50">
        <f>VLOOKUP($A77,'Data shares'!$C:$FB,121)*100</f>
        <v>-10</v>
      </c>
      <c r="O77" s="50">
        <f>VLOOKUP($A77,'Data shares'!$C:$FB,124)</f>
        <v>0.28000000000000003</v>
      </c>
      <c r="P77" s="50">
        <f>VLOOKUP($A77,'Data shares'!$C:$FB,125)</f>
        <v>0.22</v>
      </c>
      <c r="Q77" s="50">
        <f>VLOOKUP($A77,'Data shares'!$C:$FB,127)*100</f>
        <v>27.27</v>
      </c>
    </row>
    <row r="78" spans="1:17" x14ac:dyDescent="0.25">
      <c r="A78" s="97" t="str">
        <f>'Data Vlaue (Cr)'!C73</f>
        <v>HAVELLS</v>
      </c>
      <c r="B78" s="140">
        <f>VLOOKUP($A78,'Data shares'!$C:$FB,7)</f>
        <v>1497.7</v>
      </c>
      <c r="C78" s="140">
        <f>VLOOKUP($A78,'Data shares'!$C:$FB,3)</f>
        <v>1502.6</v>
      </c>
      <c r="D78" s="140">
        <f>VLOOKUP($A78,'Data shares'!$C:$FB,4)</f>
        <v>1495.4</v>
      </c>
      <c r="E78" s="50">
        <f t="shared" si="3"/>
        <v>0.48147652801924684</v>
      </c>
      <c r="F78" s="49">
        <f>VLOOKUP($A78,'Data shares'!$C:$FB,98)</f>
        <v>14513000</v>
      </c>
      <c r="G78" s="49">
        <f>VLOOKUP($A78,'Data shares'!$C:$FB,99)</f>
        <v>14064000</v>
      </c>
      <c r="H78" s="50">
        <f t="shared" si="4"/>
        <v>3.1925483503981797</v>
      </c>
      <c r="I78" s="49">
        <f>VLOOKUP($A78,'Data shares'!$C:$FB,66)</f>
        <v>3719000</v>
      </c>
      <c r="J78" s="49">
        <f>VLOOKUP($A78,'Data shares'!$C:$FB,67)</f>
        <v>5722000</v>
      </c>
      <c r="K78" s="50">
        <f t="shared" si="5"/>
        <v>-53.858564130142518</v>
      </c>
      <c r="L78" s="50">
        <f>VLOOKUP($A78,'Data shares'!$C:$FB,118)</f>
        <v>0.65</v>
      </c>
      <c r="M78" s="50">
        <f>VLOOKUP($A78,'Data shares'!$C:$FB,119)</f>
        <v>0.64</v>
      </c>
      <c r="N78" s="50">
        <f>VLOOKUP($A78,'Data shares'!$C:$FB,121)*100</f>
        <v>1.5599999999999998</v>
      </c>
      <c r="O78" s="50">
        <f>VLOOKUP($A78,'Data shares'!$C:$FB,124)</f>
        <v>0.41</v>
      </c>
      <c r="P78" s="50">
        <f>VLOOKUP($A78,'Data shares'!$C:$FB,125)</f>
        <v>0.38</v>
      </c>
      <c r="Q78" s="50">
        <f>VLOOKUP($A78,'Data shares'!$C:$FB,127)*100</f>
        <v>7.89</v>
      </c>
    </row>
    <row r="79" spans="1:17" x14ac:dyDescent="0.25">
      <c r="A79" s="97" t="str">
        <f>'Data Vlaue (Cr)'!C74</f>
        <v>HCLTECH</v>
      </c>
      <c r="B79" s="140">
        <f>VLOOKUP($A79,'Data shares'!$C:$FB,7)</f>
        <v>1417.7</v>
      </c>
      <c r="C79" s="140">
        <f>VLOOKUP($A79,'Data shares'!$C:$FB,3)</f>
        <v>1414</v>
      </c>
      <c r="D79" s="140">
        <f>VLOOKUP($A79,'Data shares'!$C:$FB,4)</f>
        <v>1386.9</v>
      </c>
      <c r="E79" s="50">
        <f t="shared" si="3"/>
        <v>1.953998125315445</v>
      </c>
      <c r="F79" s="49">
        <f>VLOOKUP($A79,'Data shares'!$C:$FB,98)</f>
        <v>29956500</v>
      </c>
      <c r="G79" s="49">
        <f>VLOOKUP($A79,'Data shares'!$C:$FB,99)</f>
        <v>29268750</v>
      </c>
      <c r="H79" s="50">
        <f t="shared" si="4"/>
        <v>2.3497757847533629</v>
      </c>
      <c r="I79" s="49">
        <f>VLOOKUP($A79,'Data shares'!$C:$FB,66)</f>
        <v>14502250</v>
      </c>
      <c r="J79" s="49">
        <f>VLOOKUP($A79,'Data shares'!$C:$FB,67)</f>
        <v>8318800</v>
      </c>
      <c r="K79" s="50">
        <f t="shared" si="5"/>
        <v>42.637866537951005</v>
      </c>
      <c r="L79" s="50">
        <f>VLOOKUP($A79,'Data shares'!$C:$FB,118)</f>
        <v>0.79</v>
      </c>
      <c r="M79" s="50">
        <f>VLOOKUP($A79,'Data shares'!$C:$FB,119)</f>
        <v>0.84</v>
      </c>
      <c r="N79" s="50">
        <f>VLOOKUP($A79,'Data shares'!$C:$FB,121)*100</f>
        <v>-5.9499999999999993</v>
      </c>
      <c r="O79" s="50">
        <f>VLOOKUP($A79,'Data shares'!$C:$FB,124)</f>
        <v>0.38</v>
      </c>
      <c r="P79" s="50">
        <f>VLOOKUP($A79,'Data shares'!$C:$FB,125)</f>
        <v>0.71</v>
      </c>
      <c r="Q79" s="50">
        <f>VLOOKUP($A79,'Data shares'!$C:$FB,127)*100</f>
        <v>-46.48</v>
      </c>
    </row>
    <row r="80" spans="1:17" x14ac:dyDescent="0.25">
      <c r="A80" s="97" t="str">
        <f>'Data Vlaue (Cr)'!C75</f>
        <v>HDFCAMC</v>
      </c>
      <c r="B80" s="140">
        <f>VLOOKUP($A80,'Data shares'!$C:$FB,7)</f>
        <v>5661</v>
      </c>
      <c r="C80" s="140">
        <f>VLOOKUP($A80,'Data shares'!$C:$FB,3)</f>
        <v>5693.5</v>
      </c>
      <c r="D80" s="140">
        <f>VLOOKUP($A80,'Data shares'!$C:$FB,4)</f>
        <v>5621</v>
      </c>
      <c r="E80" s="50">
        <f t="shared" si="3"/>
        <v>1.2898060843266324</v>
      </c>
      <c r="F80" s="49">
        <f>VLOOKUP($A80,'Data shares'!$C:$FB,98)</f>
        <v>3019650</v>
      </c>
      <c r="G80" s="49">
        <f>VLOOKUP($A80,'Data shares'!$C:$FB,99)</f>
        <v>2953800</v>
      </c>
      <c r="H80" s="50">
        <f t="shared" si="4"/>
        <v>2.2293317083079423</v>
      </c>
      <c r="I80" s="49">
        <f>VLOOKUP($A80,'Data shares'!$C:$FB,66)</f>
        <v>1455750</v>
      </c>
      <c r="J80" s="49">
        <f>VLOOKUP($A80,'Data shares'!$C:$FB,67)</f>
        <v>1173900</v>
      </c>
      <c r="K80" s="50">
        <f t="shared" si="5"/>
        <v>19.361154044307057</v>
      </c>
      <c r="L80" s="50">
        <f>VLOOKUP($A80,'Data shares'!$C:$FB,118)</f>
        <v>0.89</v>
      </c>
      <c r="M80" s="50">
        <f>VLOOKUP($A80,'Data shares'!$C:$FB,119)</f>
        <v>0.94</v>
      </c>
      <c r="N80" s="50">
        <f>VLOOKUP($A80,'Data shares'!$C:$FB,121)*100</f>
        <v>-5.3199999999999994</v>
      </c>
      <c r="O80" s="50">
        <f>VLOOKUP($A80,'Data shares'!$C:$FB,124)</f>
        <v>0.37</v>
      </c>
      <c r="P80" s="50">
        <f>VLOOKUP($A80,'Data shares'!$C:$FB,125)</f>
        <v>0.38</v>
      </c>
      <c r="Q80" s="50">
        <f>VLOOKUP($A80,'Data shares'!$C:$FB,127)*100</f>
        <v>-2.63</v>
      </c>
    </row>
    <row r="81" spans="1:17" x14ac:dyDescent="0.25">
      <c r="A81" s="97" t="str">
        <f>'Data Vlaue (Cr)'!C76</f>
        <v>HDFCBANK</v>
      </c>
      <c r="B81" s="140">
        <f>VLOOKUP($A81,'Data shares'!$C:$FB,7)</f>
        <v>973.45</v>
      </c>
      <c r="C81" s="140">
        <f>VLOOKUP($A81,'Data shares'!$C:$FB,3)</f>
        <v>976.6</v>
      </c>
      <c r="D81" s="140">
        <f>VLOOKUP($A81,'Data shares'!$C:$FB,4)</f>
        <v>968.6</v>
      </c>
      <c r="E81" s="50">
        <f t="shared" si="3"/>
        <v>0.82593433822011153</v>
      </c>
      <c r="F81" s="49">
        <f>VLOOKUP($A81,'Data shares'!$C:$FB,98)</f>
        <v>267776300</v>
      </c>
      <c r="G81" s="49">
        <f>VLOOKUP($A81,'Data shares'!$C:$FB,99)</f>
        <v>270602200</v>
      </c>
      <c r="H81" s="50">
        <f t="shared" si="4"/>
        <v>-1.0443004528418467</v>
      </c>
      <c r="I81" s="49">
        <f>VLOOKUP($A81,'Data shares'!$C:$FB,66)</f>
        <v>134278100</v>
      </c>
      <c r="J81" s="49">
        <f>VLOOKUP($A81,'Data shares'!$C:$FB,67)</f>
        <v>118817600</v>
      </c>
      <c r="K81" s="50">
        <f t="shared" si="5"/>
        <v>11.513791154328219</v>
      </c>
      <c r="L81" s="50">
        <f>VLOOKUP($A81,'Data shares'!$C:$FB,118)</f>
        <v>0.83</v>
      </c>
      <c r="M81" s="50">
        <f>VLOOKUP($A81,'Data shares'!$C:$FB,119)</f>
        <v>0.79</v>
      </c>
      <c r="N81" s="50">
        <f>VLOOKUP($A81,'Data shares'!$C:$FB,121)*100</f>
        <v>5.0599999999999996</v>
      </c>
      <c r="O81" s="50">
        <f>VLOOKUP($A81,'Data shares'!$C:$FB,124)</f>
        <v>0.57999999999999996</v>
      </c>
      <c r="P81" s="50">
        <f>VLOOKUP($A81,'Data shares'!$C:$FB,125)</f>
        <v>0.59</v>
      </c>
      <c r="Q81" s="50">
        <f>VLOOKUP($A81,'Data shares'!$C:$FB,127)*100</f>
        <v>-1.69</v>
      </c>
    </row>
    <row r="82" spans="1:17" x14ac:dyDescent="0.25">
      <c r="A82" s="97" t="str">
        <f>'Data Vlaue (Cr)'!C77</f>
        <v>HDFCLIFE</v>
      </c>
      <c r="B82" s="140">
        <f>VLOOKUP($A82,'Data shares'!$C:$FB,7)</f>
        <v>763.05</v>
      </c>
      <c r="C82" s="140">
        <f>VLOOKUP($A82,'Data shares'!$C:$FB,3)</f>
        <v>764.35</v>
      </c>
      <c r="D82" s="140">
        <f>VLOOKUP($A82,'Data shares'!$C:$FB,4)</f>
        <v>762.4</v>
      </c>
      <c r="E82" s="50">
        <f t="shared" si="3"/>
        <v>0.25577124868835854</v>
      </c>
      <c r="F82" s="49">
        <f>VLOOKUP($A82,'Data shares'!$C:$FB,98)</f>
        <v>38756300</v>
      </c>
      <c r="G82" s="49">
        <f>VLOOKUP($A82,'Data shares'!$C:$FB,99)</f>
        <v>37352700</v>
      </c>
      <c r="H82" s="50">
        <f t="shared" si="4"/>
        <v>3.7576935536119209</v>
      </c>
      <c r="I82" s="49">
        <f>VLOOKUP($A82,'Data shares'!$C:$FB,66)</f>
        <v>10257500</v>
      </c>
      <c r="J82" s="49">
        <f>VLOOKUP($A82,'Data shares'!$C:$FB,67)</f>
        <v>11100100</v>
      </c>
      <c r="K82" s="50">
        <f t="shared" si="5"/>
        <v>-8.2144772117962468</v>
      </c>
      <c r="L82" s="50">
        <f>VLOOKUP($A82,'Data shares'!$C:$FB,118)</f>
        <v>0.65</v>
      </c>
      <c r="M82" s="50">
        <f>VLOOKUP($A82,'Data shares'!$C:$FB,119)</f>
        <v>0.69</v>
      </c>
      <c r="N82" s="50">
        <f>VLOOKUP($A82,'Data shares'!$C:$FB,121)*100</f>
        <v>-5.8000000000000007</v>
      </c>
      <c r="O82" s="50">
        <f>VLOOKUP($A82,'Data shares'!$C:$FB,124)</f>
        <v>0.46</v>
      </c>
      <c r="P82" s="50">
        <f>VLOOKUP($A82,'Data shares'!$C:$FB,125)</f>
        <v>0.47</v>
      </c>
      <c r="Q82" s="50">
        <f>VLOOKUP($A82,'Data shares'!$C:$FB,127)*100</f>
        <v>-2.13</v>
      </c>
    </row>
    <row r="83" spans="1:17" x14ac:dyDescent="0.25">
      <c r="A83" s="97" t="str">
        <f>'Data Vlaue (Cr)'!C78</f>
        <v>HEROMOTOCO</v>
      </c>
      <c r="B83" s="140">
        <f>VLOOKUP($A83,'Data shares'!$C:$FB,7)</f>
        <v>5581.5</v>
      </c>
      <c r="C83" s="140">
        <f>VLOOKUP($A83,'Data shares'!$C:$FB,3)</f>
        <v>5613</v>
      </c>
      <c r="D83" s="140">
        <f>VLOOKUP($A83,'Data shares'!$C:$FB,4)</f>
        <v>5581</v>
      </c>
      <c r="E83" s="50">
        <f t="shared" si="3"/>
        <v>0.57337394732126856</v>
      </c>
      <c r="F83" s="49">
        <f>VLOOKUP($A83,'Data shares'!$C:$FB,98)</f>
        <v>8661600</v>
      </c>
      <c r="G83" s="49">
        <f>VLOOKUP($A83,'Data shares'!$C:$FB,99)</f>
        <v>8698650</v>
      </c>
      <c r="H83" s="50">
        <f t="shared" si="4"/>
        <v>-0.42592816126640343</v>
      </c>
      <c r="I83" s="49">
        <f>VLOOKUP($A83,'Data shares'!$C:$FB,66)</f>
        <v>7271550</v>
      </c>
      <c r="J83" s="49">
        <f>VLOOKUP($A83,'Data shares'!$C:$FB,67)</f>
        <v>22976550</v>
      </c>
      <c r="K83" s="50">
        <f t="shared" si="5"/>
        <v>-215.97871155393281</v>
      </c>
      <c r="L83" s="50">
        <f>VLOOKUP($A83,'Data shares'!$C:$FB,118)</f>
        <v>0.78</v>
      </c>
      <c r="M83" s="50">
        <f>VLOOKUP($A83,'Data shares'!$C:$FB,119)</f>
        <v>0.75</v>
      </c>
      <c r="N83" s="50">
        <f>VLOOKUP($A83,'Data shares'!$C:$FB,121)*100</f>
        <v>4</v>
      </c>
      <c r="O83" s="50">
        <f>VLOOKUP($A83,'Data shares'!$C:$FB,124)</f>
        <v>0.51</v>
      </c>
      <c r="P83" s="50">
        <f>VLOOKUP($A83,'Data shares'!$C:$FB,125)</f>
        <v>0.46</v>
      </c>
      <c r="Q83" s="50">
        <f>VLOOKUP($A83,'Data shares'!$C:$FB,127)*100</f>
        <v>10.870000000000001</v>
      </c>
    </row>
    <row r="84" spans="1:17" x14ac:dyDescent="0.25">
      <c r="A84" s="97" t="str">
        <f>'Data Vlaue (Cr)'!C79</f>
        <v>HFCL</v>
      </c>
      <c r="B84" s="140">
        <f>VLOOKUP($A84,'Data shares'!$C:$FB,7)</f>
        <v>74.44</v>
      </c>
      <c r="C84" s="140">
        <f>VLOOKUP($A84,'Data shares'!$C:$FB,3)</f>
        <v>74.680000000000007</v>
      </c>
      <c r="D84" s="140">
        <f>VLOOKUP($A84,'Data shares'!$C:$FB,4)</f>
        <v>76.36</v>
      </c>
      <c r="E84" s="50">
        <f t="shared" si="3"/>
        <v>-2.2001047668936522</v>
      </c>
      <c r="F84" s="49">
        <f>VLOOKUP($A84,'Data shares'!$C:$FB,98)</f>
        <v>170860500</v>
      </c>
      <c r="G84" s="49">
        <f>VLOOKUP($A84,'Data shares'!$C:$FB,99)</f>
        <v>159805200</v>
      </c>
      <c r="H84" s="50">
        <f t="shared" si="4"/>
        <v>6.9179851469163705</v>
      </c>
      <c r="I84" s="49">
        <f>VLOOKUP($A84,'Data shares'!$C:$FB,66)</f>
        <v>62552100</v>
      </c>
      <c r="J84" s="49">
        <f>VLOOKUP($A84,'Data shares'!$C:$FB,67)</f>
        <v>133843950</v>
      </c>
      <c r="K84" s="50">
        <f t="shared" si="5"/>
        <v>-113.97195297999588</v>
      </c>
      <c r="L84" s="50">
        <f>VLOOKUP($A84,'Data shares'!$C:$FB,118)</f>
        <v>0.55000000000000004</v>
      </c>
      <c r="M84" s="50">
        <f>VLOOKUP($A84,'Data shares'!$C:$FB,119)</f>
        <v>0.63</v>
      </c>
      <c r="N84" s="50">
        <f>VLOOKUP($A84,'Data shares'!$C:$FB,121)*100</f>
        <v>-12.7</v>
      </c>
      <c r="O84" s="50">
        <f>VLOOKUP($A84,'Data shares'!$C:$FB,124)</f>
        <v>0.27</v>
      </c>
      <c r="P84" s="50">
        <f>VLOOKUP($A84,'Data shares'!$C:$FB,125)</f>
        <v>0.48</v>
      </c>
      <c r="Q84" s="50">
        <f>VLOOKUP($A84,'Data shares'!$C:$FB,127)*100</f>
        <v>-43.75</v>
      </c>
    </row>
    <row r="85" spans="1:17" x14ac:dyDescent="0.25">
      <c r="A85" s="97" t="str">
        <f>'Data Vlaue (Cr)'!C80</f>
        <v>HINDALCO</v>
      </c>
      <c r="B85" s="140">
        <f>VLOOKUP($A85,'Data shares'!$C:$FB,7)</f>
        <v>776.7</v>
      </c>
      <c r="C85" s="140">
        <f>VLOOKUP($A85,'Data shares'!$C:$FB,3)</f>
        <v>781.25</v>
      </c>
      <c r="D85" s="140">
        <f>VLOOKUP($A85,'Data shares'!$C:$FB,4)</f>
        <v>784.55</v>
      </c>
      <c r="E85" s="50">
        <f t="shared" si="3"/>
        <v>-0.42062328723471476</v>
      </c>
      <c r="F85" s="49">
        <f>VLOOKUP($A85,'Data shares'!$C:$FB,98)</f>
        <v>86485000</v>
      </c>
      <c r="G85" s="49">
        <f>VLOOKUP($A85,'Data shares'!$C:$FB,99)</f>
        <v>84966000</v>
      </c>
      <c r="H85" s="50">
        <f t="shared" si="4"/>
        <v>1.787773933102653</v>
      </c>
      <c r="I85" s="49">
        <f>VLOOKUP($A85,'Data shares'!$C:$FB,66)</f>
        <v>35292600</v>
      </c>
      <c r="J85" s="49">
        <f>VLOOKUP($A85,'Data shares'!$C:$FB,67)</f>
        <v>106615600</v>
      </c>
      <c r="K85" s="50">
        <f t="shared" si="5"/>
        <v>-202.09052322583204</v>
      </c>
      <c r="L85" s="50">
        <f>VLOOKUP($A85,'Data shares'!$C:$FB,118)</f>
        <v>0.78</v>
      </c>
      <c r="M85" s="50">
        <f>VLOOKUP($A85,'Data shares'!$C:$FB,119)</f>
        <v>0.82</v>
      </c>
      <c r="N85" s="50">
        <f>VLOOKUP($A85,'Data shares'!$C:$FB,121)*100</f>
        <v>-4.88</v>
      </c>
      <c r="O85" s="50">
        <f>VLOOKUP($A85,'Data shares'!$C:$FB,124)</f>
        <v>0.52</v>
      </c>
      <c r="P85" s="50">
        <f>VLOOKUP($A85,'Data shares'!$C:$FB,125)</f>
        <v>0.42</v>
      </c>
      <c r="Q85" s="50">
        <f>VLOOKUP($A85,'Data shares'!$C:$FB,127)*100</f>
        <v>23.810000000000002</v>
      </c>
    </row>
    <row r="86" spans="1:17" x14ac:dyDescent="0.25">
      <c r="A86" s="97" t="str">
        <f>'Data Vlaue (Cr)'!C81</f>
        <v>HINDPETRO</v>
      </c>
      <c r="B86" s="140">
        <f>VLOOKUP($A86,'Data shares'!$C:$FB,7)</f>
        <v>456.3</v>
      </c>
      <c r="C86" s="140">
        <f>VLOOKUP($A86,'Data shares'!$C:$FB,3)</f>
        <v>458.4</v>
      </c>
      <c r="D86" s="140">
        <f>VLOOKUP($A86,'Data shares'!$C:$FB,4)</f>
        <v>448</v>
      </c>
      <c r="E86" s="50">
        <f t="shared" si="3"/>
        <v>2.3214285714285663</v>
      </c>
      <c r="F86" s="49">
        <f>VLOOKUP($A86,'Data shares'!$C:$FB,98)</f>
        <v>76553100</v>
      </c>
      <c r="G86" s="49">
        <f>VLOOKUP($A86,'Data shares'!$C:$FB,99)</f>
        <v>73179450</v>
      </c>
      <c r="H86" s="50">
        <f t="shared" si="4"/>
        <v>4.6101057059051413</v>
      </c>
      <c r="I86" s="49">
        <f>VLOOKUP($A86,'Data shares'!$C:$FB,66)</f>
        <v>77057325</v>
      </c>
      <c r="J86" s="49">
        <f>VLOOKUP($A86,'Data shares'!$C:$FB,67)</f>
        <v>54089775</v>
      </c>
      <c r="K86" s="50">
        <f t="shared" si="5"/>
        <v>29.805797177620686</v>
      </c>
      <c r="L86" s="50">
        <f>VLOOKUP($A86,'Data shares'!$C:$FB,118)</f>
        <v>0.56000000000000005</v>
      </c>
      <c r="M86" s="50">
        <f>VLOOKUP($A86,'Data shares'!$C:$FB,119)</f>
        <v>0.54</v>
      </c>
      <c r="N86" s="50">
        <f>VLOOKUP($A86,'Data shares'!$C:$FB,121)*100</f>
        <v>3.6999999999999997</v>
      </c>
      <c r="O86" s="50">
        <f>VLOOKUP($A86,'Data shares'!$C:$FB,124)</f>
        <v>0.48</v>
      </c>
      <c r="P86" s="50">
        <f>VLOOKUP($A86,'Data shares'!$C:$FB,125)</f>
        <v>0.44</v>
      </c>
      <c r="Q86" s="50">
        <f>VLOOKUP($A86,'Data shares'!$C:$FB,127)*100</f>
        <v>9.09</v>
      </c>
    </row>
    <row r="87" spans="1:17" x14ac:dyDescent="0.25">
      <c r="A87" s="97" t="str">
        <f>'Data Vlaue (Cr)'!C82</f>
        <v>HINDUNILVR</v>
      </c>
      <c r="B87" s="140">
        <f>VLOOKUP($A87,'Data shares'!$C:$FB,7)</f>
        <v>2541.8000000000002</v>
      </c>
      <c r="C87" s="140">
        <f>VLOOKUP($A87,'Data shares'!$C:$FB,3)</f>
        <v>2556.5</v>
      </c>
      <c r="D87" s="140">
        <f>VLOOKUP($A87,'Data shares'!$C:$FB,4)</f>
        <v>2552.3000000000002</v>
      </c>
      <c r="E87" s="50">
        <f t="shared" si="3"/>
        <v>0.16455745797907056</v>
      </c>
      <c r="F87" s="49">
        <f>VLOOKUP($A87,'Data shares'!$C:$FB,98)</f>
        <v>20557200</v>
      </c>
      <c r="G87" s="49">
        <f>VLOOKUP($A87,'Data shares'!$C:$FB,99)</f>
        <v>20930700</v>
      </c>
      <c r="H87" s="50">
        <f t="shared" si="4"/>
        <v>-1.7844601470567156</v>
      </c>
      <c r="I87" s="49">
        <f>VLOOKUP($A87,'Data shares'!$C:$FB,66)</f>
        <v>6858000</v>
      </c>
      <c r="J87" s="49">
        <f>VLOOKUP($A87,'Data shares'!$C:$FB,67)</f>
        <v>8716500</v>
      </c>
      <c r="K87" s="50">
        <f t="shared" si="5"/>
        <v>-27.099737532808398</v>
      </c>
      <c r="L87" s="50">
        <f>VLOOKUP($A87,'Data shares'!$C:$FB,118)</f>
        <v>0.65</v>
      </c>
      <c r="M87" s="50">
        <f>VLOOKUP($A87,'Data shares'!$C:$FB,119)</f>
        <v>0.65</v>
      </c>
      <c r="N87" s="50">
        <f>VLOOKUP($A87,'Data shares'!$C:$FB,121)*100</f>
        <v>0</v>
      </c>
      <c r="O87" s="50">
        <f>VLOOKUP($A87,'Data shares'!$C:$FB,124)</f>
        <v>0.66</v>
      </c>
      <c r="P87" s="50">
        <f>VLOOKUP($A87,'Data shares'!$C:$FB,125)</f>
        <v>0.75</v>
      </c>
      <c r="Q87" s="50">
        <f>VLOOKUP($A87,'Data shares'!$C:$FB,127)*100</f>
        <v>-12</v>
      </c>
    </row>
    <row r="88" spans="1:17" x14ac:dyDescent="0.25">
      <c r="A88" s="97" t="str">
        <f>'Data Vlaue (Cr)'!C83</f>
        <v>HINDZINC</v>
      </c>
      <c r="B88" s="140">
        <f>VLOOKUP($A88,'Data shares'!$C:$FB,7)</f>
        <v>491.5</v>
      </c>
      <c r="C88" s="140">
        <f>VLOOKUP($A88,'Data shares'!$C:$FB,3)</f>
        <v>493.3</v>
      </c>
      <c r="D88" s="140">
        <f>VLOOKUP($A88,'Data shares'!$C:$FB,4)</f>
        <v>494.5</v>
      </c>
      <c r="E88" s="50">
        <f t="shared" si="3"/>
        <v>-0.24266936299291983</v>
      </c>
      <c r="F88" s="140">
        <f>VLOOKUP($A88,'Data shares'!$C:$FB,98)</f>
        <v>57174425</v>
      </c>
      <c r="G88" s="140">
        <f>VLOOKUP($A88,'Data shares'!$C:$FB,99)</f>
        <v>54453700</v>
      </c>
      <c r="H88" s="50">
        <f t="shared" si="4"/>
        <v>4.9964006118959778</v>
      </c>
      <c r="I88" s="49">
        <f>VLOOKUP($A88,'Data shares'!$C:$FB,66)</f>
        <v>30986375</v>
      </c>
      <c r="J88" s="49">
        <f>VLOOKUP($A88,'Data shares'!$C:$FB,67)</f>
        <v>73503675</v>
      </c>
      <c r="K88" s="50">
        <f t="shared" si="5"/>
        <v>-137.21288792251434</v>
      </c>
      <c r="L88" s="50">
        <f>VLOOKUP($A88,'Data shares'!$C:$FB,118)</f>
        <v>0.56999999999999995</v>
      </c>
      <c r="M88" s="50">
        <f>VLOOKUP($A88,'Data shares'!$C:$FB,119)</f>
        <v>0.61</v>
      </c>
      <c r="N88" s="50">
        <f>VLOOKUP($A88,'Data shares'!$C:$FB,121)*100</f>
        <v>-6.5600000000000005</v>
      </c>
      <c r="O88" s="50">
        <f>VLOOKUP($A88,'Data shares'!$C:$FB,124)</f>
        <v>0.33</v>
      </c>
      <c r="P88" s="50">
        <f>VLOOKUP($A88,'Data shares'!$C:$FB,125)</f>
        <v>0.28999999999999998</v>
      </c>
      <c r="Q88" s="50">
        <f>VLOOKUP($A88,'Data shares'!$C:$FB,127)*100</f>
        <v>13.79</v>
      </c>
    </row>
    <row r="89" spans="1:17" x14ac:dyDescent="0.25">
      <c r="A89" s="97" t="str">
        <f>'Data Vlaue (Cr)'!C84</f>
        <v>HUDCO</v>
      </c>
      <c r="B89" s="140">
        <f>VLOOKUP($A89,'Data shares'!$C:$FB,7)</f>
        <v>230.91</v>
      </c>
      <c r="C89" s="140">
        <f>VLOOKUP($A89,'Data shares'!$C:$FB,3)</f>
        <v>232.32</v>
      </c>
      <c r="D89" s="140">
        <f>VLOOKUP($A89,'Data shares'!$C:$FB,4)</f>
        <v>235.36</v>
      </c>
      <c r="E89" s="50">
        <f t="shared" si="3"/>
        <v>-1.2916383412644545</v>
      </c>
      <c r="F89" s="49">
        <f>VLOOKUP($A89,'Data shares'!$C:$FB,98)</f>
        <v>47957550</v>
      </c>
      <c r="G89" s="49">
        <f>VLOOKUP($A89,'Data shares'!$C:$FB,99)</f>
        <v>44882850</v>
      </c>
      <c r="H89" s="50">
        <f t="shared" si="4"/>
        <v>6.85050080375912</v>
      </c>
      <c r="I89" s="49">
        <f>VLOOKUP($A89,'Data shares'!$C:$FB,66)</f>
        <v>21794850</v>
      </c>
      <c r="J89" s="49">
        <f>VLOOKUP($A89,'Data shares'!$C:$FB,67)</f>
        <v>35547750</v>
      </c>
      <c r="K89" s="50">
        <f t="shared" si="5"/>
        <v>-63.101604278074866</v>
      </c>
      <c r="L89" s="50">
        <f>VLOOKUP($A89,'Data shares'!$C:$FB,118)</f>
        <v>0.56999999999999995</v>
      </c>
      <c r="M89" s="50">
        <f>VLOOKUP($A89,'Data shares'!$C:$FB,119)</f>
        <v>0.6</v>
      </c>
      <c r="N89" s="50">
        <f>VLOOKUP($A89,'Data shares'!$C:$FB,121)*100</f>
        <v>-5</v>
      </c>
      <c r="O89" s="50">
        <f>VLOOKUP($A89,'Data shares'!$C:$FB,124)</f>
        <v>0.42</v>
      </c>
      <c r="P89" s="50">
        <f>VLOOKUP($A89,'Data shares'!$C:$FB,125)</f>
        <v>0.46</v>
      </c>
      <c r="Q89" s="50">
        <f>VLOOKUP($A89,'Data shares'!$C:$FB,127)*100</f>
        <v>-8.6999999999999993</v>
      </c>
    </row>
    <row r="90" spans="1:17" x14ac:dyDescent="0.25">
      <c r="A90" s="97" t="str">
        <f>'Data Vlaue (Cr)'!C85</f>
        <v>ICICIBANK</v>
      </c>
      <c r="B90" s="140">
        <f>VLOOKUP($A90,'Data shares'!$C:$FB,7)</f>
        <v>1363.4</v>
      </c>
      <c r="C90" s="140">
        <f>VLOOKUP($A90,'Data shares'!$C:$FB,3)</f>
        <v>1368.3</v>
      </c>
      <c r="D90" s="140">
        <f>VLOOKUP($A90,'Data shares'!$C:$FB,4)</f>
        <v>1371</v>
      </c>
      <c r="E90" s="50">
        <f t="shared" si="3"/>
        <v>-0.19693654266958754</v>
      </c>
      <c r="F90" s="49">
        <f>VLOOKUP($A90,'Data shares'!$C:$FB,98)</f>
        <v>159332600</v>
      </c>
      <c r="G90" s="49">
        <f>VLOOKUP($A90,'Data shares'!$C:$FB,99)</f>
        <v>152950700</v>
      </c>
      <c r="H90" s="50">
        <f t="shared" si="4"/>
        <v>4.1725209495608713</v>
      </c>
      <c r="I90" s="49">
        <f>VLOOKUP($A90,'Data shares'!$C:$FB,66)</f>
        <v>67213300</v>
      </c>
      <c r="J90" s="49">
        <f>VLOOKUP($A90,'Data shares'!$C:$FB,67)</f>
        <v>55589800</v>
      </c>
      <c r="K90" s="50">
        <f t="shared" si="5"/>
        <v>17.29345233755819</v>
      </c>
      <c r="L90" s="50">
        <f>VLOOKUP($A90,'Data shares'!$C:$FB,118)</f>
        <v>0.75</v>
      </c>
      <c r="M90" s="50">
        <f>VLOOKUP($A90,'Data shares'!$C:$FB,119)</f>
        <v>0.8</v>
      </c>
      <c r="N90" s="50">
        <f>VLOOKUP($A90,'Data shares'!$C:$FB,121)*100</f>
        <v>-6.25</v>
      </c>
      <c r="O90" s="50">
        <f>VLOOKUP($A90,'Data shares'!$C:$FB,124)</f>
        <v>0.56000000000000005</v>
      </c>
      <c r="P90" s="50">
        <f>VLOOKUP($A90,'Data shares'!$C:$FB,125)</f>
        <v>0.63</v>
      </c>
      <c r="Q90" s="50">
        <f>VLOOKUP($A90,'Data shares'!$C:$FB,127)*100</f>
        <v>-11.110000000000001</v>
      </c>
    </row>
    <row r="91" spans="1:17" x14ac:dyDescent="0.25">
      <c r="A91" s="97" t="str">
        <f>'Data Vlaue (Cr)'!C86</f>
        <v>ICICIGI</v>
      </c>
      <c r="B91" s="140">
        <f>VLOOKUP($A91,'Data shares'!$C:$FB,7)</f>
        <v>1925.8</v>
      </c>
      <c r="C91" s="140">
        <f>VLOOKUP($A91,'Data shares'!$C:$FB,3)</f>
        <v>1931.7</v>
      </c>
      <c r="D91" s="140">
        <f>VLOOKUP($A91,'Data shares'!$C:$FB,4)</f>
        <v>1918.1</v>
      </c>
      <c r="E91" s="50">
        <f t="shared" si="3"/>
        <v>0.70903498253480723</v>
      </c>
      <c r="F91" s="49">
        <f>VLOOKUP($A91,'Data shares'!$C:$FB,98)</f>
        <v>6464250</v>
      </c>
      <c r="G91" s="49">
        <f>VLOOKUP($A91,'Data shares'!$C:$FB,99)</f>
        <v>6377475</v>
      </c>
      <c r="H91" s="50">
        <f t="shared" si="4"/>
        <v>1.3606482189267697</v>
      </c>
      <c r="I91" s="49">
        <f>VLOOKUP($A91,'Data shares'!$C:$FB,66)</f>
        <v>1468675</v>
      </c>
      <c r="J91" s="49">
        <f>VLOOKUP($A91,'Data shares'!$C:$FB,67)</f>
        <v>1435525</v>
      </c>
      <c r="K91" s="50">
        <f t="shared" si="5"/>
        <v>2.2571365346315555</v>
      </c>
      <c r="L91" s="50">
        <f>VLOOKUP($A91,'Data shares'!$C:$FB,118)</f>
        <v>0.78</v>
      </c>
      <c r="M91" s="50">
        <f>VLOOKUP($A91,'Data shares'!$C:$FB,119)</f>
        <v>0.79</v>
      </c>
      <c r="N91" s="50">
        <f>VLOOKUP($A91,'Data shares'!$C:$FB,121)*100</f>
        <v>-1.27</v>
      </c>
      <c r="O91" s="50">
        <f>VLOOKUP($A91,'Data shares'!$C:$FB,124)</f>
        <v>0.27</v>
      </c>
      <c r="P91" s="50">
        <f>VLOOKUP($A91,'Data shares'!$C:$FB,125)</f>
        <v>0.39</v>
      </c>
      <c r="Q91" s="50">
        <f>VLOOKUP($A91,'Data shares'!$C:$FB,127)*100</f>
        <v>-30.769999999999996</v>
      </c>
    </row>
    <row r="92" spans="1:17" x14ac:dyDescent="0.25">
      <c r="A92" s="97" t="str">
        <f>'Data Vlaue (Cr)'!C87</f>
        <v>ICICIPRULI</v>
      </c>
      <c r="B92" s="140">
        <f>VLOOKUP($A92,'Data shares'!$C:$FB,7)</f>
        <v>600.45000000000005</v>
      </c>
      <c r="C92" s="140">
        <f>VLOOKUP($A92,'Data shares'!$C:$FB,3)</f>
        <v>604.20000000000005</v>
      </c>
      <c r="D92" s="140">
        <f>VLOOKUP($A92,'Data shares'!$C:$FB,4)</f>
        <v>605.04999999999995</v>
      </c>
      <c r="E92" s="50">
        <f t="shared" si="3"/>
        <v>-0.14048425749936519</v>
      </c>
      <c r="F92" s="49">
        <f>VLOOKUP($A92,'Data shares'!$C:$FB,98)</f>
        <v>15778650</v>
      </c>
      <c r="G92" s="49">
        <f>VLOOKUP($A92,'Data shares'!$C:$FB,99)</f>
        <v>15628800</v>
      </c>
      <c r="H92" s="50">
        <f t="shared" si="4"/>
        <v>0.95880681818181823</v>
      </c>
      <c r="I92" s="49">
        <f>VLOOKUP($A92,'Data shares'!$C:$FB,66)</f>
        <v>2876750</v>
      </c>
      <c r="J92" s="49">
        <f>VLOOKUP($A92,'Data shares'!$C:$FB,67)</f>
        <v>3755500</v>
      </c>
      <c r="K92" s="50">
        <f t="shared" si="5"/>
        <v>-30.54662379421222</v>
      </c>
      <c r="L92" s="50">
        <f>VLOOKUP($A92,'Data shares'!$C:$FB,118)</f>
        <v>0.8</v>
      </c>
      <c r="M92" s="50">
        <f>VLOOKUP($A92,'Data shares'!$C:$FB,119)</f>
        <v>0.83</v>
      </c>
      <c r="N92" s="50">
        <f>VLOOKUP($A92,'Data shares'!$C:$FB,121)*100</f>
        <v>-3.61</v>
      </c>
      <c r="O92" s="50">
        <f>VLOOKUP($A92,'Data shares'!$C:$FB,124)</f>
        <v>0.46</v>
      </c>
      <c r="P92" s="50">
        <f>VLOOKUP($A92,'Data shares'!$C:$FB,125)</f>
        <v>0.59</v>
      </c>
      <c r="Q92" s="50">
        <f>VLOOKUP($A92,'Data shares'!$C:$FB,127)*100</f>
        <v>-22.03</v>
      </c>
    </row>
    <row r="93" spans="1:17" x14ac:dyDescent="0.25">
      <c r="A93" s="97" t="str">
        <f>'Data Vlaue (Cr)'!C88</f>
        <v>IDEA</v>
      </c>
      <c r="B93" s="140">
        <f>VLOOKUP($A93,'Data shares'!$C:$FB,7)</f>
        <v>8.4700000000000006</v>
      </c>
      <c r="C93" s="140">
        <f>VLOOKUP($A93,'Data shares'!$C:$FB,3)</f>
        <v>8.51</v>
      </c>
      <c r="D93" s="140">
        <f>VLOOKUP($A93,'Data shares'!$C:$FB,4)</f>
        <v>8.89</v>
      </c>
      <c r="E93" s="50">
        <f t="shared" si="3"/>
        <v>-4.2744656917885351</v>
      </c>
      <c r="F93" s="49">
        <f>VLOOKUP($A93,'Data shares'!$C:$FB,98)</f>
        <v>9245934525</v>
      </c>
      <c r="G93" s="49">
        <f>VLOOKUP($A93,'Data shares'!$C:$FB,99)</f>
        <v>8525466525</v>
      </c>
      <c r="H93" s="50">
        <f t="shared" si="4"/>
        <v>8.4507750735670157</v>
      </c>
      <c r="I93" s="49">
        <f>VLOOKUP($A93,'Data shares'!$C:$FB,66)</f>
        <v>6536960550</v>
      </c>
      <c r="J93" s="49">
        <f>VLOOKUP($A93,'Data shares'!$C:$FB,67)</f>
        <v>2803035075</v>
      </c>
      <c r="K93" s="50">
        <f t="shared" si="5"/>
        <v>57.120208182991092</v>
      </c>
      <c r="L93" s="50">
        <f>VLOOKUP($A93,'Data shares'!$C:$FB,118)</f>
        <v>0.51</v>
      </c>
      <c r="M93" s="50">
        <f>VLOOKUP($A93,'Data shares'!$C:$FB,119)</f>
        <v>0.54</v>
      </c>
      <c r="N93" s="50">
        <f>VLOOKUP($A93,'Data shares'!$C:$FB,121)*100</f>
        <v>-5.56</v>
      </c>
      <c r="O93" s="50">
        <f>VLOOKUP($A93,'Data shares'!$C:$FB,124)</f>
        <v>0.31</v>
      </c>
      <c r="P93" s="50">
        <f>VLOOKUP($A93,'Data shares'!$C:$FB,125)</f>
        <v>0.18</v>
      </c>
      <c r="Q93" s="50">
        <f>VLOOKUP($A93,'Data shares'!$C:$FB,127)*100</f>
        <v>72.22</v>
      </c>
    </row>
    <row r="94" spans="1:17" x14ac:dyDescent="0.25">
      <c r="A94" s="97" t="str">
        <f>'Data Vlaue (Cr)'!C89</f>
        <v>IDFCFIRSTB</v>
      </c>
      <c r="B94" s="140">
        <f>VLOOKUP($A94,'Data shares'!$C:$FB,7)</f>
        <v>71.09</v>
      </c>
      <c r="C94" s="140">
        <f>VLOOKUP($A94,'Data shares'!$C:$FB,3)</f>
        <v>71.47</v>
      </c>
      <c r="D94" s="140">
        <f>VLOOKUP($A94,'Data shares'!$C:$FB,4)</f>
        <v>69.430000000000007</v>
      </c>
      <c r="E94" s="50">
        <f t="shared" si="3"/>
        <v>2.9382111479187554</v>
      </c>
      <c r="F94" s="49">
        <f>VLOOKUP($A94,'Data shares'!$C:$FB,98)</f>
        <v>604229150</v>
      </c>
      <c r="G94" s="49">
        <f>VLOOKUP($A94,'Data shares'!$C:$FB,99)</f>
        <v>603106875</v>
      </c>
      <c r="H94" s="50">
        <f t="shared" si="4"/>
        <v>0.18608227604767397</v>
      </c>
      <c r="I94" s="49">
        <f>VLOOKUP($A94,'Data shares'!$C:$FB,66)</f>
        <v>339418625</v>
      </c>
      <c r="J94" s="49">
        <f>VLOOKUP($A94,'Data shares'!$C:$FB,67)</f>
        <v>136481625</v>
      </c>
      <c r="K94" s="50">
        <f t="shared" si="5"/>
        <v>59.78958874163137</v>
      </c>
      <c r="L94" s="50">
        <f>VLOOKUP($A94,'Data shares'!$C:$FB,118)</f>
        <v>0.6</v>
      </c>
      <c r="M94" s="50">
        <f>VLOOKUP($A94,'Data shares'!$C:$FB,119)</f>
        <v>0.57999999999999996</v>
      </c>
      <c r="N94" s="50">
        <f>VLOOKUP($A94,'Data shares'!$C:$FB,121)*100</f>
        <v>3.45</v>
      </c>
      <c r="O94" s="50">
        <f>VLOOKUP($A94,'Data shares'!$C:$FB,124)</f>
        <v>0.48</v>
      </c>
      <c r="P94" s="50">
        <f>VLOOKUP($A94,'Data shares'!$C:$FB,125)</f>
        <v>0.39</v>
      </c>
      <c r="Q94" s="50">
        <f>VLOOKUP($A94,'Data shares'!$C:$FB,127)*100</f>
        <v>23.080000000000002</v>
      </c>
    </row>
    <row r="95" spans="1:17" x14ac:dyDescent="0.25">
      <c r="A95" s="97" t="str">
        <f>'Data Vlaue (Cr)'!C90</f>
        <v>IEX</v>
      </c>
      <c r="B95" s="140">
        <f>VLOOKUP($A95,'Data shares'!$C:$FB,7)</f>
        <v>142.55000000000001</v>
      </c>
      <c r="C95" s="140">
        <f>VLOOKUP($A95,'Data shares'!$C:$FB,3)</f>
        <v>143.38</v>
      </c>
      <c r="D95" s="140">
        <f>VLOOKUP($A95,'Data shares'!$C:$FB,4)</f>
        <v>144.55000000000001</v>
      </c>
      <c r="E95" s="50">
        <f t="shared" si="3"/>
        <v>-0.8094085091663894</v>
      </c>
      <c r="F95" s="49">
        <f>VLOOKUP($A95,'Data shares'!$C:$FB,98)</f>
        <v>93491250</v>
      </c>
      <c r="G95" s="49">
        <f>VLOOKUP($A95,'Data shares'!$C:$FB,99)</f>
        <v>90225000</v>
      </c>
      <c r="H95" s="50">
        <f t="shared" si="4"/>
        <v>3.6201163757273482</v>
      </c>
      <c r="I95" s="49">
        <f>VLOOKUP($A95,'Data shares'!$C:$FB,66)</f>
        <v>29970000</v>
      </c>
      <c r="J95" s="49">
        <f>VLOOKUP($A95,'Data shares'!$C:$FB,67)</f>
        <v>67256250</v>
      </c>
      <c r="K95" s="50">
        <f t="shared" si="5"/>
        <v>-124.41191191191191</v>
      </c>
      <c r="L95" s="50">
        <f>VLOOKUP($A95,'Data shares'!$C:$FB,118)</f>
        <v>0.8</v>
      </c>
      <c r="M95" s="50">
        <f>VLOOKUP($A95,'Data shares'!$C:$FB,119)</f>
        <v>0.85</v>
      </c>
      <c r="N95" s="50">
        <f>VLOOKUP($A95,'Data shares'!$C:$FB,121)*100</f>
        <v>-5.88</v>
      </c>
      <c r="O95" s="50">
        <f>VLOOKUP($A95,'Data shares'!$C:$FB,124)</f>
        <v>0.39</v>
      </c>
      <c r="P95" s="50">
        <f>VLOOKUP($A95,'Data shares'!$C:$FB,125)</f>
        <v>0.47</v>
      </c>
      <c r="Q95" s="50">
        <f>VLOOKUP($A95,'Data shares'!$C:$FB,127)*100</f>
        <v>-17.02</v>
      </c>
    </row>
    <row r="96" spans="1:17" x14ac:dyDescent="0.25">
      <c r="A96" s="97" t="str">
        <f>'Data Vlaue (Cr)'!C91</f>
        <v>IGL</v>
      </c>
      <c r="B96" s="140">
        <f>VLOOKUP($A96,'Data shares'!$C:$FB,7)</f>
        <v>208.06</v>
      </c>
      <c r="C96" s="140">
        <f>VLOOKUP($A96,'Data shares'!$C:$FB,3)</f>
        <v>209.27</v>
      </c>
      <c r="D96" s="140">
        <f>VLOOKUP($A96,'Data shares'!$C:$FB,4)</f>
        <v>210.45</v>
      </c>
      <c r="E96" s="50">
        <f t="shared" si="3"/>
        <v>-0.56070325492990181</v>
      </c>
      <c r="F96" s="49">
        <f>VLOOKUP($A96,'Data shares'!$C:$FB,98)</f>
        <v>27797000</v>
      </c>
      <c r="G96" s="49">
        <f>VLOOKUP($A96,'Data shares'!$C:$FB,99)</f>
        <v>25833500</v>
      </c>
      <c r="H96" s="50">
        <f t="shared" si="4"/>
        <v>7.6005961251862892</v>
      </c>
      <c r="I96" s="49">
        <f>VLOOKUP($A96,'Data shares'!$C:$FB,66)</f>
        <v>9432500</v>
      </c>
      <c r="J96" s="49">
        <f>VLOOKUP($A96,'Data shares'!$C:$FB,67)</f>
        <v>14085500</v>
      </c>
      <c r="K96" s="50">
        <f t="shared" si="5"/>
        <v>-49.329446064139944</v>
      </c>
      <c r="L96" s="50">
        <f>VLOOKUP($A96,'Data shares'!$C:$FB,118)</f>
        <v>0.67</v>
      </c>
      <c r="M96" s="50">
        <f>VLOOKUP($A96,'Data shares'!$C:$FB,119)</f>
        <v>0.65</v>
      </c>
      <c r="N96" s="50">
        <f>VLOOKUP($A96,'Data shares'!$C:$FB,121)*100</f>
        <v>3.08</v>
      </c>
      <c r="O96" s="50">
        <f>VLOOKUP($A96,'Data shares'!$C:$FB,124)</f>
        <v>0.49</v>
      </c>
      <c r="P96" s="50">
        <f>VLOOKUP($A96,'Data shares'!$C:$FB,125)</f>
        <v>0.56000000000000005</v>
      </c>
      <c r="Q96" s="50">
        <f>VLOOKUP($A96,'Data shares'!$C:$FB,127)*100</f>
        <v>-12.5</v>
      </c>
    </row>
    <row r="97" spans="1:17" x14ac:dyDescent="0.25">
      <c r="A97" s="97" t="str">
        <f>'Data Vlaue (Cr)'!C92</f>
        <v>IIFL</v>
      </c>
      <c r="B97" s="140">
        <f>VLOOKUP($A97,'Data shares'!$C:$FB,7)</f>
        <v>469.5</v>
      </c>
      <c r="C97" s="140">
        <f>VLOOKUP($A97,'Data shares'!$C:$FB,3)</f>
        <v>472.6</v>
      </c>
      <c r="D97" s="140">
        <f>VLOOKUP($A97,'Data shares'!$C:$FB,4)</f>
        <v>459.3</v>
      </c>
      <c r="E97" s="50">
        <f t="shared" si="3"/>
        <v>2.8957108643588092</v>
      </c>
      <c r="F97" s="49">
        <f>VLOOKUP($A97,'Data shares'!$C:$FB,98)</f>
        <v>21233850</v>
      </c>
      <c r="G97" s="49">
        <f>VLOOKUP($A97,'Data shares'!$C:$FB,99)</f>
        <v>20496300</v>
      </c>
      <c r="H97" s="50">
        <f t="shared" si="4"/>
        <v>3.5984543551763002</v>
      </c>
      <c r="I97" s="49">
        <f>VLOOKUP($A97,'Data shares'!$C:$FB,66)</f>
        <v>15866400</v>
      </c>
      <c r="J97" s="49">
        <f>VLOOKUP($A97,'Data shares'!$C:$FB,67)</f>
        <v>26495700</v>
      </c>
      <c r="K97" s="50">
        <f t="shared" si="5"/>
        <v>-66.992512479201324</v>
      </c>
      <c r="L97" s="50">
        <f>VLOOKUP($A97,'Data shares'!$C:$FB,118)</f>
        <v>0.46</v>
      </c>
      <c r="M97" s="50">
        <f>VLOOKUP($A97,'Data shares'!$C:$FB,119)</f>
        <v>0.46</v>
      </c>
      <c r="N97" s="50">
        <f>VLOOKUP($A97,'Data shares'!$C:$FB,121)*100</f>
        <v>0</v>
      </c>
      <c r="O97" s="50">
        <f>VLOOKUP($A97,'Data shares'!$C:$FB,124)</f>
        <v>0.2</v>
      </c>
      <c r="P97" s="50">
        <f>VLOOKUP($A97,'Data shares'!$C:$FB,125)</f>
        <v>0.25</v>
      </c>
      <c r="Q97" s="50">
        <f>VLOOKUP($A97,'Data shares'!$C:$FB,127)*100</f>
        <v>-20</v>
      </c>
    </row>
    <row r="98" spans="1:17" x14ac:dyDescent="0.25">
      <c r="A98" s="97" t="str">
        <f>'Data Vlaue (Cr)'!C93</f>
        <v>INDHOTEL</v>
      </c>
      <c r="B98" s="140">
        <f>VLOOKUP($A98,'Data shares'!$C:$FB,7)</f>
        <v>723.55</v>
      </c>
      <c r="C98" s="140">
        <f>VLOOKUP($A98,'Data shares'!$C:$FB,3)</f>
        <v>727.8</v>
      </c>
      <c r="D98" s="140">
        <f>VLOOKUP($A98,'Data shares'!$C:$FB,4)</f>
        <v>729</v>
      </c>
      <c r="E98" s="50">
        <f t="shared" si="3"/>
        <v>-0.16460905349794863</v>
      </c>
      <c r="F98" s="49">
        <f>VLOOKUP($A98,'Data shares'!$C:$FB,98)</f>
        <v>45219000</v>
      </c>
      <c r="G98" s="49">
        <f>VLOOKUP($A98,'Data shares'!$C:$FB,99)</f>
        <v>43099000</v>
      </c>
      <c r="H98" s="50">
        <f t="shared" si="4"/>
        <v>4.9189076312675466</v>
      </c>
      <c r="I98" s="49">
        <f>VLOOKUP($A98,'Data shares'!$C:$FB,66)</f>
        <v>10861000</v>
      </c>
      <c r="J98" s="49">
        <f>VLOOKUP($A98,'Data shares'!$C:$FB,67)</f>
        <v>9507000</v>
      </c>
      <c r="K98" s="50">
        <f t="shared" si="5"/>
        <v>12.466623699475186</v>
      </c>
      <c r="L98" s="50">
        <f>VLOOKUP($A98,'Data shares'!$C:$FB,118)</f>
        <v>0.56999999999999995</v>
      </c>
      <c r="M98" s="50">
        <f>VLOOKUP($A98,'Data shares'!$C:$FB,119)</f>
        <v>0.61</v>
      </c>
      <c r="N98" s="50">
        <f>VLOOKUP($A98,'Data shares'!$C:$FB,121)*100</f>
        <v>-6.5600000000000005</v>
      </c>
      <c r="O98" s="50">
        <f>VLOOKUP($A98,'Data shares'!$C:$FB,124)</f>
        <v>0.22</v>
      </c>
      <c r="P98" s="50">
        <f>VLOOKUP($A98,'Data shares'!$C:$FB,125)</f>
        <v>0.39</v>
      </c>
      <c r="Q98" s="50">
        <f>VLOOKUP($A98,'Data shares'!$C:$FB,127)*100</f>
        <v>-43.59</v>
      </c>
    </row>
    <row r="99" spans="1:17" x14ac:dyDescent="0.25">
      <c r="A99" s="97" t="str">
        <f>'Data Vlaue (Cr)'!C94</f>
        <v>INDIANB</v>
      </c>
      <c r="B99" s="140">
        <f>VLOOKUP($A99,'Data shares'!$C:$FB,7)</f>
        <v>758.05</v>
      </c>
      <c r="C99" s="140">
        <f>VLOOKUP($A99,'Data shares'!$C:$FB,3)</f>
        <v>759.3</v>
      </c>
      <c r="D99" s="140">
        <f>VLOOKUP($A99,'Data shares'!$C:$FB,4)</f>
        <v>755.4</v>
      </c>
      <c r="E99" s="50">
        <f t="shared" si="3"/>
        <v>0.51628276409848795</v>
      </c>
      <c r="F99" s="49">
        <f>VLOOKUP($A99,'Data shares'!$C:$FB,98)</f>
        <v>12722000</v>
      </c>
      <c r="G99" s="49">
        <f>VLOOKUP($A99,'Data shares'!$C:$FB,99)</f>
        <v>12316000</v>
      </c>
      <c r="H99" s="50">
        <f t="shared" si="4"/>
        <v>3.2965248457291327</v>
      </c>
      <c r="I99" s="49">
        <f>VLOOKUP($A99,'Data shares'!$C:$FB,66)</f>
        <v>10663000</v>
      </c>
      <c r="J99" s="49">
        <f>VLOOKUP($A99,'Data shares'!$C:$FB,67)</f>
        <v>17400000</v>
      </c>
      <c r="K99" s="50">
        <f t="shared" si="5"/>
        <v>-63.181093500890931</v>
      </c>
      <c r="L99" s="50">
        <f>VLOOKUP($A99,'Data shares'!$C:$FB,118)</f>
        <v>0.89</v>
      </c>
      <c r="M99" s="50">
        <f>VLOOKUP($A99,'Data shares'!$C:$FB,119)</f>
        <v>0.91</v>
      </c>
      <c r="N99" s="50">
        <f>VLOOKUP($A99,'Data shares'!$C:$FB,121)*100</f>
        <v>-2.1999999999999997</v>
      </c>
      <c r="O99" s="50">
        <f>VLOOKUP($A99,'Data shares'!$C:$FB,124)</f>
        <v>0.38</v>
      </c>
      <c r="P99" s="50">
        <f>VLOOKUP($A99,'Data shares'!$C:$FB,125)</f>
        <v>0.34</v>
      </c>
      <c r="Q99" s="50">
        <f>VLOOKUP($A99,'Data shares'!$C:$FB,127)*100</f>
        <v>11.76</v>
      </c>
    </row>
    <row r="100" spans="1:17" x14ac:dyDescent="0.25">
      <c r="A100" s="97" t="str">
        <f>'Data Vlaue (Cr)'!C95</f>
        <v>INDIAVIX</v>
      </c>
      <c r="B100" s="140">
        <f>VLOOKUP($A100,'Data shares'!$C:$FB,7)</f>
        <v>10.19</v>
      </c>
      <c r="C100" s="140">
        <f>VLOOKUP($A100,'Data shares'!$C:$FB,3)</f>
        <v>10.19</v>
      </c>
      <c r="D100" s="140">
        <f>VLOOKUP($A100,'Data shares'!$C:$FB,4)</f>
        <v>10.06</v>
      </c>
      <c r="E100" s="50">
        <f t="shared" si="3"/>
        <v>1.2922465208747416</v>
      </c>
      <c r="F100" s="49">
        <f>VLOOKUP($A100,'Data shares'!$C:$FB,98)</f>
        <v>0</v>
      </c>
      <c r="G100" s="49">
        <f>VLOOKUP($A100,'Data shares'!$C:$FB,99)</f>
        <v>0</v>
      </c>
      <c r="H100" s="50" t="e">
        <f t="shared" si="4"/>
        <v>#DIV/0!</v>
      </c>
      <c r="I100" s="49">
        <f>VLOOKUP($A100,'Data shares'!$C:$FB,66)</f>
        <v>0</v>
      </c>
      <c r="J100" s="49">
        <f>VLOOKUP($A100,'Data shares'!$C:$FB,67)</f>
        <v>0</v>
      </c>
      <c r="K100" s="50" t="e">
        <f t="shared" si="5"/>
        <v>#DIV/0!</v>
      </c>
      <c r="L100" s="50">
        <f>VLOOKUP($A100,'Data shares'!$C:$FB,118)</f>
        <v>0</v>
      </c>
      <c r="M100" s="50">
        <f>VLOOKUP($A100,'Data shares'!$C:$FB,119)</f>
        <v>0</v>
      </c>
      <c r="N100" s="50">
        <f>VLOOKUP($A100,'Data shares'!$C:$FB,121)*100</f>
        <v>0</v>
      </c>
      <c r="O100" s="50">
        <f>VLOOKUP($A100,'Data shares'!$C:$FB,124)</f>
        <v>0</v>
      </c>
      <c r="P100" s="50">
        <f>VLOOKUP($A100,'Data shares'!$C:$FB,125)</f>
        <v>0</v>
      </c>
      <c r="Q100" s="50">
        <f>VLOOKUP($A100,'Data shares'!$C:$FB,127)*100</f>
        <v>0</v>
      </c>
    </row>
    <row r="101" spans="1:17" x14ac:dyDescent="0.25">
      <c r="A101" s="97" t="str">
        <f>'Data Vlaue (Cr)'!C96</f>
        <v>INDIGO</v>
      </c>
      <c r="B101" s="140">
        <f>VLOOKUP($A101,'Data shares'!$C:$FB,7)</f>
        <v>5694.5</v>
      </c>
      <c r="C101" s="140">
        <f>VLOOKUP($A101,'Data shares'!$C:$FB,3)</f>
        <v>5715</v>
      </c>
      <c r="D101" s="140">
        <f>VLOOKUP($A101,'Data shares'!$C:$FB,4)</f>
        <v>5684.5</v>
      </c>
      <c r="E101" s="50">
        <f t="shared" si="3"/>
        <v>0.53654674993403118</v>
      </c>
      <c r="F101" s="49">
        <f>VLOOKUP($A101,'Data shares'!$C:$FB,98)</f>
        <v>11128650</v>
      </c>
      <c r="G101" s="49">
        <f>VLOOKUP($A101,'Data shares'!$C:$FB,99)</f>
        <v>11130450</v>
      </c>
      <c r="H101" s="50">
        <f t="shared" si="4"/>
        <v>-1.6171852890044875E-2</v>
      </c>
      <c r="I101" s="49">
        <f>VLOOKUP($A101,'Data shares'!$C:$FB,66)</f>
        <v>3575850</v>
      </c>
      <c r="J101" s="49">
        <f>VLOOKUP($A101,'Data shares'!$C:$FB,67)</f>
        <v>4359150</v>
      </c>
      <c r="K101" s="50">
        <f t="shared" si="5"/>
        <v>-21.905281261797892</v>
      </c>
      <c r="L101" s="50">
        <f>VLOOKUP($A101,'Data shares'!$C:$FB,118)</f>
        <v>0.72</v>
      </c>
      <c r="M101" s="50">
        <f>VLOOKUP($A101,'Data shares'!$C:$FB,119)</f>
        <v>0.71</v>
      </c>
      <c r="N101" s="50">
        <f>VLOOKUP($A101,'Data shares'!$C:$FB,121)*100</f>
        <v>1.41</v>
      </c>
      <c r="O101" s="50">
        <f>VLOOKUP($A101,'Data shares'!$C:$FB,124)</f>
        <v>0.48</v>
      </c>
      <c r="P101" s="50">
        <f>VLOOKUP($A101,'Data shares'!$C:$FB,125)</f>
        <v>0.33</v>
      </c>
      <c r="Q101" s="50">
        <f>VLOOKUP($A101,'Data shares'!$C:$FB,127)*100</f>
        <v>45.45</v>
      </c>
    </row>
    <row r="102" spans="1:17" x14ac:dyDescent="0.25">
      <c r="A102" s="97" t="str">
        <f>'Data Vlaue (Cr)'!C97</f>
        <v>INDUSINDBK</v>
      </c>
      <c r="B102" s="140">
        <f>VLOOKUP($A102,'Data shares'!$C:$FB,7)</f>
        <v>739.3</v>
      </c>
      <c r="C102" s="140">
        <f>VLOOKUP($A102,'Data shares'!$C:$FB,3)</f>
        <v>743.8</v>
      </c>
      <c r="D102" s="140">
        <f>VLOOKUP($A102,'Data shares'!$C:$FB,4)</f>
        <v>752.3</v>
      </c>
      <c r="E102" s="50">
        <f t="shared" si="3"/>
        <v>-1.1298684035624087</v>
      </c>
      <c r="F102" s="49">
        <f>VLOOKUP($A102,'Data shares'!$C:$FB,98)</f>
        <v>75327000</v>
      </c>
      <c r="G102" s="49">
        <f>VLOOKUP($A102,'Data shares'!$C:$FB,99)</f>
        <v>74026400</v>
      </c>
      <c r="H102" s="50">
        <f t="shared" si="4"/>
        <v>1.7569407670776911</v>
      </c>
      <c r="I102" s="49">
        <f>VLOOKUP($A102,'Data shares'!$C:$FB,66)</f>
        <v>34100500</v>
      </c>
      <c r="J102" s="49">
        <f>VLOOKUP($A102,'Data shares'!$C:$FB,67)</f>
        <v>25890200</v>
      </c>
      <c r="K102" s="50">
        <f t="shared" si="5"/>
        <v>24.076773067843579</v>
      </c>
      <c r="L102" s="50">
        <f>VLOOKUP($A102,'Data shares'!$C:$FB,118)</f>
        <v>0.99</v>
      </c>
      <c r="M102" s="50">
        <f>VLOOKUP($A102,'Data shares'!$C:$FB,119)</f>
        <v>1.1000000000000001</v>
      </c>
      <c r="N102" s="50">
        <f>VLOOKUP($A102,'Data shares'!$C:$FB,121)*100</f>
        <v>-10</v>
      </c>
      <c r="O102" s="50">
        <f>VLOOKUP($A102,'Data shares'!$C:$FB,124)</f>
        <v>0.69</v>
      </c>
      <c r="P102" s="50">
        <f>VLOOKUP($A102,'Data shares'!$C:$FB,125)</f>
        <v>0.45</v>
      </c>
      <c r="Q102" s="50">
        <f>VLOOKUP($A102,'Data shares'!$C:$FB,127)*100</f>
        <v>53.33</v>
      </c>
    </row>
    <row r="103" spans="1:17" x14ac:dyDescent="0.25">
      <c r="A103" s="97" t="str">
        <f>'Data Vlaue (Cr)'!C98</f>
        <v>INDUSTOWER</v>
      </c>
      <c r="B103" s="140">
        <f>VLOOKUP($A103,'Data shares'!$C:$FB,7)</f>
        <v>353.65</v>
      </c>
      <c r="C103" s="140">
        <f>VLOOKUP($A103,'Data shares'!$C:$FB,3)</f>
        <v>355.35</v>
      </c>
      <c r="D103" s="140">
        <f>VLOOKUP($A103,'Data shares'!$C:$FB,4)</f>
        <v>356</v>
      </c>
      <c r="E103" s="50">
        <f t="shared" si="3"/>
        <v>-0.18258426966291497</v>
      </c>
      <c r="F103" s="49">
        <f>VLOOKUP($A103,'Data shares'!$C:$FB,98)</f>
        <v>114903000</v>
      </c>
      <c r="G103" s="49">
        <f>VLOOKUP($A103,'Data shares'!$C:$FB,99)</f>
        <v>113352600</v>
      </c>
      <c r="H103" s="50">
        <f t="shared" si="4"/>
        <v>1.3677674795284802</v>
      </c>
      <c r="I103" s="49">
        <f>VLOOKUP($A103,'Data shares'!$C:$FB,66)</f>
        <v>43785200</v>
      </c>
      <c r="J103" s="49">
        <f>VLOOKUP($A103,'Data shares'!$C:$FB,67)</f>
        <v>27245900</v>
      </c>
      <c r="K103" s="50">
        <f t="shared" si="5"/>
        <v>37.773722627737229</v>
      </c>
      <c r="L103" s="50">
        <f>VLOOKUP($A103,'Data shares'!$C:$FB,118)</f>
        <v>0.7</v>
      </c>
      <c r="M103" s="50">
        <f>VLOOKUP($A103,'Data shares'!$C:$FB,119)</f>
        <v>0.74</v>
      </c>
      <c r="N103" s="50">
        <f>VLOOKUP($A103,'Data shares'!$C:$FB,121)*100</f>
        <v>-5.41</v>
      </c>
      <c r="O103" s="50">
        <f>VLOOKUP($A103,'Data shares'!$C:$FB,124)</f>
        <v>0.4</v>
      </c>
      <c r="P103" s="50">
        <f>VLOOKUP($A103,'Data shares'!$C:$FB,125)</f>
        <v>0.47</v>
      </c>
      <c r="Q103" s="50">
        <f>VLOOKUP($A103,'Data shares'!$C:$FB,127)*100</f>
        <v>-14.89</v>
      </c>
    </row>
    <row r="104" spans="1:17" x14ac:dyDescent="0.25">
      <c r="A104" s="97" t="str">
        <f>'Data Vlaue (Cr)'!C99</f>
        <v>INFY</v>
      </c>
      <c r="B104" s="140">
        <f>VLOOKUP($A104,'Data shares'!$C:$FB,7)</f>
        <v>1476</v>
      </c>
      <c r="C104" s="140">
        <f>VLOOKUP($A104,'Data shares'!$C:$FB,3)</f>
        <v>1471.1</v>
      </c>
      <c r="D104" s="140">
        <f>VLOOKUP($A104,'Data shares'!$C:$FB,4)</f>
        <v>1442.3</v>
      </c>
      <c r="E104" s="50">
        <f t="shared" si="3"/>
        <v>1.996810649656795</v>
      </c>
      <c r="F104" s="49">
        <f>VLOOKUP($A104,'Data shares'!$C:$FB,98)</f>
        <v>93449200</v>
      </c>
      <c r="G104" s="49">
        <f>VLOOKUP($A104,'Data shares'!$C:$FB,99)</f>
        <v>93399600</v>
      </c>
      <c r="H104" s="50">
        <f t="shared" si="4"/>
        <v>5.3105152484593091E-2</v>
      </c>
      <c r="I104" s="49">
        <f>VLOOKUP($A104,'Data shares'!$C:$FB,66)</f>
        <v>52367200</v>
      </c>
      <c r="J104" s="49">
        <f>VLOOKUP($A104,'Data shares'!$C:$FB,67)</f>
        <v>28882000</v>
      </c>
      <c r="K104" s="50">
        <f t="shared" si="5"/>
        <v>44.847156235200657</v>
      </c>
      <c r="L104" s="50">
        <f>VLOOKUP($A104,'Data shares'!$C:$FB,118)</f>
        <v>0.88</v>
      </c>
      <c r="M104" s="50">
        <f>VLOOKUP($A104,'Data shares'!$C:$FB,119)</f>
        <v>0.88</v>
      </c>
      <c r="N104" s="50">
        <f>VLOOKUP($A104,'Data shares'!$C:$FB,121)*100</f>
        <v>0</v>
      </c>
      <c r="O104" s="50">
        <f>VLOOKUP($A104,'Data shares'!$C:$FB,124)</f>
        <v>0.5</v>
      </c>
      <c r="P104" s="50">
        <f>VLOOKUP($A104,'Data shares'!$C:$FB,125)</f>
        <v>0.52</v>
      </c>
      <c r="Q104" s="50">
        <f>VLOOKUP($A104,'Data shares'!$C:$FB,127)*100</f>
        <v>-3.85</v>
      </c>
    </row>
    <row r="105" spans="1:17" x14ac:dyDescent="0.25">
      <c r="A105" s="97" t="str">
        <f>'Data Vlaue (Cr)'!C100</f>
        <v>INOXWIND</v>
      </c>
      <c r="B105" s="140">
        <f>VLOOKUP($A105,'Data shares'!$C:$FB,7)</f>
        <v>139.38</v>
      </c>
      <c r="C105" s="140">
        <f>VLOOKUP($A105,'Data shares'!$C:$FB,3)</f>
        <v>140.16</v>
      </c>
      <c r="D105" s="140">
        <f>VLOOKUP($A105,'Data shares'!$C:$FB,4)</f>
        <v>142.43</v>
      </c>
      <c r="E105" s="50">
        <f t="shared" si="3"/>
        <v>-1.593765358421688</v>
      </c>
      <c r="F105" s="49">
        <f>VLOOKUP($A105,'Data shares'!$C:$FB,98)</f>
        <v>69922640</v>
      </c>
      <c r="G105" s="49">
        <f>VLOOKUP($A105,'Data shares'!$C:$FB,99)</f>
        <v>66375792</v>
      </c>
      <c r="H105" s="50">
        <f t="shared" si="4"/>
        <v>5.3435867100463375</v>
      </c>
      <c r="I105" s="49">
        <f>VLOOKUP($A105,'Data shares'!$C:$FB,66)</f>
        <v>12770616</v>
      </c>
      <c r="J105" s="49">
        <f>VLOOKUP($A105,'Data shares'!$C:$FB,67)</f>
        <v>12760800</v>
      </c>
      <c r="K105" s="50">
        <f t="shared" si="5"/>
        <v>7.6863950807071479E-2</v>
      </c>
      <c r="L105" s="50">
        <f>VLOOKUP($A105,'Data shares'!$C:$FB,118)</f>
        <v>0.55000000000000004</v>
      </c>
      <c r="M105" s="50">
        <f>VLOOKUP($A105,'Data shares'!$C:$FB,119)</f>
        <v>0.59</v>
      </c>
      <c r="N105" s="50">
        <f>VLOOKUP($A105,'Data shares'!$C:$FB,121)*100</f>
        <v>-6.78</v>
      </c>
      <c r="O105" s="50">
        <f>VLOOKUP($A105,'Data shares'!$C:$FB,124)</f>
        <v>0.34</v>
      </c>
      <c r="P105" s="50">
        <f>VLOOKUP($A105,'Data shares'!$C:$FB,125)</f>
        <v>0.16</v>
      </c>
      <c r="Q105" s="50">
        <f>VLOOKUP($A105,'Data shares'!$C:$FB,127)*100</f>
        <v>112.5</v>
      </c>
    </row>
    <row r="106" spans="1:17" x14ac:dyDescent="0.25">
      <c r="A106" s="97" t="str">
        <f>'Data Vlaue (Cr)'!C101</f>
        <v>IOC</v>
      </c>
      <c r="B106" s="140">
        <f>VLOOKUP($A106,'Data shares'!$C:$FB,7)</f>
        <v>154.84</v>
      </c>
      <c r="C106" s="140">
        <f>VLOOKUP($A106,'Data shares'!$C:$FB,3)</f>
        <v>155.72</v>
      </c>
      <c r="D106" s="140">
        <f>VLOOKUP($A106,'Data shares'!$C:$FB,4)</f>
        <v>151.32</v>
      </c>
      <c r="E106" s="50">
        <f t="shared" si="3"/>
        <v>2.9077451757864168</v>
      </c>
      <c r="F106" s="49">
        <f>VLOOKUP($A106,'Data shares'!$C:$FB,98)</f>
        <v>144631500</v>
      </c>
      <c r="G106" s="49">
        <f>VLOOKUP($A106,'Data shares'!$C:$FB,99)</f>
        <v>134047875</v>
      </c>
      <c r="H106" s="50">
        <f t="shared" si="4"/>
        <v>7.8954067716478153</v>
      </c>
      <c r="I106" s="49">
        <f>VLOOKUP($A106,'Data shares'!$C:$FB,66)</f>
        <v>158705625</v>
      </c>
      <c r="J106" s="49">
        <f>VLOOKUP($A106,'Data shares'!$C:$FB,67)</f>
        <v>63838125</v>
      </c>
      <c r="K106" s="50">
        <f t="shared" si="5"/>
        <v>59.775764091537397</v>
      </c>
      <c r="L106" s="50">
        <f>VLOOKUP($A106,'Data shares'!$C:$FB,118)</f>
        <v>0.74</v>
      </c>
      <c r="M106" s="50">
        <f>VLOOKUP($A106,'Data shares'!$C:$FB,119)</f>
        <v>0.66</v>
      </c>
      <c r="N106" s="50">
        <f>VLOOKUP($A106,'Data shares'!$C:$FB,121)*100</f>
        <v>12.120000000000001</v>
      </c>
      <c r="O106" s="50">
        <f>VLOOKUP($A106,'Data shares'!$C:$FB,124)</f>
        <v>0.48</v>
      </c>
      <c r="P106" s="50">
        <f>VLOOKUP($A106,'Data shares'!$C:$FB,125)</f>
        <v>0.48</v>
      </c>
      <c r="Q106" s="50">
        <f>VLOOKUP($A106,'Data shares'!$C:$FB,127)*100</f>
        <v>0</v>
      </c>
    </row>
    <row r="107" spans="1:17" x14ac:dyDescent="0.25">
      <c r="A107" s="97" t="str">
        <f>'Data Vlaue (Cr)'!C102</f>
        <v>IRCTC</v>
      </c>
      <c r="B107" s="140">
        <f>VLOOKUP($A107,'Data shares'!$C:$FB,7)</f>
        <v>710.25</v>
      </c>
      <c r="C107" s="140">
        <f>VLOOKUP($A107,'Data shares'!$C:$FB,3)</f>
        <v>714.1</v>
      </c>
      <c r="D107" s="140">
        <f>VLOOKUP($A107,'Data shares'!$C:$FB,4)</f>
        <v>711.75</v>
      </c>
      <c r="E107" s="50">
        <f t="shared" si="3"/>
        <v>0.33017211099403199</v>
      </c>
      <c r="F107" s="49">
        <f>VLOOKUP($A107,'Data shares'!$C:$FB,98)</f>
        <v>24981250</v>
      </c>
      <c r="G107" s="49">
        <f>VLOOKUP($A107,'Data shares'!$C:$FB,99)</f>
        <v>24184125</v>
      </c>
      <c r="H107" s="50">
        <f t="shared" si="4"/>
        <v>3.2960671514888387</v>
      </c>
      <c r="I107" s="49">
        <f>VLOOKUP($A107,'Data shares'!$C:$FB,66)</f>
        <v>5265750</v>
      </c>
      <c r="J107" s="49">
        <f>VLOOKUP($A107,'Data shares'!$C:$FB,67)</f>
        <v>5360250</v>
      </c>
      <c r="K107" s="50">
        <f t="shared" si="5"/>
        <v>-1.794616151545364</v>
      </c>
      <c r="L107" s="50">
        <f>VLOOKUP($A107,'Data shares'!$C:$FB,118)</f>
        <v>0.76</v>
      </c>
      <c r="M107" s="50">
        <f>VLOOKUP($A107,'Data shares'!$C:$FB,119)</f>
        <v>0.79</v>
      </c>
      <c r="N107" s="50">
        <f>VLOOKUP($A107,'Data shares'!$C:$FB,121)*100</f>
        <v>-3.8</v>
      </c>
      <c r="O107" s="50">
        <f>VLOOKUP($A107,'Data shares'!$C:$FB,124)</f>
        <v>0.34</v>
      </c>
      <c r="P107" s="50">
        <f>VLOOKUP($A107,'Data shares'!$C:$FB,125)</f>
        <v>0.36</v>
      </c>
      <c r="Q107" s="50">
        <f>VLOOKUP($A107,'Data shares'!$C:$FB,127)*100</f>
        <v>-5.56</v>
      </c>
    </row>
    <row r="108" spans="1:17" x14ac:dyDescent="0.25">
      <c r="A108" s="97" t="str">
        <f>'Data Vlaue (Cr)'!C103</f>
        <v>IREDA</v>
      </c>
      <c r="B108" s="140">
        <f>VLOOKUP($A108,'Data shares'!$C:$FB,7)</f>
        <v>151.16</v>
      </c>
      <c r="C108" s="140">
        <f>VLOOKUP($A108,'Data shares'!$C:$FB,3)</f>
        <v>150.94999999999999</v>
      </c>
      <c r="D108" s="140">
        <f>VLOOKUP($A108,'Data shares'!$C:$FB,4)</f>
        <v>154.52000000000001</v>
      </c>
      <c r="E108" s="50">
        <f t="shared" si="3"/>
        <v>-2.3103805332643161</v>
      </c>
      <c r="F108" s="49">
        <f>VLOOKUP($A108,'Data shares'!$C:$FB,98)</f>
        <v>82406700</v>
      </c>
      <c r="G108" s="49">
        <f>VLOOKUP($A108,'Data shares'!$C:$FB,99)</f>
        <v>72543150</v>
      </c>
      <c r="H108" s="50">
        <f t="shared" si="4"/>
        <v>13.596804109002711</v>
      </c>
      <c r="I108" s="49">
        <f>VLOOKUP($A108,'Data shares'!$C:$FB,66)</f>
        <v>48003300</v>
      </c>
      <c r="J108" s="49">
        <f>VLOOKUP($A108,'Data shares'!$C:$FB,67)</f>
        <v>71604750</v>
      </c>
      <c r="K108" s="50">
        <f t="shared" si="5"/>
        <v>-49.166307316371999</v>
      </c>
      <c r="L108" s="50">
        <f>VLOOKUP($A108,'Data shares'!$C:$FB,118)</f>
        <v>0.42</v>
      </c>
      <c r="M108" s="50">
        <f>VLOOKUP($A108,'Data shares'!$C:$FB,119)</f>
        <v>0.42</v>
      </c>
      <c r="N108" s="50">
        <f>VLOOKUP($A108,'Data shares'!$C:$FB,121)*100</f>
        <v>0</v>
      </c>
      <c r="O108" s="50">
        <f>VLOOKUP($A108,'Data shares'!$C:$FB,124)</f>
        <v>0.27</v>
      </c>
      <c r="P108" s="50">
        <f>VLOOKUP($A108,'Data shares'!$C:$FB,125)</f>
        <v>0.28000000000000003</v>
      </c>
      <c r="Q108" s="50">
        <f>VLOOKUP($A108,'Data shares'!$C:$FB,127)*100</f>
        <v>-3.5700000000000003</v>
      </c>
    </row>
    <row r="109" spans="1:17" x14ac:dyDescent="0.25">
      <c r="A109" s="97" t="str">
        <f>'Data Vlaue (Cr)'!C104</f>
        <v>IRFC</v>
      </c>
      <c r="B109" s="140">
        <f>VLOOKUP($A109,'Data shares'!$C:$FB,7)</f>
        <v>125.24</v>
      </c>
      <c r="C109" s="140">
        <f>VLOOKUP($A109,'Data shares'!$C:$FB,3)</f>
        <v>126.01</v>
      </c>
      <c r="D109" s="140">
        <f>VLOOKUP($A109,'Data shares'!$C:$FB,4)</f>
        <v>126.69</v>
      </c>
      <c r="E109" s="50">
        <f t="shared" si="3"/>
        <v>-0.53674323150997916</v>
      </c>
      <c r="F109" s="49">
        <f>VLOOKUP($A109,'Data shares'!$C:$FB,98)</f>
        <v>67868250</v>
      </c>
      <c r="G109" s="49">
        <f>VLOOKUP($A109,'Data shares'!$C:$FB,99)</f>
        <v>65314000</v>
      </c>
      <c r="H109" s="50">
        <f t="shared" si="4"/>
        <v>3.9107235814679857</v>
      </c>
      <c r="I109" s="49">
        <f>VLOOKUP($A109,'Data shares'!$C:$FB,66)</f>
        <v>14717750</v>
      </c>
      <c r="J109" s="49">
        <f>VLOOKUP($A109,'Data shares'!$C:$FB,67)</f>
        <v>16553750</v>
      </c>
      <c r="K109" s="50">
        <f t="shared" si="5"/>
        <v>-12.47473289055732</v>
      </c>
      <c r="L109" s="50">
        <f>VLOOKUP($A109,'Data shares'!$C:$FB,118)</f>
        <v>0.55000000000000004</v>
      </c>
      <c r="M109" s="50">
        <f>VLOOKUP($A109,'Data shares'!$C:$FB,119)</f>
        <v>0.56000000000000005</v>
      </c>
      <c r="N109" s="50">
        <f>VLOOKUP($A109,'Data shares'!$C:$FB,121)*100</f>
        <v>-1.79</v>
      </c>
      <c r="O109" s="50">
        <f>VLOOKUP($A109,'Data shares'!$C:$FB,124)</f>
        <v>0.31</v>
      </c>
      <c r="P109" s="50">
        <f>VLOOKUP($A109,'Data shares'!$C:$FB,125)</f>
        <v>0.35</v>
      </c>
      <c r="Q109" s="50">
        <f>VLOOKUP($A109,'Data shares'!$C:$FB,127)*100</f>
        <v>-11.43</v>
      </c>
    </row>
    <row r="110" spans="1:17" x14ac:dyDescent="0.25">
      <c r="A110" s="97" t="str">
        <f>'Data Vlaue (Cr)'!C105</f>
        <v>ITC</v>
      </c>
      <c r="B110" s="140">
        <f>VLOOKUP($A110,'Data shares'!$C:$FB,7)</f>
        <v>400.75</v>
      </c>
      <c r="C110" s="140">
        <f>VLOOKUP($A110,'Data shares'!$C:$FB,3)</f>
        <v>403.15</v>
      </c>
      <c r="D110" s="140">
        <f>VLOOKUP($A110,'Data shares'!$C:$FB,4)</f>
        <v>406.15</v>
      </c>
      <c r="E110" s="50">
        <f t="shared" si="3"/>
        <v>-0.73864335836513617</v>
      </c>
      <c r="F110" s="49">
        <f>VLOOKUP($A110,'Data shares'!$C:$FB,98)</f>
        <v>183708800</v>
      </c>
      <c r="G110" s="49">
        <f>VLOOKUP($A110,'Data shares'!$C:$FB,99)</f>
        <v>170132800</v>
      </c>
      <c r="H110" s="50">
        <f t="shared" si="4"/>
        <v>7.9796488390245734</v>
      </c>
      <c r="I110" s="49">
        <f>VLOOKUP($A110,'Data shares'!$C:$FB,66)</f>
        <v>72412800</v>
      </c>
      <c r="J110" s="49">
        <f>VLOOKUP($A110,'Data shares'!$C:$FB,67)</f>
        <v>75769600</v>
      </c>
      <c r="K110" s="50">
        <f t="shared" si="5"/>
        <v>-4.635644526934465</v>
      </c>
      <c r="L110" s="50">
        <f>VLOOKUP($A110,'Data shares'!$C:$FB,118)</f>
        <v>0.7</v>
      </c>
      <c r="M110" s="50">
        <f>VLOOKUP($A110,'Data shares'!$C:$FB,119)</f>
        <v>0.7</v>
      </c>
      <c r="N110" s="50">
        <f>VLOOKUP($A110,'Data shares'!$C:$FB,121)*100</f>
        <v>0</v>
      </c>
      <c r="O110" s="50">
        <f>VLOOKUP($A110,'Data shares'!$C:$FB,124)</f>
        <v>0.53</v>
      </c>
      <c r="P110" s="50">
        <f>VLOOKUP($A110,'Data shares'!$C:$FB,125)</f>
        <v>0.59</v>
      </c>
      <c r="Q110" s="50">
        <f>VLOOKUP($A110,'Data shares'!$C:$FB,127)*100</f>
        <v>-10.17</v>
      </c>
    </row>
    <row r="111" spans="1:17" x14ac:dyDescent="0.25">
      <c r="A111" s="97" t="str">
        <f>'Data Vlaue (Cr)'!C106</f>
        <v>JINDALSTEL</v>
      </c>
      <c r="B111" s="140">
        <f>VLOOKUP($A111,'Data shares'!$C:$FB,7)</f>
        <v>1055.9000000000001</v>
      </c>
      <c r="C111" s="140">
        <f>VLOOKUP($A111,'Data shares'!$C:$FB,3)</f>
        <v>1059.3</v>
      </c>
      <c r="D111" s="140">
        <f>VLOOKUP($A111,'Data shares'!$C:$FB,4)</f>
        <v>1080.2</v>
      </c>
      <c r="E111" s="50">
        <f t="shared" si="3"/>
        <v>-1.934826883910395</v>
      </c>
      <c r="F111" s="49">
        <f>VLOOKUP($A111,'Data shares'!$C:$FB,98)</f>
        <v>19403125</v>
      </c>
      <c r="G111" s="49">
        <f>VLOOKUP($A111,'Data shares'!$C:$FB,99)</f>
        <v>18050625</v>
      </c>
      <c r="H111" s="50">
        <f t="shared" si="4"/>
        <v>7.4928153457290261</v>
      </c>
      <c r="I111" s="49">
        <f>VLOOKUP($A111,'Data shares'!$C:$FB,66)</f>
        <v>21130625</v>
      </c>
      <c r="J111" s="49">
        <f>VLOOKUP($A111,'Data shares'!$C:$FB,67)</f>
        <v>20881875</v>
      </c>
      <c r="K111" s="50">
        <f t="shared" si="5"/>
        <v>1.1772013369221215</v>
      </c>
      <c r="L111" s="50">
        <f>VLOOKUP($A111,'Data shares'!$C:$FB,118)</f>
        <v>0.68</v>
      </c>
      <c r="M111" s="50">
        <f>VLOOKUP($A111,'Data shares'!$C:$FB,119)</f>
        <v>0.79</v>
      </c>
      <c r="N111" s="50">
        <f>VLOOKUP($A111,'Data shares'!$C:$FB,121)*100</f>
        <v>-13.919999999999998</v>
      </c>
      <c r="O111" s="50">
        <f>VLOOKUP($A111,'Data shares'!$C:$FB,124)</f>
        <v>0.55000000000000004</v>
      </c>
      <c r="P111" s="50">
        <f>VLOOKUP($A111,'Data shares'!$C:$FB,125)</f>
        <v>0.31</v>
      </c>
      <c r="Q111" s="50">
        <f>VLOOKUP($A111,'Data shares'!$C:$FB,127)*100</f>
        <v>77.42</v>
      </c>
    </row>
    <row r="112" spans="1:17" x14ac:dyDescent="0.25">
      <c r="A112" s="97" t="str">
        <f>'Data Vlaue (Cr)'!C107</f>
        <v>JIOFIN</v>
      </c>
      <c r="B112" s="140">
        <f>VLOOKUP($A112,'Data shares'!$C:$FB,7)</f>
        <v>306.25</v>
      </c>
      <c r="C112" s="140">
        <f>VLOOKUP($A112,'Data shares'!$C:$FB,3)</f>
        <v>308.05</v>
      </c>
      <c r="D112" s="140">
        <f>VLOOKUP($A112,'Data shares'!$C:$FB,4)</f>
        <v>303.2</v>
      </c>
      <c r="E112" s="50">
        <f t="shared" si="3"/>
        <v>1.5996042216358914</v>
      </c>
      <c r="F112" s="49">
        <f>VLOOKUP($A112,'Data shares'!$C:$FB,98)</f>
        <v>221069200</v>
      </c>
      <c r="G112" s="49">
        <f>VLOOKUP($A112,'Data shares'!$C:$FB,99)</f>
        <v>221532150</v>
      </c>
      <c r="H112" s="50">
        <f t="shared" si="4"/>
        <v>-0.20897643976280642</v>
      </c>
      <c r="I112" s="49">
        <f>VLOOKUP($A112,'Data shares'!$C:$FB,66)</f>
        <v>97513250</v>
      </c>
      <c r="J112" s="49">
        <f>VLOOKUP($A112,'Data shares'!$C:$FB,67)</f>
        <v>65682500</v>
      </c>
      <c r="K112" s="50">
        <f t="shared" si="5"/>
        <v>32.642487046632127</v>
      </c>
      <c r="L112" s="50">
        <f>VLOOKUP($A112,'Data shares'!$C:$FB,118)</f>
        <v>0.76</v>
      </c>
      <c r="M112" s="50">
        <f>VLOOKUP($A112,'Data shares'!$C:$FB,119)</f>
        <v>0.75</v>
      </c>
      <c r="N112" s="50">
        <f>VLOOKUP($A112,'Data shares'!$C:$FB,121)*100</f>
        <v>1.3299999999999998</v>
      </c>
      <c r="O112" s="50">
        <f>VLOOKUP($A112,'Data shares'!$C:$FB,124)</f>
        <v>0.38</v>
      </c>
      <c r="P112" s="50">
        <f>VLOOKUP($A112,'Data shares'!$C:$FB,125)</f>
        <v>0.44</v>
      </c>
      <c r="Q112" s="50">
        <f>VLOOKUP($A112,'Data shares'!$C:$FB,127)*100</f>
        <v>-13.639999999999999</v>
      </c>
    </row>
    <row r="113" spans="1:17" x14ac:dyDescent="0.25">
      <c r="A113" s="97" t="str">
        <f>'Data Vlaue (Cr)'!C108</f>
        <v>JSWENERGY</v>
      </c>
      <c r="B113" s="140">
        <f>VLOOKUP($A113,'Data shares'!$C:$FB,7)</f>
        <v>541</v>
      </c>
      <c r="C113" s="140">
        <f>VLOOKUP($A113,'Data shares'!$C:$FB,3)</f>
        <v>543.29999999999995</v>
      </c>
      <c r="D113" s="140">
        <f>VLOOKUP($A113,'Data shares'!$C:$FB,4)</f>
        <v>543.4</v>
      </c>
      <c r="E113" s="50">
        <f t="shared" si="3"/>
        <v>-1.8402649981601536E-2</v>
      </c>
      <c r="F113" s="49">
        <f>VLOOKUP($A113,'Data shares'!$C:$FB,98)</f>
        <v>47020000</v>
      </c>
      <c r="G113" s="49">
        <f>VLOOKUP($A113,'Data shares'!$C:$FB,99)</f>
        <v>46291000</v>
      </c>
      <c r="H113" s="50">
        <f t="shared" si="4"/>
        <v>1.5748201594262383</v>
      </c>
      <c r="I113" s="49">
        <f>VLOOKUP($A113,'Data shares'!$C:$FB,66)</f>
        <v>7958000</v>
      </c>
      <c r="J113" s="49">
        <f>VLOOKUP($A113,'Data shares'!$C:$FB,67)</f>
        <v>8148000</v>
      </c>
      <c r="K113" s="50">
        <f t="shared" si="5"/>
        <v>-2.3875345564212114</v>
      </c>
      <c r="L113" s="50">
        <f>VLOOKUP($A113,'Data shares'!$C:$FB,118)</f>
        <v>0.65</v>
      </c>
      <c r="M113" s="50">
        <f>VLOOKUP($A113,'Data shares'!$C:$FB,119)</f>
        <v>0.7</v>
      </c>
      <c r="N113" s="50">
        <f>VLOOKUP($A113,'Data shares'!$C:$FB,121)*100</f>
        <v>-7.1400000000000006</v>
      </c>
      <c r="O113" s="50">
        <f>VLOOKUP($A113,'Data shares'!$C:$FB,124)</f>
        <v>0.39</v>
      </c>
      <c r="P113" s="50">
        <f>VLOOKUP($A113,'Data shares'!$C:$FB,125)</f>
        <v>0.31</v>
      </c>
      <c r="Q113" s="50">
        <f>VLOOKUP($A113,'Data shares'!$C:$FB,127)*100</f>
        <v>25.81</v>
      </c>
    </row>
    <row r="114" spans="1:17" x14ac:dyDescent="0.25">
      <c r="A114" s="97" t="str">
        <f>'Data Vlaue (Cr)'!C109</f>
        <v>JSWSTEEL</v>
      </c>
      <c r="B114" s="140">
        <f>VLOOKUP($A114,'Data shares'!$C:$FB,7)</f>
        <v>1159.9000000000001</v>
      </c>
      <c r="C114" s="140">
        <f>VLOOKUP($A114,'Data shares'!$C:$FB,3)</f>
        <v>1167.5</v>
      </c>
      <c r="D114" s="140">
        <f>VLOOKUP($A114,'Data shares'!$C:$FB,4)</f>
        <v>1169.3</v>
      </c>
      <c r="E114" s="50">
        <f t="shared" si="3"/>
        <v>-0.15393825365602964</v>
      </c>
      <c r="F114" s="49">
        <f>VLOOKUP($A114,'Data shares'!$C:$FB,98)</f>
        <v>52947675</v>
      </c>
      <c r="G114" s="49">
        <f>VLOOKUP($A114,'Data shares'!$C:$FB,99)</f>
        <v>52647300</v>
      </c>
      <c r="H114" s="50">
        <f t="shared" si="4"/>
        <v>0.57054207908097854</v>
      </c>
      <c r="I114" s="49">
        <f>VLOOKUP($A114,'Data shares'!$C:$FB,66)</f>
        <v>11414925</v>
      </c>
      <c r="J114" s="49">
        <f>VLOOKUP($A114,'Data shares'!$C:$FB,67)</f>
        <v>27618975</v>
      </c>
      <c r="K114" s="50">
        <f t="shared" si="5"/>
        <v>-141.95494057122582</v>
      </c>
      <c r="L114" s="50">
        <f>VLOOKUP($A114,'Data shares'!$C:$FB,118)</f>
        <v>0.65</v>
      </c>
      <c r="M114" s="50">
        <f>VLOOKUP($A114,'Data shares'!$C:$FB,119)</f>
        <v>0.64</v>
      </c>
      <c r="N114" s="50">
        <f>VLOOKUP($A114,'Data shares'!$C:$FB,121)*100</f>
        <v>1.5599999999999998</v>
      </c>
      <c r="O114" s="50">
        <f>VLOOKUP($A114,'Data shares'!$C:$FB,124)</f>
        <v>0.5</v>
      </c>
      <c r="P114" s="50">
        <f>VLOOKUP($A114,'Data shares'!$C:$FB,125)</f>
        <v>0.43</v>
      </c>
      <c r="Q114" s="50">
        <f>VLOOKUP($A114,'Data shares'!$C:$FB,127)*100</f>
        <v>16.28</v>
      </c>
    </row>
    <row r="115" spans="1:17" x14ac:dyDescent="0.25">
      <c r="A115" s="97" t="str">
        <f>'Data Vlaue (Cr)'!C110</f>
        <v>JUBLFOOD</v>
      </c>
      <c r="B115" s="140">
        <f>VLOOKUP($A115,'Data shares'!$C:$FB,7)</f>
        <v>623.35</v>
      </c>
      <c r="C115" s="140">
        <f>VLOOKUP($A115,'Data shares'!$C:$FB,3)</f>
        <v>626.70000000000005</v>
      </c>
      <c r="D115" s="140">
        <f>VLOOKUP($A115,'Data shares'!$C:$FB,4)</f>
        <v>631.95000000000005</v>
      </c>
      <c r="E115" s="50">
        <f t="shared" si="3"/>
        <v>-0.8307619273676714</v>
      </c>
      <c r="F115" s="49">
        <f>VLOOKUP($A115,'Data shares'!$C:$FB,98)</f>
        <v>28470000</v>
      </c>
      <c r="G115" s="49">
        <f>VLOOKUP($A115,'Data shares'!$C:$FB,99)</f>
        <v>26786250</v>
      </c>
      <c r="H115" s="50">
        <f t="shared" si="4"/>
        <v>6.2858742825143494</v>
      </c>
      <c r="I115" s="49">
        <f>VLOOKUP($A115,'Data shares'!$C:$FB,66)</f>
        <v>16103750</v>
      </c>
      <c r="J115" s="49">
        <f>VLOOKUP($A115,'Data shares'!$C:$FB,67)</f>
        <v>7862500</v>
      </c>
      <c r="K115" s="50">
        <f t="shared" si="5"/>
        <v>51.175968330357833</v>
      </c>
      <c r="L115" s="50">
        <f>VLOOKUP($A115,'Data shares'!$C:$FB,118)</f>
        <v>0.66</v>
      </c>
      <c r="M115" s="50">
        <f>VLOOKUP($A115,'Data shares'!$C:$FB,119)</f>
        <v>0.68</v>
      </c>
      <c r="N115" s="50">
        <f>VLOOKUP($A115,'Data shares'!$C:$FB,121)*100</f>
        <v>-2.94</v>
      </c>
      <c r="O115" s="50">
        <f>VLOOKUP($A115,'Data shares'!$C:$FB,124)</f>
        <v>0.48</v>
      </c>
      <c r="P115" s="50">
        <f>VLOOKUP($A115,'Data shares'!$C:$FB,125)</f>
        <v>0.34</v>
      </c>
      <c r="Q115" s="50">
        <f>VLOOKUP($A115,'Data shares'!$C:$FB,127)*100</f>
        <v>41.18</v>
      </c>
    </row>
    <row r="116" spans="1:17" x14ac:dyDescent="0.25">
      <c r="A116" s="97" t="str">
        <f>'Data Vlaue (Cr)'!C111</f>
        <v>KALYANKJIL</v>
      </c>
      <c r="B116" s="140">
        <f>VLOOKUP($A116,'Data shares'!$C:$FB,7)</f>
        <v>485.35</v>
      </c>
      <c r="C116" s="140">
        <f>VLOOKUP($A116,'Data shares'!$C:$FB,3)</f>
        <v>487.1</v>
      </c>
      <c r="D116" s="140">
        <f>VLOOKUP($A116,'Data shares'!$C:$FB,4)</f>
        <v>493.55</v>
      </c>
      <c r="E116" s="50">
        <f t="shared" si="3"/>
        <v>-1.3068584743187091</v>
      </c>
      <c r="F116" s="49">
        <f>VLOOKUP($A116,'Data shares'!$C:$FB,98)</f>
        <v>49922225</v>
      </c>
      <c r="G116" s="49">
        <f>VLOOKUP($A116,'Data shares'!$C:$FB,99)</f>
        <v>47696775</v>
      </c>
      <c r="H116" s="50">
        <f t="shared" si="4"/>
        <v>4.6658290838321879</v>
      </c>
      <c r="I116" s="49">
        <f>VLOOKUP($A116,'Data shares'!$C:$FB,66)</f>
        <v>36806875</v>
      </c>
      <c r="J116" s="49">
        <f>VLOOKUP($A116,'Data shares'!$C:$FB,67)</f>
        <v>76889650</v>
      </c>
      <c r="K116" s="50">
        <f t="shared" si="5"/>
        <v>-108.9002394253791</v>
      </c>
      <c r="L116" s="50">
        <f>VLOOKUP($A116,'Data shares'!$C:$FB,118)</f>
        <v>0.56000000000000005</v>
      </c>
      <c r="M116" s="50">
        <f>VLOOKUP($A116,'Data shares'!$C:$FB,119)</f>
        <v>0.61</v>
      </c>
      <c r="N116" s="50">
        <f>VLOOKUP($A116,'Data shares'!$C:$FB,121)*100</f>
        <v>-8.2000000000000011</v>
      </c>
      <c r="O116" s="50">
        <f>VLOOKUP($A116,'Data shares'!$C:$FB,124)</f>
        <v>0.39</v>
      </c>
      <c r="P116" s="50">
        <f>VLOOKUP($A116,'Data shares'!$C:$FB,125)</f>
        <v>0.37</v>
      </c>
      <c r="Q116" s="50">
        <f>VLOOKUP($A116,'Data shares'!$C:$FB,127)*100</f>
        <v>5.41</v>
      </c>
    </row>
    <row r="117" spans="1:17" x14ac:dyDescent="0.25">
      <c r="A117" s="97" t="str">
        <f>'Data Vlaue (Cr)'!C112</f>
        <v>KAYNES</v>
      </c>
      <c r="B117" s="140">
        <f>VLOOKUP($A117,'Data shares'!$C:$FB,7)</f>
        <v>7466.5</v>
      </c>
      <c r="C117" s="140">
        <f>VLOOKUP($A117,'Data shares'!$C:$FB,3)</f>
        <v>7487</v>
      </c>
      <c r="D117" s="140">
        <f>VLOOKUP($A117,'Data shares'!$C:$FB,4)</f>
        <v>7300.5</v>
      </c>
      <c r="E117" s="50">
        <f t="shared" si="3"/>
        <v>2.5546195466063968</v>
      </c>
      <c r="F117" s="49">
        <f>VLOOKUP($A117,'Data shares'!$C:$FB,98)</f>
        <v>2059800</v>
      </c>
      <c r="G117" s="49">
        <f>VLOOKUP($A117,'Data shares'!$C:$FB,99)</f>
        <v>2042000</v>
      </c>
      <c r="H117" s="50">
        <f t="shared" si="4"/>
        <v>0.8716944172380019</v>
      </c>
      <c r="I117" s="49">
        <f>VLOOKUP($A117,'Data shares'!$C:$FB,66)</f>
        <v>2266400</v>
      </c>
      <c r="J117" s="49">
        <f>VLOOKUP($A117,'Data shares'!$C:$FB,67)</f>
        <v>880600</v>
      </c>
      <c r="K117" s="50">
        <f t="shared" si="5"/>
        <v>61.145428873985175</v>
      </c>
      <c r="L117" s="50">
        <f>VLOOKUP($A117,'Data shares'!$C:$FB,118)</f>
        <v>0.56999999999999995</v>
      </c>
      <c r="M117" s="50">
        <f>VLOOKUP($A117,'Data shares'!$C:$FB,119)</f>
        <v>0.53</v>
      </c>
      <c r="N117" s="50">
        <f>VLOOKUP($A117,'Data shares'!$C:$FB,121)*100</f>
        <v>7.55</v>
      </c>
      <c r="O117" s="50">
        <f>VLOOKUP($A117,'Data shares'!$C:$FB,124)</f>
        <v>0.21</v>
      </c>
      <c r="P117" s="50">
        <f>VLOOKUP($A117,'Data shares'!$C:$FB,125)</f>
        <v>0.28999999999999998</v>
      </c>
      <c r="Q117" s="50">
        <f>VLOOKUP($A117,'Data shares'!$C:$FB,127)*100</f>
        <v>-27.589999999999996</v>
      </c>
    </row>
    <row r="118" spans="1:17" x14ac:dyDescent="0.25">
      <c r="A118" s="97" t="str">
        <f>'Data Vlaue (Cr)'!C113</f>
        <v>KEI</v>
      </c>
      <c r="B118" s="140">
        <f>VLOOKUP($A118,'Data shares'!$C:$FB,7)</f>
        <v>4131.7</v>
      </c>
      <c r="C118" s="140">
        <f>VLOOKUP($A118,'Data shares'!$C:$FB,3)</f>
        <v>4154.7</v>
      </c>
      <c r="D118" s="140">
        <f>VLOOKUP($A118,'Data shares'!$C:$FB,4)</f>
        <v>4070.5</v>
      </c>
      <c r="E118" s="50">
        <f t="shared" si="3"/>
        <v>2.0685419481636118</v>
      </c>
      <c r="F118" s="49">
        <f>VLOOKUP($A118,'Data shares'!$C:$FB,98)</f>
        <v>2035775</v>
      </c>
      <c r="G118" s="49">
        <f>VLOOKUP($A118,'Data shares'!$C:$FB,99)</f>
        <v>1895775</v>
      </c>
      <c r="H118" s="50">
        <f t="shared" si="4"/>
        <v>7.3848426105418623</v>
      </c>
      <c r="I118" s="49">
        <f>VLOOKUP($A118,'Data shares'!$C:$FB,66)</f>
        <v>1873725</v>
      </c>
      <c r="J118" s="49">
        <f>VLOOKUP($A118,'Data shares'!$C:$FB,67)</f>
        <v>1345750</v>
      </c>
      <c r="K118" s="50">
        <f t="shared" si="5"/>
        <v>28.17782758942748</v>
      </c>
      <c r="L118" s="50">
        <f>VLOOKUP($A118,'Data shares'!$C:$FB,118)</f>
        <v>0.83</v>
      </c>
      <c r="M118" s="50">
        <f>VLOOKUP($A118,'Data shares'!$C:$FB,119)</f>
        <v>0.89</v>
      </c>
      <c r="N118" s="50">
        <f>VLOOKUP($A118,'Data shares'!$C:$FB,121)*100</f>
        <v>-6.74</v>
      </c>
      <c r="O118" s="50">
        <f>VLOOKUP($A118,'Data shares'!$C:$FB,124)</f>
        <v>0.3</v>
      </c>
      <c r="P118" s="50">
        <f>VLOOKUP($A118,'Data shares'!$C:$FB,125)</f>
        <v>0.71</v>
      </c>
      <c r="Q118" s="50">
        <f>VLOOKUP($A118,'Data shares'!$C:$FB,127)*100</f>
        <v>-57.75</v>
      </c>
    </row>
    <row r="119" spans="1:17" x14ac:dyDescent="0.25">
      <c r="A119" s="97" t="str">
        <f>'Data Vlaue (Cr)'!C114</f>
        <v>KFINTECH</v>
      </c>
      <c r="B119" s="140">
        <f>VLOOKUP($A119,'Data shares'!$C:$FB,7)</f>
        <v>1062.5</v>
      </c>
      <c r="C119" s="140">
        <f>VLOOKUP($A119,'Data shares'!$C:$FB,3)</f>
        <v>1068</v>
      </c>
      <c r="D119" s="140">
        <f>VLOOKUP($A119,'Data shares'!$C:$FB,4)</f>
        <v>1070.5999999999999</v>
      </c>
      <c r="E119" s="50">
        <f t="shared" si="3"/>
        <v>-0.24285447412664948</v>
      </c>
      <c r="F119" s="49">
        <f>VLOOKUP($A119,'Data shares'!$C:$FB,98)</f>
        <v>3781350</v>
      </c>
      <c r="G119" s="49">
        <f>VLOOKUP($A119,'Data shares'!$C:$FB,99)</f>
        <v>3546000</v>
      </c>
      <c r="H119" s="50">
        <f t="shared" si="4"/>
        <v>6.6370558375634516</v>
      </c>
      <c r="I119" s="49">
        <f>VLOOKUP($A119,'Data shares'!$C:$FB,66)</f>
        <v>1101150</v>
      </c>
      <c r="J119" s="49">
        <f>VLOOKUP($A119,'Data shares'!$C:$FB,67)</f>
        <v>1403550</v>
      </c>
      <c r="K119" s="50">
        <f t="shared" si="5"/>
        <v>-27.462198610543521</v>
      </c>
      <c r="L119" s="50">
        <f>VLOOKUP($A119,'Data shares'!$C:$FB,118)</f>
        <v>0.5</v>
      </c>
      <c r="M119" s="50">
        <f>VLOOKUP($A119,'Data shares'!$C:$FB,119)</f>
        <v>0.61</v>
      </c>
      <c r="N119" s="50">
        <f>VLOOKUP($A119,'Data shares'!$C:$FB,121)*100</f>
        <v>-18.029999999999998</v>
      </c>
      <c r="O119" s="50">
        <f>VLOOKUP($A119,'Data shares'!$C:$FB,124)</f>
        <v>0.19</v>
      </c>
      <c r="P119" s="50">
        <f>VLOOKUP($A119,'Data shares'!$C:$FB,125)</f>
        <v>0.4</v>
      </c>
      <c r="Q119" s="50">
        <f>VLOOKUP($A119,'Data shares'!$C:$FB,127)*100</f>
        <v>-52.5</v>
      </c>
    </row>
    <row r="120" spans="1:17" x14ac:dyDescent="0.25">
      <c r="A120" s="97" t="str">
        <f>'Data Vlaue (Cr)'!C115</f>
        <v>KOTAKBANK</v>
      </c>
      <c r="B120" s="140">
        <f>VLOOKUP($A120,'Data shares'!$C:$FB,7)</f>
        <v>2146</v>
      </c>
      <c r="C120" s="140">
        <f>VLOOKUP($A120,'Data shares'!$C:$FB,3)</f>
        <v>2152.9</v>
      </c>
      <c r="D120" s="140">
        <f>VLOOKUP($A120,'Data shares'!$C:$FB,4)</f>
        <v>2108.8000000000002</v>
      </c>
      <c r="E120" s="50">
        <f t="shared" si="3"/>
        <v>2.0912367223065207</v>
      </c>
      <c r="F120" s="49">
        <f>VLOOKUP($A120,'Data shares'!$C:$FB,98)</f>
        <v>52740400</v>
      </c>
      <c r="G120" s="49">
        <f>VLOOKUP($A120,'Data shares'!$C:$FB,99)</f>
        <v>50182800</v>
      </c>
      <c r="H120" s="50">
        <f t="shared" si="4"/>
        <v>5.0965669512263165</v>
      </c>
      <c r="I120" s="49">
        <f>VLOOKUP($A120,'Data shares'!$C:$FB,66)</f>
        <v>68834400</v>
      </c>
      <c r="J120" s="49">
        <f>VLOOKUP($A120,'Data shares'!$C:$FB,67)</f>
        <v>54685200</v>
      </c>
      <c r="K120" s="50">
        <f t="shared" si="5"/>
        <v>20.555419964436386</v>
      </c>
      <c r="L120" s="50">
        <f>VLOOKUP($A120,'Data shares'!$C:$FB,118)</f>
        <v>1.1399999999999999</v>
      </c>
      <c r="M120" s="50">
        <f>VLOOKUP($A120,'Data shares'!$C:$FB,119)</f>
        <v>1.17</v>
      </c>
      <c r="N120" s="50">
        <f>VLOOKUP($A120,'Data shares'!$C:$FB,121)*100</f>
        <v>-2.56</v>
      </c>
      <c r="O120" s="50">
        <f>VLOOKUP($A120,'Data shares'!$C:$FB,124)</f>
        <v>0.59</v>
      </c>
      <c r="P120" s="50">
        <f>VLOOKUP($A120,'Data shares'!$C:$FB,125)</f>
        <v>0.56000000000000005</v>
      </c>
      <c r="Q120" s="50">
        <f>VLOOKUP($A120,'Data shares'!$C:$FB,127)*100</f>
        <v>5.36</v>
      </c>
    </row>
    <row r="121" spans="1:17" x14ac:dyDescent="0.25">
      <c r="A121" s="97" t="str">
        <f>'Data Vlaue (Cr)'!C116</f>
        <v>KPITTECH</v>
      </c>
      <c r="B121" s="140">
        <f>VLOOKUP($A121,'Data shares'!$C:$FB,7)</f>
        <v>1156.7</v>
      </c>
      <c r="C121" s="140">
        <f>VLOOKUP($A121,'Data shares'!$C:$FB,3)</f>
        <v>1157</v>
      </c>
      <c r="D121" s="140">
        <f>VLOOKUP($A121,'Data shares'!$C:$FB,4)</f>
        <v>1152</v>
      </c>
      <c r="E121" s="50">
        <f t="shared" si="3"/>
        <v>0.43402777777777779</v>
      </c>
      <c r="F121" s="49">
        <f>VLOOKUP($A121,'Data shares'!$C:$FB,98)</f>
        <v>9112000</v>
      </c>
      <c r="G121" s="49">
        <f>VLOOKUP($A121,'Data shares'!$C:$FB,99)</f>
        <v>8672000</v>
      </c>
      <c r="H121" s="50">
        <f t="shared" si="4"/>
        <v>5.07380073800738</v>
      </c>
      <c r="I121" s="49">
        <f>VLOOKUP($A121,'Data shares'!$C:$FB,66)</f>
        <v>6184800</v>
      </c>
      <c r="J121" s="49">
        <f>VLOOKUP($A121,'Data shares'!$C:$FB,67)</f>
        <v>3619200</v>
      </c>
      <c r="K121" s="50">
        <f t="shared" si="5"/>
        <v>41.482343810632514</v>
      </c>
      <c r="L121" s="50">
        <f>VLOOKUP($A121,'Data shares'!$C:$FB,118)</f>
        <v>0.79</v>
      </c>
      <c r="M121" s="50">
        <f>VLOOKUP($A121,'Data shares'!$C:$FB,119)</f>
        <v>0.81</v>
      </c>
      <c r="N121" s="50">
        <f>VLOOKUP($A121,'Data shares'!$C:$FB,121)*100</f>
        <v>-2.4699999999999998</v>
      </c>
      <c r="O121" s="50">
        <f>VLOOKUP($A121,'Data shares'!$C:$FB,124)</f>
        <v>0.74</v>
      </c>
      <c r="P121" s="50">
        <f>VLOOKUP($A121,'Data shares'!$C:$FB,125)</f>
        <v>0.52</v>
      </c>
      <c r="Q121" s="50">
        <f>VLOOKUP($A121,'Data shares'!$C:$FB,127)*100</f>
        <v>42.309999999999995</v>
      </c>
    </row>
    <row r="122" spans="1:17" x14ac:dyDescent="0.25">
      <c r="A122" s="97" t="str">
        <f>'Data Vlaue (Cr)'!C117</f>
        <v>LAURUSLABS</v>
      </c>
      <c r="B122" s="140">
        <f>VLOOKUP($A122,'Data shares'!$C:$FB,7)</f>
        <v>863</v>
      </c>
      <c r="C122" s="140">
        <f>VLOOKUP($A122,'Data shares'!$C:$FB,3)</f>
        <v>868.35</v>
      </c>
      <c r="D122" s="140">
        <f>VLOOKUP($A122,'Data shares'!$C:$FB,4)</f>
        <v>872.75</v>
      </c>
      <c r="E122" s="50">
        <f t="shared" si="3"/>
        <v>-0.5041535376682873</v>
      </c>
      <c r="F122" s="49">
        <f>VLOOKUP($A122,'Data shares'!$C:$FB,98)</f>
        <v>34425000</v>
      </c>
      <c r="G122" s="49">
        <f>VLOOKUP($A122,'Data shares'!$C:$FB,99)</f>
        <v>33398200</v>
      </c>
      <c r="H122" s="50">
        <f t="shared" si="4"/>
        <v>3.0744171841596257</v>
      </c>
      <c r="I122" s="49">
        <f>VLOOKUP($A122,'Data shares'!$C:$FB,66)</f>
        <v>13305900</v>
      </c>
      <c r="J122" s="49">
        <f>VLOOKUP($A122,'Data shares'!$C:$FB,67)</f>
        <v>19441200</v>
      </c>
      <c r="K122" s="50">
        <f t="shared" si="5"/>
        <v>-46.109620544269838</v>
      </c>
      <c r="L122" s="50">
        <f>VLOOKUP($A122,'Data shares'!$C:$FB,118)</f>
        <v>0.6</v>
      </c>
      <c r="M122" s="50">
        <f>VLOOKUP($A122,'Data shares'!$C:$FB,119)</f>
        <v>0.63</v>
      </c>
      <c r="N122" s="50">
        <f>VLOOKUP($A122,'Data shares'!$C:$FB,121)*100</f>
        <v>-4.7600000000000007</v>
      </c>
      <c r="O122" s="50">
        <f>VLOOKUP($A122,'Data shares'!$C:$FB,124)</f>
        <v>0.44</v>
      </c>
      <c r="P122" s="50">
        <f>VLOOKUP($A122,'Data shares'!$C:$FB,125)</f>
        <v>0.53</v>
      </c>
      <c r="Q122" s="50">
        <f>VLOOKUP($A122,'Data shares'!$C:$FB,127)*100</f>
        <v>-16.98</v>
      </c>
    </row>
    <row r="123" spans="1:17" x14ac:dyDescent="0.25">
      <c r="A123" s="97" t="str">
        <f>'Data Vlaue (Cr)'!C118</f>
        <v>LICHSGFIN</v>
      </c>
      <c r="B123" s="140">
        <f>VLOOKUP($A123,'Data shares'!$C:$FB,7)</f>
        <v>576.85</v>
      </c>
      <c r="C123" s="140">
        <f>VLOOKUP($A123,'Data shares'!$C:$FB,3)</f>
        <v>580.20000000000005</v>
      </c>
      <c r="D123" s="140">
        <f>VLOOKUP($A123,'Data shares'!$C:$FB,4)</f>
        <v>582.54999999999995</v>
      </c>
      <c r="E123" s="50">
        <f t="shared" si="3"/>
        <v>-0.40339884988411451</v>
      </c>
      <c r="F123" s="49">
        <f>VLOOKUP($A123,'Data shares'!$C:$FB,98)</f>
        <v>41965000</v>
      </c>
      <c r="G123" s="49">
        <f>VLOOKUP($A123,'Data shares'!$C:$FB,99)</f>
        <v>41558000</v>
      </c>
      <c r="H123" s="50">
        <f t="shared" si="4"/>
        <v>0.97935415563790362</v>
      </c>
      <c r="I123" s="49">
        <f>VLOOKUP($A123,'Data shares'!$C:$FB,66)</f>
        <v>6203000</v>
      </c>
      <c r="J123" s="49">
        <f>VLOOKUP($A123,'Data shares'!$C:$FB,67)</f>
        <v>8669000</v>
      </c>
      <c r="K123" s="50">
        <f t="shared" si="5"/>
        <v>-39.7549572787361</v>
      </c>
      <c r="L123" s="50">
        <f>VLOOKUP($A123,'Data shares'!$C:$FB,118)</f>
        <v>0.79</v>
      </c>
      <c r="M123" s="50">
        <f>VLOOKUP($A123,'Data shares'!$C:$FB,119)</f>
        <v>0.78</v>
      </c>
      <c r="N123" s="50">
        <f>VLOOKUP($A123,'Data shares'!$C:$FB,121)*100</f>
        <v>1.28</v>
      </c>
      <c r="O123" s="50">
        <f>VLOOKUP($A123,'Data shares'!$C:$FB,124)</f>
        <v>0.24</v>
      </c>
      <c r="P123" s="50">
        <f>VLOOKUP($A123,'Data shares'!$C:$FB,125)</f>
        <v>0.31</v>
      </c>
      <c r="Q123" s="50">
        <f>VLOOKUP($A123,'Data shares'!$C:$FB,127)*100</f>
        <v>-22.58</v>
      </c>
    </row>
    <row r="124" spans="1:17" x14ac:dyDescent="0.25">
      <c r="A124" s="97" t="str">
        <f>'Data Vlaue (Cr)'!C119</f>
        <v>LICI</v>
      </c>
      <c r="B124" s="140">
        <f>VLOOKUP($A124,'Data shares'!$C:$FB,7)</f>
        <v>907.15</v>
      </c>
      <c r="C124" s="140">
        <f>VLOOKUP($A124,'Data shares'!$C:$FB,3)</f>
        <v>912.9</v>
      </c>
      <c r="D124" s="140">
        <f>VLOOKUP($A124,'Data shares'!$C:$FB,4)</f>
        <v>911.25</v>
      </c>
      <c r="E124" s="50">
        <f t="shared" si="3"/>
        <v>0.18106995884773414</v>
      </c>
      <c r="F124" s="49">
        <f>VLOOKUP($A124,'Data shares'!$C:$FB,98)</f>
        <v>12419400</v>
      </c>
      <c r="G124" s="49">
        <f>VLOOKUP($A124,'Data shares'!$C:$FB,99)</f>
        <v>11760000</v>
      </c>
      <c r="H124" s="50">
        <f t="shared" si="4"/>
        <v>5.6071428571428568</v>
      </c>
      <c r="I124" s="49">
        <f>VLOOKUP($A124,'Data shares'!$C:$FB,66)</f>
        <v>4139800</v>
      </c>
      <c r="J124" s="49">
        <f>VLOOKUP($A124,'Data shares'!$C:$FB,67)</f>
        <v>5025300</v>
      </c>
      <c r="K124" s="50">
        <f t="shared" si="5"/>
        <v>-21.389922218464662</v>
      </c>
      <c r="L124" s="50">
        <f>VLOOKUP($A124,'Data shares'!$C:$FB,118)</f>
        <v>0.44</v>
      </c>
      <c r="M124" s="50">
        <f>VLOOKUP($A124,'Data shares'!$C:$FB,119)</f>
        <v>0.44</v>
      </c>
      <c r="N124" s="50">
        <f>VLOOKUP($A124,'Data shares'!$C:$FB,121)*100</f>
        <v>0</v>
      </c>
      <c r="O124" s="50">
        <f>VLOOKUP($A124,'Data shares'!$C:$FB,124)</f>
        <v>0.28000000000000003</v>
      </c>
      <c r="P124" s="50">
        <f>VLOOKUP($A124,'Data shares'!$C:$FB,125)</f>
        <v>0.28999999999999998</v>
      </c>
      <c r="Q124" s="50">
        <f>VLOOKUP($A124,'Data shares'!$C:$FB,127)*100</f>
        <v>-3.45</v>
      </c>
    </row>
    <row r="125" spans="1:17" x14ac:dyDescent="0.25">
      <c r="A125" s="97" t="str">
        <f>'Data Vlaue (Cr)'!C120</f>
        <v>LODHA</v>
      </c>
      <c r="B125" s="140">
        <f>VLOOKUP($A125,'Data shares'!$C:$FB,7)</f>
        <v>1115.0999999999999</v>
      </c>
      <c r="C125" s="140">
        <f>VLOOKUP($A125,'Data shares'!$C:$FB,3)</f>
        <v>1122.5</v>
      </c>
      <c r="D125" s="140">
        <f>VLOOKUP($A125,'Data shares'!$C:$FB,4)</f>
        <v>1120.4000000000001</v>
      </c>
      <c r="E125" s="50">
        <f t="shared" si="3"/>
        <v>0.1874330596215556</v>
      </c>
      <c r="F125" s="49">
        <f>VLOOKUP($A125,'Data shares'!$C:$FB,98)</f>
        <v>14875200</v>
      </c>
      <c r="G125" s="49">
        <f>VLOOKUP($A125,'Data shares'!$C:$FB,99)</f>
        <v>14033250</v>
      </c>
      <c r="H125" s="50">
        <f t="shared" si="4"/>
        <v>5.9996793330126659</v>
      </c>
      <c r="I125" s="49">
        <f>VLOOKUP($A125,'Data shares'!$C:$FB,66)</f>
        <v>6463800</v>
      </c>
      <c r="J125" s="49">
        <f>VLOOKUP($A125,'Data shares'!$C:$FB,67)</f>
        <v>6809850</v>
      </c>
      <c r="K125" s="50">
        <f t="shared" si="5"/>
        <v>-5.3536619326093007</v>
      </c>
      <c r="L125" s="50">
        <f>VLOOKUP($A125,'Data shares'!$C:$FB,118)</f>
        <v>0.5</v>
      </c>
      <c r="M125" s="50">
        <f>VLOOKUP($A125,'Data shares'!$C:$FB,119)</f>
        <v>0.49</v>
      </c>
      <c r="N125" s="50">
        <f>VLOOKUP($A125,'Data shares'!$C:$FB,121)*100</f>
        <v>2.04</v>
      </c>
      <c r="O125" s="50">
        <f>VLOOKUP($A125,'Data shares'!$C:$FB,124)</f>
        <v>0.27</v>
      </c>
      <c r="P125" s="50">
        <f>VLOOKUP($A125,'Data shares'!$C:$FB,125)</f>
        <v>0.45</v>
      </c>
      <c r="Q125" s="50">
        <f>VLOOKUP($A125,'Data shares'!$C:$FB,127)*100</f>
        <v>-40</v>
      </c>
    </row>
    <row r="126" spans="1:17" x14ac:dyDescent="0.25">
      <c r="A126" s="97" t="str">
        <f>'Data Vlaue (Cr)'!C121</f>
        <v>LT</v>
      </c>
      <c r="B126" s="140">
        <f>VLOOKUP($A126,'Data shares'!$C:$FB,7)</f>
        <v>3737</v>
      </c>
      <c r="C126" s="140">
        <f>VLOOKUP($A126,'Data shares'!$C:$FB,3)</f>
        <v>3753.4</v>
      </c>
      <c r="D126" s="140">
        <f>VLOOKUP($A126,'Data shares'!$C:$FB,4)</f>
        <v>3751.1</v>
      </c>
      <c r="E126" s="50">
        <f t="shared" si="3"/>
        <v>6.1315347498072083E-2</v>
      </c>
      <c r="F126" s="49">
        <f>VLOOKUP($A126,'Data shares'!$C:$FB,98)</f>
        <v>24535350</v>
      </c>
      <c r="G126" s="49">
        <f>VLOOKUP($A126,'Data shares'!$C:$FB,99)</f>
        <v>23677325</v>
      </c>
      <c r="H126" s="50">
        <f t="shared" si="4"/>
        <v>3.6238257488968877</v>
      </c>
      <c r="I126" s="49">
        <f>VLOOKUP($A126,'Data shares'!$C:$FB,66)</f>
        <v>15242150</v>
      </c>
      <c r="J126" s="49">
        <f>VLOOKUP($A126,'Data shares'!$C:$FB,67)</f>
        <v>13967100</v>
      </c>
      <c r="K126" s="50">
        <f t="shared" si="5"/>
        <v>8.3652896737008895</v>
      </c>
      <c r="L126" s="50">
        <f>VLOOKUP($A126,'Data shares'!$C:$FB,118)</f>
        <v>0.5</v>
      </c>
      <c r="M126" s="50">
        <f>VLOOKUP($A126,'Data shares'!$C:$FB,119)</f>
        <v>0.55000000000000004</v>
      </c>
      <c r="N126" s="50">
        <f>VLOOKUP($A126,'Data shares'!$C:$FB,121)*100</f>
        <v>-9.09</v>
      </c>
      <c r="O126" s="50">
        <f>VLOOKUP($A126,'Data shares'!$C:$FB,124)</f>
        <v>0.28000000000000003</v>
      </c>
      <c r="P126" s="50">
        <f>VLOOKUP($A126,'Data shares'!$C:$FB,125)</f>
        <v>0.36</v>
      </c>
      <c r="Q126" s="50">
        <f>VLOOKUP($A126,'Data shares'!$C:$FB,127)*100</f>
        <v>-22.220000000000002</v>
      </c>
    </row>
    <row r="127" spans="1:17" x14ac:dyDescent="0.25">
      <c r="A127" s="97" t="str">
        <f>'Data Vlaue (Cr)'!C122</f>
        <v>LTF</v>
      </c>
      <c r="B127" s="140">
        <f>VLOOKUP($A127,'Data shares'!$C:$FB,7)</f>
        <v>259.87</v>
      </c>
      <c r="C127" s="140">
        <f>VLOOKUP($A127,'Data shares'!$C:$FB,3)</f>
        <v>261.11</v>
      </c>
      <c r="D127" s="140">
        <f>VLOOKUP($A127,'Data shares'!$C:$FB,4)</f>
        <v>263.36</v>
      </c>
      <c r="E127" s="50">
        <f t="shared" si="3"/>
        <v>-0.85434386391251504</v>
      </c>
      <c r="F127" s="49">
        <f>VLOOKUP($A127,'Data shares'!$C:$FB,98)</f>
        <v>93724310</v>
      </c>
      <c r="G127" s="49">
        <f>VLOOKUP($A127,'Data shares'!$C:$FB,99)</f>
        <v>91265748</v>
      </c>
      <c r="H127" s="50">
        <f t="shared" si="4"/>
        <v>2.6938496137674783</v>
      </c>
      <c r="I127" s="49">
        <f>VLOOKUP($A127,'Data shares'!$C:$FB,66)</f>
        <v>110804846</v>
      </c>
      <c r="J127" s="49">
        <f>VLOOKUP($A127,'Data shares'!$C:$FB,67)</f>
        <v>91056034</v>
      </c>
      <c r="K127" s="50">
        <f t="shared" si="5"/>
        <v>17.823058027624533</v>
      </c>
      <c r="L127" s="50">
        <f>VLOOKUP($A127,'Data shares'!$C:$FB,118)</f>
        <v>0.95</v>
      </c>
      <c r="M127" s="50">
        <f>VLOOKUP($A127,'Data shares'!$C:$FB,119)</f>
        <v>1.08</v>
      </c>
      <c r="N127" s="50">
        <f>VLOOKUP($A127,'Data shares'!$C:$FB,121)*100</f>
        <v>-12.04</v>
      </c>
      <c r="O127" s="50">
        <f>VLOOKUP($A127,'Data shares'!$C:$FB,124)</f>
        <v>0.55000000000000004</v>
      </c>
      <c r="P127" s="50">
        <f>VLOOKUP($A127,'Data shares'!$C:$FB,125)</f>
        <v>0.53</v>
      </c>
      <c r="Q127" s="50">
        <f>VLOOKUP($A127,'Data shares'!$C:$FB,127)*100</f>
        <v>3.7699999999999996</v>
      </c>
    </row>
    <row r="128" spans="1:17" x14ac:dyDescent="0.25">
      <c r="A128" s="97" t="str">
        <f>'Data Vlaue (Cr)'!C123</f>
        <v>LTIM</v>
      </c>
      <c r="B128" s="140">
        <f>VLOOKUP($A128,'Data shares'!$C:$FB,7)</f>
        <v>5274</v>
      </c>
      <c r="C128" s="140">
        <f>VLOOKUP($A128,'Data shares'!$C:$FB,3)</f>
        <v>5264.5</v>
      </c>
      <c r="D128" s="140">
        <f>VLOOKUP($A128,'Data shares'!$C:$FB,4)</f>
        <v>5116.5</v>
      </c>
      <c r="E128" s="50">
        <f t="shared" si="3"/>
        <v>2.8926023648978791</v>
      </c>
      <c r="F128" s="49">
        <f>VLOOKUP($A128,'Data shares'!$C:$FB,98)</f>
        <v>3622950</v>
      </c>
      <c r="G128" s="49">
        <f>VLOOKUP($A128,'Data shares'!$C:$FB,99)</f>
        <v>3541950</v>
      </c>
      <c r="H128" s="50">
        <f t="shared" si="4"/>
        <v>2.2868758734595351</v>
      </c>
      <c r="I128" s="49">
        <f>VLOOKUP($A128,'Data shares'!$C:$FB,66)</f>
        <v>3501450</v>
      </c>
      <c r="J128" s="49">
        <f>VLOOKUP($A128,'Data shares'!$C:$FB,67)</f>
        <v>1215600</v>
      </c>
      <c r="K128" s="50">
        <f t="shared" si="5"/>
        <v>65.282954204686632</v>
      </c>
      <c r="L128" s="50">
        <f>VLOOKUP($A128,'Data shares'!$C:$FB,118)</f>
        <v>0.65</v>
      </c>
      <c r="M128" s="50">
        <f>VLOOKUP($A128,'Data shares'!$C:$FB,119)</f>
        <v>0.73</v>
      </c>
      <c r="N128" s="50">
        <f>VLOOKUP($A128,'Data shares'!$C:$FB,121)*100</f>
        <v>-10.96</v>
      </c>
      <c r="O128" s="50">
        <f>VLOOKUP($A128,'Data shares'!$C:$FB,124)</f>
        <v>0.23</v>
      </c>
      <c r="P128" s="50">
        <f>VLOOKUP($A128,'Data shares'!$C:$FB,125)</f>
        <v>0.36</v>
      </c>
      <c r="Q128" s="50">
        <f>VLOOKUP($A128,'Data shares'!$C:$FB,127)*100</f>
        <v>-36.11</v>
      </c>
    </row>
    <row r="129" spans="1:17" x14ac:dyDescent="0.25">
      <c r="A129" s="97" t="str">
        <f>'Data Vlaue (Cr)'!C124</f>
        <v>LUPIN</v>
      </c>
      <c r="B129" s="140">
        <f>VLOOKUP($A129,'Data shares'!$C:$FB,7)</f>
        <v>1937.3</v>
      </c>
      <c r="C129" s="140">
        <f>VLOOKUP($A129,'Data shares'!$C:$FB,3)</f>
        <v>1949</v>
      </c>
      <c r="D129" s="140">
        <f>VLOOKUP($A129,'Data shares'!$C:$FB,4)</f>
        <v>1986.3</v>
      </c>
      <c r="E129" s="50">
        <f t="shared" si="3"/>
        <v>-1.877863364043697</v>
      </c>
      <c r="F129" s="49">
        <f>VLOOKUP($A129,'Data shares'!$C:$FB,98)</f>
        <v>15104925</v>
      </c>
      <c r="G129" s="49">
        <f>VLOOKUP($A129,'Data shares'!$C:$FB,99)</f>
        <v>13844800</v>
      </c>
      <c r="H129" s="50">
        <f t="shared" si="4"/>
        <v>9.1017927308447923</v>
      </c>
      <c r="I129" s="49">
        <f>VLOOKUP($A129,'Data shares'!$C:$FB,66)</f>
        <v>8953475</v>
      </c>
      <c r="J129" s="49">
        <f>VLOOKUP($A129,'Data shares'!$C:$FB,67)</f>
        <v>4884525</v>
      </c>
      <c r="K129" s="50">
        <f t="shared" si="5"/>
        <v>45.445483457540234</v>
      </c>
      <c r="L129" s="50">
        <f>VLOOKUP($A129,'Data shares'!$C:$FB,118)</f>
        <v>0.72</v>
      </c>
      <c r="M129" s="50">
        <f>VLOOKUP($A129,'Data shares'!$C:$FB,119)</f>
        <v>0.85</v>
      </c>
      <c r="N129" s="50">
        <f>VLOOKUP($A129,'Data shares'!$C:$FB,121)*100</f>
        <v>-15.290000000000001</v>
      </c>
      <c r="O129" s="50">
        <f>VLOOKUP($A129,'Data shares'!$C:$FB,124)</f>
        <v>0.63</v>
      </c>
      <c r="P129" s="50">
        <f>VLOOKUP($A129,'Data shares'!$C:$FB,125)</f>
        <v>0.59</v>
      </c>
      <c r="Q129" s="50">
        <f>VLOOKUP($A129,'Data shares'!$C:$FB,127)*100</f>
        <v>6.78</v>
      </c>
    </row>
    <row r="130" spans="1:17" x14ac:dyDescent="0.25">
      <c r="A130" s="97" t="str">
        <f>'Data Vlaue (Cr)'!C125</f>
        <v>M&amp;M</v>
      </c>
      <c r="B130" s="140">
        <f>VLOOKUP($A130,'Data shares'!$C:$FB,7)</f>
        <v>3472</v>
      </c>
      <c r="C130" s="140">
        <f>VLOOKUP($A130,'Data shares'!$C:$FB,3)</f>
        <v>3492.2</v>
      </c>
      <c r="D130" s="140">
        <f>VLOOKUP($A130,'Data shares'!$C:$FB,4)</f>
        <v>3474.3</v>
      </c>
      <c r="E130" s="50">
        <f t="shared" si="3"/>
        <v>0.51521169732031302</v>
      </c>
      <c r="F130" s="49">
        <f>VLOOKUP($A130,'Data shares'!$C:$FB,98)</f>
        <v>27215000</v>
      </c>
      <c r="G130" s="49">
        <f>VLOOKUP($A130,'Data shares'!$C:$FB,99)</f>
        <v>27000400</v>
      </c>
      <c r="H130" s="50">
        <f t="shared" si="4"/>
        <v>0.7948030399549636</v>
      </c>
      <c r="I130" s="49">
        <f>VLOOKUP($A130,'Data shares'!$C:$FB,66)</f>
        <v>8092600</v>
      </c>
      <c r="J130" s="49">
        <f>VLOOKUP($A130,'Data shares'!$C:$FB,67)</f>
        <v>13221600</v>
      </c>
      <c r="K130" s="50">
        <f t="shared" si="5"/>
        <v>-63.378889355707678</v>
      </c>
      <c r="L130" s="50">
        <f>VLOOKUP($A130,'Data shares'!$C:$FB,118)</f>
        <v>0.6</v>
      </c>
      <c r="M130" s="50">
        <f>VLOOKUP($A130,'Data shares'!$C:$FB,119)</f>
        <v>0.65</v>
      </c>
      <c r="N130" s="50">
        <f>VLOOKUP($A130,'Data shares'!$C:$FB,121)*100</f>
        <v>-7.6899999999999995</v>
      </c>
      <c r="O130" s="50">
        <f>VLOOKUP($A130,'Data shares'!$C:$FB,124)</f>
        <v>0.42</v>
      </c>
      <c r="P130" s="50">
        <f>VLOOKUP($A130,'Data shares'!$C:$FB,125)</f>
        <v>0.56000000000000005</v>
      </c>
      <c r="Q130" s="50">
        <f>VLOOKUP($A130,'Data shares'!$C:$FB,127)*100</f>
        <v>-25</v>
      </c>
    </row>
    <row r="131" spans="1:17" x14ac:dyDescent="0.25">
      <c r="A131" s="97" t="str">
        <f>'Data Vlaue (Cr)'!C126</f>
        <v>MANAPPURAM</v>
      </c>
      <c r="B131" s="140">
        <f>VLOOKUP($A131,'Data shares'!$C:$FB,7)</f>
        <v>290.75</v>
      </c>
      <c r="C131" s="140">
        <f>VLOOKUP($A131,'Data shares'!$C:$FB,3)</f>
        <v>292.5</v>
      </c>
      <c r="D131" s="140">
        <f>VLOOKUP($A131,'Data shares'!$C:$FB,4)</f>
        <v>287.45</v>
      </c>
      <c r="E131" s="50">
        <f t="shared" si="3"/>
        <v>1.7568272743085793</v>
      </c>
      <c r="F131" s="49">
        <f>VLOOKUP($A131,'Data shares'!$C:$FB,98)</f>
        <v>40884000</v>
      </c>
      <c r="G131" s="49">
        <f>VLOOKUP($A131,'Data shares'!$C:$FB,99)</f>
        <v>39705000</v>
      </c>
      <c r="H131" s="50">
        <f t="shared" si="4"/>
        <v>2.9693993199848885</v>
      </c>
      <c r="I131" s="49">
        <f>VLOOKUP($A131,'Data shares'!$C:$FB,66)</f>
        <v>30450000</v>
      </c>
      <c r="J131" s="49">
        <f>VLOOKUP($A131,'Data shares'!$C:$FB,67)</f>
        <v>12894000</v>
      </c>
      <c r="K131" s="50">
        <f t="shared" si="5"/>
        <v>57.655172413793096</v>
      </c>
      <c r="L131" s="50">
        <f>VLOOKUP($A131,'Data shares'!$C:$FB,118)</f>
        <v>0.5</v>
      </c>
      <c r="M131" s="50">
        <f>VLOOKUP($A131,'Data shares'!$C:$FB,119)</f>
        <v>0.56000000000000005</v>
      </c>
      <c r="N131" s="50">
        <f>VLOOKUP($A131,'Data shares'!$C:$FB,121)*100</f>
        <v>-10.71</v>
      </c>
      <c r="O131" s="50">
        <f>VLOOKUP($A131,'Data shares'!$C:$FB,124)</f>
        <v>0.3</v>
      </c>
      <c r="P131" s="50">
        <f>VLOOKUP($A131,'Data shares'!$C:$FB,125)</f>
        <v>0.33</v>
      </c>
      <c r="Q131" s="50">
        <f>VLOOKUP($A131,'Data shares'!$C:$FB,127)*100</f>
        <v>-9.09</v>
      </c>
    </row>
    <row r="132" spans="1:17" x14ac:dyDescent="0.25">
      <c r="A132" s="97" t="str">
        <f>'Data Vlaue (Cr)'!C127</f>
        <v>MANKIND</v>
      </c>
      <c r="B132" s="140">
        <f>VLOOKUP($A132,'Data shares'!$C:$FB,7)</f>
        <v>2456.3000000000002</v>
      </c>
      <c r="C132" s="140">
        <f>VLOOKUP($A132,'Data shares'!$C:$FB,3)</f>
        <v>2468.9</v>
      </c>
      <c r="D132" s="140">
        <f>VLOOKUP($A132,'Data shares'!$C:$FB,4)</f>
        <v>2456</v>
      </c>
      <c r="E132" s="50">
        <f t="shared" si="3"/>
        <v>0.52524429967427078</v>
      </c>
      <c r="F132" s="49">
        <f>VLOOKUP($A132,'Data shares'!$C:$FB,98)</f>
        <v>2488275</v>
      </c>
      <c r="G132" s="49">
        <f>VLOOKUP($A132,'Data shares'!$C:$FB,99)</f>
        <v>2348325</v>
      </c>
      <c r="H132" s="50">
        <f t="shared" si="4"/>
        <v>5.9595669253616936</v>
      </c>
      <c r="I132" s="49">
        <f>VLOOKUP($A132,'Data shares'!$C:$FB,66)</f>
        <v>993150</v>
      </c>
      <c r="J132" s="49">
        <f>VLOOKUP($A132,'Data shares'!$C:$FB,67)</f>
        <v>953325</v>
      </c>
      <c r="K132" s="50">
        <f t="shared" si="5"/>
        <v>4.0099682827367467</v>
      </c>
      <c r="L132" s="50">
        <f>VLOOKUP($A132,'Data shares'!$C:$FB,118)</f>
        <v>0.59</v>
      </c>
      <c r="M132" s="50">
        <f>VLOOKUP($A132,'Data shares'!$C:$FB,119)</f>
        <v>0.65</v>
      </c>
      <c r="N132" s="50">
        <f>VLOOKUP($A132,'Data shares'!$C:$FB,121)*100</f>
        <v>-9.2299999999999986</v>
      </c>
      <c r="O132" s="50">
        <f>VLOOKUP($A132,'Data shares'!$C:$FB,124)</f>
        <v>0.53</v>
      </c>
      <c r="P132" s="50">
        <f>VLOOKUP($A132,'Data shares'!$C:$FB,125)</f>
        <v>0.57999999999999996</v>
      </c>
      <c r="Q132" s="50">
        <f>VLOOKUP($A132,'Data shares'!$C:$FB,127)*100</f>
        <v>-8.6199999999999992</v>
      </c>
    </row>
    <row r="133" spans="1:17" x14ac:dyDescent="0.25">
      <c r="A133" s="97" t="str">
        <f>'Data Vlaue (Cr)'!C128</f>
        <v>MARICO</v>
      </c>
      <c r="B133" s="140">
        <f>VLOOKUP($A133,'Data shares'!$C:$FB,7)</f>
        <v>715.55</v>
      </c>
      <c r="C133" s="140">
        <f>VLOOKUP($A133,'Data shares'!$C:$FB,3)</f>
        <v>719.3</v>
      </c>
      <c r="D133" s="140">
        <f>VLOOKUP($A133,'Data shares'!$C:$FB,4)</f>
        <v>713.65</v>
      </c>
      <c r="E133" s="50">
        <f t="shared" si="3"/>
        <v>0.79170461710922402</v>
      </c>
      <c r="F133" s="49">
        <f>VLOOKUP($A133,'Data shares'!$C:$FB,98)</f>
        <v>33674400</v>
      </c>
      <c r="G133" s="49">
        <f>VLOOKUP($A133,'Data shares'!$C:$FB,99)</f>
        <v>33996000</v>
      </c>
      <c r="H133" s="50">
        <f t="shared" si="4"/>
        <v>-0.94599364631133065</v>
      </c>
      <c r="I133" s="49">
        <f>VLOOKUP($A133,'Data shares'!$C:$FB,66)</f>
        <v>12562800</v>
      </c>
      <c r="J133" s="49">
        <f>VLOOKUP($A133,'Data shares'!$C:$FB,67)</f>
        <v>8349600</v>
      </c>
      <c r="K133" s="50">
        <f t="shared" si="5"/>
        <v>33.537109561562708</v>
      </c>
      <c r="L133" s="50">
        <f>VLOOKUP($A133,'Data shares'!$C:$FB,118)</f>
        <v>0.81</v>
      </c>
      <c r="M133" s="50">
        <f>VLOOKUP($A133,'Data shares'!$C:$FB,119)</f>
        <v>0.74</v>
      </c>
      <c r="N133" s="50">
        <f>VLOOKUP($A133,'Data shares'!$C:$FB,121)*100</f>
        <v>9.4600000000000009</v>
      </c>
      <c r="O133" s="50">
        <f>VLOOKUP($A133,'Data shares'!$C:$FB,124)</f>
        <v>0.53</v>
      </c>
      <c r="P133" s="50">
        <f>VLOOKUP($A133,'Data shares'!$C:$FB,125)</f>
        <v>0.4</v>
      </c>
      <c r="Q133" s="50">
        <f>VLOOKUP($A133,'Data shares'!$C:$FB,127)*100</f>
        <v>32.5</v>
      </c>
    </row>
    <row r="134" spans="1:17" x14ac:dyDescent="0.25">
      <c r="A134" s="97" t="str">
        <f>'Data Vlaue (Cr)'!C129</f>
        <v>MARUTI</v>
      </c>
      <c r="B134" s="140">
        <f>VLOOKUP($A134,'Data shares'!$C:$FB,7)</f>
        <v>15998</v>
      </c>
      <c r="C134" s="140">
        <f>VLOOKUP($A134,'Data shares'!$C:$FB,3)</f>
        <v>16063</v>
      </c>
      <c r="D134" s="140">
        <f>VLOOKUP($A134,'Data shares'!$C:$FB,4)</f>
        <v>15904</v>
      </c>
      <c r="E134" s="50">
        <f t="shared" si="3"/>
        <v>0.99974849094567397</v>
      </c>
      <c r="F134" s="49">
        <f>VLOOKUP($A134,'Data shares'!$C:$FB,98)</f>
        <v>6549000</v>
      </c>
      <c r="G134" s="49">
        <f>VLOOKUP($A134,'Data shares'!$C:$FB,99)</f>
        <v>6440250</v>
      </c>
      <c r="H134" s="50">
        <f t="shared" si="4"/>
        <v>1.6885990450681263</v>
      </c>
      <c r="I134" s="49">
        <f>VLOOKUP($A134,'Data shares'!$C:$FB,66)</f>
        <v>7422250</v>
      </c>
      <c r="J134" s="49">
        <f>VLOOKUP($A134,'Data shares'!$C:$FB,67)</f>
        <v>7814000</v>
      </c>
      <c r="K134" s="50">
        <f t="shared" si="5"/>
        <v>-5.2780491090976458</v>
      </c>
      <c r="L134" s="50">
        <f>VLOOKUP($A134,'Data shares'!$C:$FB,118)</f>
        <v>0.55000000000000004</v>
      </c>
      <c r="M134" s="50">
        <f>VLOOKUP($A134,'Data shares'!$C:$FB,119)</f>
        <v>0.51</v>
      </c>
      <c r="N134" s="50">
        <f>VLOOKUP($A134,'Data shares'!$C:$FB,121)*100</f>
        <v>7.84</v>
      </c>
      <c r="O134" s="50">
        <f>VLOOKUP($A134,'Data shares'!$C:$FB,124)</f>
        <v>0.43</v>
      </c>
      <c r="P134" s="50">
        <f>VLOOKUP($A134,'Data shares'!$C:$FB,125)</f>
        <v>0.53</v>
      </c>
      <c r="Q134" s="50">
        <f>VLOOKUP($A134,'Data shares'!$C:$FB,127)*100</f>
        <v>-18.87</v>
      </c>
    </row>
    <row r="135" spans="1:17" x14ac:dyDescent="0.25">
      <c r="A135" s="97" t="str">
        <f>'Data Vlaue (Cr)'!C130</f>
        <v>MAXHEALTH</v>
      </c>
      <c r="B135" s="140">
        <f>VLOOKUP($A135,'Data shares'!$C:$FB,7)</f>
        <v>1139.7</v>
      </c>
      <c r="C135" s="140">
        <f>VLOOKUP($A135,'Data shares'!$C:$FB,3)</f>
        <v>1143.2</v>
      </c>
      <c r="D135" s="140">
        <f>VLOOKUP($A135,'Data shares'!$C:$FB,4)</f>
        <v>1073.5</v>
      </c>
      <c r="E135" s="50">
        <f t="shared" si="3"/>
        <v>6.4927806241266932</v>
      </c>
      <c r="F135" s="49">
        <f>VLOOKUP($A135,'Data shares'!$C:$FB,98)</f>
        <v>24500700</v>
      </c>
      <c r="G135" s="49">
        <f>VLOOKUP($A135,'Data shares'!$C:$FB,99)</f>
        <v>26200650</v>
      </c>
      <c r="H135" s="50">
        <f t="shared" si="4"/>
        <v>-6.488197811886347</v>
      </c>
      <c r="I135" s="49">
        <f>VLOOKUP($A135,'Data shares'!$C:$FB,66)</f>
        <v>55843725</v>
      </c>
      <c r="J135" s="49">
        <f>VLOOKUP($A135,'Data shares'!$C:$FB,67)</f>
        <v>28951650</v>
      </c>
      <c r="K135" s="50">
        <f t="shared" si="5"/>
        <v>48.15594769152667</v>
      </c>
      <c r="L135" s="50">
        <f>VLOOKUP($A135,'Data shares'!$C:$FB,118)</f>
        <v>0.82</v>
      </c>
      <c r="M135" s="50">
        <f>VLOOKUP($A135,'Data shares'!$C:$FB,119)</f>
        <v>0.5</v>
      </c>
      <c r="N135" s="50">
        <f>VLOOKUP($A135,'Data shares'!$C:$FB,121)*100</f>
        <v>64</v>
      </c>
      <c r="O135" s="50">
        <f>VLOOKUP($A135,'Data shares'!$C:$FB,124)</f>
        <v>0.46</v>
      </c>
      <c r="P135" s="50">
        <f>VLOOKUP($A135,'Data shares'!$C:$FB,125)</f>
        <v>0.84</v>
      </c>
      <c r="Q135" s="50">
        <f>VLOOKUP($A135,'Data shares'!$C:$FB,127)*100</f>
        <v>-45.24</v>
      </c>
    </row>
    <row r="136" spans="1:17" x14ac:dyDescent="0.25">
      <c r="A136" s="97" t="str">
        <f>'Data Vlaue (Cr)'!C131</f>
        <v>MAZDOCK</v>
      </c>
      <c r="B136" s="140">
        <f>VLOOKUP($A136,'Data shares'!$C:$FB,7)</f>
        <v>2888</v>
      </c>
      <c r="C136" s="140">
        <f>VLOOKUP($A136,'Data shares'!$C:$FB,3)</f>
        <v>2904.7</v>
      </c>
      <c r="D136" s="140">
        <f>VLOOKUP($A136,'Data shares'!$C:$FB,4)</f>
        <v>2900.5</v>
      </c>
      <c r="E136" s="50">
        <f t="shared" ref="E136:E172" si="6">(C136-D136)/D136*100</f>
        <v>0.14480262023788376</v>
      </c>
      <c r="F136" s="49">
        <f>VLOOKUP($A136,'Data shares'!$C:$FB,98)</f>
        <v>6635125</v>
      </c>
      <c r="G136" s="49">
        <f>VLOOKUP($A136,'Data shares'!$C:$FB,99)</f>
        <v>6443325</v>
      </c>
      <c r="H136" s="50">
        <f t="shared" ref="H136:H172" si="7">(F136-G136)/G136*100</f>
        <v>2.9767239740351448</v>
      </c>
      <c r="I136" s="49">
        <f>VLOOKUP($A136,'Data shares'!$C:$FB,66)</f>
        <v>3431225</v>
      </c>
      <c r="J136" s="49">
        <f>VLOOKUP($A136,'Data shares'!$C:$FB,67)</f>
        <v>3935050</v>
      </c>
      <c r="K136" s="50">
        <f t="shared" ref="K136:K172" si="8">(I136-J136)/I136*100</f>
        <v>-14.683531391849849</v>
      </c>
      <c r="L136" s="50">
        <f>VLOOKUP($A136,'Data shares'!$C:$FB,118)</f>
        <v>0.61</v>
      </c>
      <c r="M136" s="50">
        <f>VLOOKUP($A136,'Data shares'!$C:$FB,119)</f>
        <v>0.59</v>
      </c>
      <c r="N136" s="50">
        <f>VLOOKUP($A136,'Data shares'!$C:$FB,121)*100</f>
        <v>3.39</v>
      </c>
      <c r="O136" s="50">
        <f>VLOOKUP($A136,'Data shares'!$C:$FB,124)</f>
        <v>0.39</v>
      </c>
      <c r="P136" s="50">
        <f>VLOOKUP($A136,'Data shares'!$C:$FB,125)</f>
        <v>0.25</v>
      </c>
      <c r="Q136" s="50">
        <f>VLOOKUP($A136,'Data shares'!$C:$FB,127)*100</f>
        <v>56.000000000000007</v>
      </c>
    </row>
    <row r="137" spans="1:17" x14ac:dyDescent="0.25">
      <c r="A137" s="97" t="str">
        <f>'Data Vlaue (Cr)'!C132</f>
        <v>MCX</v>
      </c>
      <c r="B137" s="140">
        <f>VLOOKUP($A137,'Data shares'!$C:$FB,7)</f>
        <v>8192</v>
      </c>
      <c r="C137" s="140">
        <f>VLOOKUP($A137,'Data shares'!$C:$FB,3)</f>
        <v>8245</v>
      </c>
      <c r="D137" s="140">
        <f>VLOOKUP($A137,'Data shares'!$C:$FB,4)</f>
        <v>8202.5</v>
      </c>
      <c r="E137" s="50">
        <f t="shared" si="6"/>
        <v>0.5181347150259068</v>
      </c>
      <c r="F137" s="49">
        <f>VLOOKUP($A137,'Data shares'!$C:$FB,98)</f>
        <v>4695250</v>
      </c>
      <c r="G137" s="49">
        <f>VLOOKUP($A137,'Data shares'!$C:$FB,99)</f>
        <v>4499625</v>
      </c>
      <c r="H137" s="50">
        <f t="shared" si="7"/>
        <v>4.3475845209323003</v>
      </c>
      <c r="I137" s="49">
        <f>VLOOKUP($A137,'Data shares'!$C:$FB,66)</f>
        <v>5135000</v>
      </c>
      <c r="J137" s="49">
        <f>VLOOKUP($A137,'Data shares'!$C:$FB,67)</f>
        <v>7289125</v>
      </c>
      <c r="K137" s="50">
        <f t="shared" si="8"/>
        <v>-41.949853943524829</v>
      </c>
      <c r="L137" s="50">
        <f>VLOOKUP($A137,'Data shares'!$C:$FB,118)</f>
        <v>0.67</v>
      </c>
      <c r="M137" s="50">
        <f>VLOOKUP($A137,'Data shares'!$C:$FB,119)</f>
        <v>0.69</v>
      </c>
      <c r="N137" s="50">
        <f>VLOOKUP($A137,'Data shares'!$C:$FB,121)*100</f>
        <v>-2.9000000000000004</v>
      </c>
      <c r="O137" s="50">
        <f>VLOOKUP($A137,'Data shares'!$C:$FB,124)</f>
        <v>0.46</v>
      </c>
      <c r="P137" s="50">
        <f>VLOOKUP($A137,'Data shares'!$C:$FB,125)</f>
        <v>0.38</v>
      </c>
      <c r="Q137" s="50">
        <f>VLOOKUP($A137,'Data shares'!$C:$FB,127)*100</f>
        <v>21.05</v>
      </c>
    </row>
    <row r="138" spans="1:17" x14ac:dyDescent="0.25">
      <c r="A138" s="97" t="str">
        <f>'Data Vlaue (Cr)'!C133</f>
        <v>MFSL</v>
      </c>
      <c r="B138" s="140">
        <f>VLOOKUP($A138,'Data shares'!$C:$FB,7)</f>
        <v>1605.4</v>
      </c>
      <c r="C138" s="140">
        <f>VLOOKUP($A138,'Data shares'!$C:$FB,3)</f>
        <v>1613.1</v>
      </c>
      <c r="D138" s="140">
        <f>VLOOKUP($A138,'Data shares'!$C:$FB,4)</f>
        <v>1615.1</v>
      </c>
      <c r="E138" s="50">
        <f t="shared" si="6"/>
        <v>-0.12383134171258746</v>
      </c>
      <c r="F138" s="49">
        <f>VLOOKUP($A138,'Data shares'!$C:$FB,98)</f>
        <v>7301600</v>
      </c>
      <c r="G138" s="49">
        <f>VLOOKUP($A138,'Data shares'!$C:$FB,99)</f>
        <v>7182400</v>
      </c>
      <c r="H138" s="50">
        <f t="shared" si="7"/>
        <v>1.659612385832034</v>
      </c>
      <c r="I138" s="49">
        <f>VLOOKUP($A138,'Data shares'!$C:$FB,66)</f>
        <v>2829600</v>
      </c>
      <c r="J138" s="49">
        <f>VLOOKUP($A138,'Data shares'!$C:$FB,67)</f>
        <v>2764000</v>
      </c>
      <c r="K138" s="50">
        <f t="shared" si="8"/>
        <v>2.3183488832343793</v>
      </c>
      <c r="L138" s="50">
        <f>VLOOKUP($A138,'Data shares'!$C:$FB,118)</f>
        <v>0.62</v>
      </c>
      <c r="M138" s="50">
        <f>VLOOKUP($A138,'Data shares'!$C:$FB,119)</f>
        <v>0.66</v>
      </c>
      <c r="N138" s="50">
        <f>VLOOKUP($A138,'Data shares'!$C:$FB,121)*100</f>
        <v>-6.0600000000000005</v>
      </c>
      <c r="O138" s="50">
        <f>VLOOKUP($A138,'Data shares'!$C:$FB,124)</f>
        <v>0.28000000000000003</v>
      </c>
      <c r="P138" s="50">
        <f>VLOOKUP($A138,'Data shares'!$C:$FB,125)</f>
        <v>0.37</v>
      </c>
      <c r="Q138" s="50">
        <f>VLOOKUP($A138,'Data shares'!$C:$FB,127)*100</f>
        <v>-24.32</v>
      </c>
    </row>
    <row r="139" spans="1:17" x14ac:dyDescent="0.25">
      <c r="A139" s="97" t="str">
        <f>'Data Vlaue (Cr)'!C134</f>
        <v>MIDCPNIFTY</v>
      </c>
      <c r="B139" s="140">
        <f>VLOOKUP($A139,'Data shares'!$C:$FB,7)</f>
        <v>12944.95</v>
      </c>
      <c r="C139" s="140">
        <f>VLOOKUP($A139,'Data shares'!$C:$FB,3)</f>
        <v>13014.4</v>
      </c>
      <c r="D139" s="140">
        <f>VLOOKUP($A139,'Data shares'!$C:$FB,4)</f>
        <v>12865.15</v>
      </c>
      <c r="E139" s="50">
        <f t="shared" si="6"/>
        <v>1.1601108420811261</v>
      </c>
      <c r="F139" s="49">
        <f>VLOOKUP($A139,'Data shares'!$C:$FB,98)</f>
        <v>12916260</v>
      </c>
      <c r="G139" s="49">
        <f>VLOOKUP($A139,'Data shares'!$C:$FB,99)</f>
        <v>12258820</v>
      </c>
      <c r="H139" s="50">
        <f t="shared" si="7"/>
        <v>5.3629957858913011</v>
      </c>
      <c r="I139" s="49">
        <f>VLOOKUP($A139,'Data shares'!$C:$FB,66)</f>
        <v>28321860</v>
      </c>
      <c r="J139" s="49">
        <f>VLOOKUP($A139,'Data shares'!$C:$FB,67)</f>
        <v>22884120</v>
      </c>
      <c r="K139" s="50">
        <f t="shared" si="8"/>
        <v>19.199798318330789</v>
      </c>
      <c r="L139" s="50">
        <f>VLOOKUP($A139,'Data shares'!$C:$FB,118)</f>
        <v>1.39</v>
      </c>
      <c r="M139" s="50">
        <f>VLOOKUP($A139,'Data shares'!$C:$FB,119)</f>
        <v>1.36</v>
      </c>
      <c r="N139" s="50">
        <f>VLOOKUP($A139,'Data shares'!$C:$FB,121)*100</f>
        <v>2.21</v>
      </c>
      <c r="O139" s="50">
        <f>VLOOKUP($A139,'Data shares'!$C:$FB,124)</f>
        <v>1.26</v>
      </c>
      <c r="P139" s="50">
        <f>VLOOKUP($A139,'Data shares'!$C:$FB,125)</f>
        <v>1</v>
      </c>
      <c r="Q139" s="50">
        <f>VLOOKUP($A139,'Data shares'!$C:$FB,127)*100</f>
        <v>26</v>
      </c>
    </row>
    <row r="140" spans="1:17" x14ac:dyDescent="0.25">
      <c r="A140" s="97" t="str">
        <f>'Data Vlaue (Cr)'!C135</f>
        <v>MOTHERSON</v>
      </c>
      <c r="B140" s="140">
        <f>VLOOKUP($A140,'Data shares'!$C:$FB,7)</f>
        <v>106.22</v>
      </c>
      <c r="C140" s="140">
        <f>VLOOKUP($A140,'Data shares'!$C:$FB,3)</f>
        <v>106.85</v>
      </c>
      <c r="D140" s="140">
        <f>VLOOKUP($A140,'Data shares'!$C:$FB,4)</f>
        <v>107.05</v>
      </c>
      <c r="E140" s="50">
        <f t="shared" si="6"/>
        <v>-0.186828584773473</v>
      </c>
      <c r="F140" s="49">
        <f>VLOOKUP($A140,'Data shares'!$C:$FB,98)</f>
        <v>233982900</v>
      </c>
      <c r="G140" s="49">
        <f>VLOOKUP($A140,'Data shares'!$C:$FB,99)</f>
        <v>230661900</v>
      </c>
      <c r="H140" s="50">
        <f t="shared" si="7"/>
        <v>1.4397696368581026</v>
      </c>
      <c r="I140" s="49">
        <f>VLOOKUP($A140,'Data shares'!$C:$FB,66)</f>
        <v>45399300</v>
      </c>
      <c r="J140" s="49">
        <f>VLOOKUP($A140,'Data shares'!$C:$FB,67)</f>
        <v>58929300</v>
      </c>
      <c r="K140" s="50">
        <f t="shared" si="8"/>
        <v>-29.802221620157137</v>
      </c>
      <c r="L140" s="50">
        <f>VLOOKUP($A140,'Data shares'!$C:$FB,118)</f>
        <v>0.53</v>
      </c>
      <c r="M140" s="50">
        <f>VLOOKUP($A140,'Data shares'!$C:$FB,119)</f>
        <v>0.54</v>
      </c>
      <c r="N140" s="50">
        <f>VLOOKUP($A140,'Data shares'!$C:$FB,121)*100</f>
        <v>-1.8499999999999999</v>
      </c>
      <c r="O140" s="50">
        <f>VLOOKUP($A140,'Data shares'!$C:$FB,124)</f>
        <v>0.47</v>
      </c>
      <c r="P140" s="50">
        <f>VLOOKUP($A140,'Data shares'!$C:$FB,125)</f>
        <v>0.47</v>
      </c>
      <c r="Q140" s="50">
        <f>VLOOKUP($A140,'Data shares'!$C:$FB,127)*100</f>
        <v>0</v>
      </c>
    </row>
    <row r="141" spans="1:17" x14ac:dyDescent="0.25">
      <c r="A141" s="97" t="str">
        <f>'Data Vlaue (Cr)'!C136</f>
        <v>MPHASIS</v>
      </c>
      <c r="B141" s="140">
        <f>VLOOKUP($A141,'Data shares'!$C:$FB,7)</f>
        <v>2792.3</v>
      </c>
      <c r="C141" s="140">
        <f>VLOOKUP($A141,'Data shares'!$C:$FB,3)</f>
        <v>2802.9</v>
      </c>
      <c r="D141" s="140">
        <f>VLOOKUP($A141,'Data shares'!$C:$FB,4)</f>
        <v>2742.8</v>
      </c>
      <c r="E141" s="50">
        <f t="shared" si="6"/>
        <v>2.1911914831558956</v>
      </c>
      <c r="F141" s="49">
        <f>VLOOKUP($A141,'Data shares'!$C:$FB,98)</f>
        <v>5364150</v>
      </c>
      <c r="G141" s="49">
        <f>VLOOKUP($A141,'Data shares'!$C:$FB,99)</f>
        <v>5365525</v>
      </c>
      <c r="H141" s="50">
        <f t="shared" si="7"/>
        <v>-2.5626569627389677E-2</v>
      </c>
      <c r="I141" s="49">
        <f>VLOOKUP($A141,'Data shares'!$C:$FB,66)</f>
        <v>2904000</v>
      </c>
      <c r="J141" s="49">
        <f>VLOOKUP($A141,'Data shares'!$C:$FB,67)</f>
        <v>2266550</v>
      </c>
      <c r="K141" s="50">
        <f t="shared" si="8"/>
        <v>21.950757575757578</v>
      </c>
      <c r="L141" s="50">
        <f>VLOOKUP($A141,'Data shares'!$C:$FB,118)</f>
        <v>0.73</v>
      </c>
      <c r="M141" s="50">
        <f>VLOOKUP($A141,'Data shares'!$C:$FB,119)</f>
        <v>0.75</v>
      </c>
      <c r="N141" s="50">
        <f>VLOOKUP($A141,'Data shares'!$C:$FB,121)*100</f>
        <v>-2.67</v>
      </c>
      <c r="O141" s="50">
        <f>VLOOKUP($A141,'Data shares'!$C:$FB,124)</f>
        <v>0.36</v>
      </c>
      <c r="P141" s="50">
        <f>VLOOKUP($A141,'Data shares'!$C:$FB,125)</f>
        <v>0.36</v>
      </c>
      <c r="Q141" s="50">
        <f>VLOOKUP($A141,'Data shares'!$C:$FB,127)*100</f>
        <v>0</v>
      </c>
    </row>
    <row r="142" spans="1:17" x14ac:dyDescent="0.25">
      <c r="A142" s="97" t="str">
        <f>'Data Vlaue (Cr)'!C137</f>
        <v>MUTHOOTFIN</v>
      </c>
      <c r="B142" s="140">
        <f>VLOOKUP($A142,'Data shares'!$C:$FB,7)</f>
        <v>3227.7</v>
      </c>
      <c r="C142" s="140">
        <f>VLOOKUP($A142,'Data shares'!$C:$FB,3)</f>
        <v>3232</v>
      </c>
      <c r="D142" s="140">
        <f>VLOOKUP($A142,'Data shares'!$C:$FB,4)</f>
        <v>3175.6</v>
      </c>
      <c r="E142" s="50">
        <f t="shared" si="6"/>
        <v>1.7760423227106716</v>
      </c>
      <c r="F142" s="49">
        <f>VLOOKUP($A142,'Data shares'!$C:$FB,98)</f>
        <v>5734025</v>
      </c>
      <c r="G142" s="49">
        <f>VLOOKUP($A142,'Data shares'!$C:$FB,99)</f>
        <v>4970350</v>
      </c>
      <c r="H142" s="50">
        <f t="shared" si="7"/>
        <v>15.364612150049794</v>
      </c>
      <c r="I142" s="49">
        <f>VLOOKUP($A142,'Data shares'!$C:$FB,66)</f>
        <v>6989950</v>
      </c>
      <c r="J142" s="49">
        <f>VLOOKUP($A142,'Data shares'!$C:$FB,67)</f>
        <v>4031775</v>
      </c>
      <c r="K142" s="50">
        <f t="shared" si="8"/>
        <v>42.320402864112047</v>
      </c>
      <c r="L142" s="50">
        <f>VLOOKUP($A142,'Data shares'!$C:$FB,118)</f>
        <v>0.71</v>
      </c>
      <c r="M142" s="50">
        <f>VLOOKUP($A142,'Data shares'!$C:$FB,119)</f>
        <v>0.69</v>
      </c>
      <c r="N142" s="50">
        <f>VLOOKUP($A142,'Data shares'!$C:$FB,121)*100</f>
        <v>2.9000000000000004</v>
      </c>
      <c r="O142" s="50">
        <f>VLOOKUP($A142,'Data shares'!$C:$FB,124)</f>
        <v>0.43</v>
      </c>
      <c r="P142" s="50">
        <f>VLOOKUP($A142,'Data shares'!$C:$FB,125)</f>
        <v>0.68</v>
      </c>
      <c r="Q142" s="50">
        <f>VLOOKUP($A142,'Data shares'!$C:$FB,127)*100</f>
        <v>-36.76</v>
      </c>
    </row>
    <row r="143" spans="1:17" x14ac:dyDescent="0.25">
      <c r="A143" s="97" t="str">
        <f>'Data Vlaue (Cr)'!C138</f>
        <v>NATIONALUM</v>
      </c>
      <c r="B143" s="140">
        <f>VLOOKUP($A143,'Data shares'!$C:$FB,7)</f>
        <v>217.15</v>
      </c>
      <c r="C143" s="140">
        <f>VLOOKUP($A143,'Data shares'!$C:$FB,3)</f>
        <v>218.16</v>
      </c>
      <c r="D143" s="140">
        <f>VLOOKUP($A143,'Data shares'!$C:$FB,4)</f>
        <v>222.22</v>
      </c>
      <c r="E143" s="50">
        <f t="shared" si="6"/>
        <v>-1.8270182701827029</v>
      </c>
      <c r="F143" s="49">
        <f>VLOOKUP($A143,'Data shares'!$C:$FB,98)</f>
        <v>130586250</v>
      </c>
      <c r="G143" s="49">
        <f>VLOOKUP($A143,'Data shares'!$C:$FB,99)</f>
        <v>122583750</v>
      </c>
      <c r="H143" s="50">
        <f t="shared" si="7"/>
        <v>6.5281899109792292</v>
      </c>
      <c r="I143" s="49">
        <f>VLOOKUP($A143,'Data shares'!$C:$FB,66)</f>
        <v>97443750</v>
      </c>
      <c r="J143" s="49">
        <f>VLOOKUP($A143,'Data shares'!$C:$FB,67)</f>
        <v>212343750</v>
      </c>
      <c r="K143" s="50">
        <f t="shared" si="8"/>
        <v>-117.91418125841832</v>
      </c>
      <c r="L143" s="50">
        <f>VLOOKUP($A143,'Data shares'!$C:$FB,118)</f>
        <v>0.65</v>
      </c>
      <c r="M143" s="50">
        <f>VLOOKUP($A143,'Data shares'!$C:$FB,119)</f>
        <v>0.75</v>
      </c>
      <c r="N143" s="50">
        <f>VLOOKUP($A143,'Data shares'!$C:$FB,121)*100</f>
        <v>-13.33</v>
      </c>
      <c r="O143" s="50">
        <f>VLOOKUP($A143,'Data shares'!$C:$FB,124)</f>
        <v>0.45</v>
      </c>
      <c r="P143" s="50">
        <f>VLOOKUP($A143,'Data shares'!$C:$FB,125)</f>
        <v>0.44</v>
      </c>
      <c r="Q143" s="50">
        <f>VLOOKUP($A143,'Data shares'!$C:$FB,127)*100</f>
        <v>2.27</v>
      </c>
    </row>
    <row r="144" spans="1:17" x14ac:dyDescent="0.25">
      <c r="A144" s="97" t="str">
        <f>'Data Vlaue (Cr)'!C139</f>
        <v>NAUKRI</v>
      </c>
      <c r="B144" s="140">
        <f>VLOOKUP($A144,'Data shares'!$C:$FB,7)</f>
        <v>1379.9</v>
      </c>
      <c r="C144" s="140">
        <f>VLOOKUP($A144,'Data shares'!$C:$FB,3)</f>
        <v>1384.9</v>
      </c>
      <c r="D144" s="140">
        <f>VLOOKUP($A144,'Data shares'!$C:$FB,4)</f>
        <v>1339.3</v>
      </c>
      <c r="E144" s="50">
        <f t="shared" si="6"/>
        <v>3.4047636825207297</v>
      </c>
      <c r="F144" s="49">
        <f>VLOOKUP($A144,'Data shares'!$C:$FB,98)</f>
        <v>12289500</v>
      </c>
      <c r="G144" s="49">
        <f>VLOOKUP($A144,'Data shares'!$C:$FB,99)</f>
        <v>12233250</v>
      </c>
      <c r="H144" s="50">
        <f t="shared" si="7"/>
        <v>0.45981239654221079</v>
      </c>
      <c r="I144" s="49">
        <f>VLOOKUP($A144,'Data shares'!$C:$FB,66)</f>
        <v>6228750</v>
      </c>
      <c r="J144" s="49">
        <f>VLOOKUP($A144,'Data shares'!$C:$FB,67)</f>
        <v>1794375</v>
      </c>
      <c r="K144" s="50">
        <f t="shared" si="8"/>
        <v>71.192052980132445</v>
      </c>
      <c r="L144" s="50">
        <f>VLOOKUP($A144,'Data shares'!$C:$FB,118)</f>
        <v>0.78</v>
      </c>
      <c r="M144" s="50">
        <f>VLOOKUP($A144,'Data shares'!$C:$FB,119)</f>
        <v>0.7</v>
      </c>
      <c r="N144" s="50">
        <f>VLOOKUP($A144,'Data shares'!$C:$FB,121)*100</f>
        <v>11.43</v>
      </c>
      <c r="O144" s="50">
        <f>VLOOKUP($A144,'Data shares'!$C:$FB,124)</f>
        <v>0.41</v>
      </c>
      <c r="P144" s="50">
        <f>VLOOKUP($A144,'Data shares'!$C:$FB,125)</f>
        <v>0.54</v>
      </c>
      <c r="Q144" s="50">
        <f>VLOOKUP($A144,'Data shares'!$C:$FB,127)*100</f>
        <v>-24.07</v>
      </c>
    </row>
    <row r="145" spans="1:17" x14ac:dyDescent="0.25">
      <c r="A145" s="97" t="str">
        <f>'Data Vlaue (Cr)'!C140</f>
        <v>NBCC</v>
      </c>
      <c r="B145" s="140">
        <f>VLOOKUP($A145,'Data shares'!$C:$FB,7)</f>
        <v>111.34</v>
      </c>
      <c r="C145" s="140">
        <f>VLOOKUP($A145,'Data shares'!$C:$FB,3)</f>
        <v>111.97</v>
      </c>
      <c r="D145" s="140">
        <f>VLOOKUP($A145,'Data shares'!$C:$FB,4)</f>
        <v>113.62</v>
      </c>
      <c r="E145" s="50">
        <f t="shared" si="6"/>
        <v>-1.4522091181130132</v>
      </c>
      <c r="F145" s="49">
        <f>VLOOKUP($A145,'Data shares'!$C:$FB,98)</f>
        <v>93307500</v>
      </c>
      <c r="G145" s="49">
        <f>VLOOKUP($A145,'Data shares'!$C:$FB,99)</f>
        <v>86970000</v>
      </c>
      <c r="H145" s="50">
        <f t="shared" si="7"/>
        <v>7.2869955156950672</v>
      </c>
      <c r="I145" s="49">
        <f>VLOOKUP($A145,'Data shares'!$C:$FB,66)</f>
        <v>36185500</v>
      </c>
      <c r="J145" s="49">
        <f>VLOOKUP($A145,'Data shares'!$C:$FB,67)</f>
        <v>58214000</v>
      </c>
      <c r="K145" s="50">
        <f t="shared" si="8"/>
        <v>-60.876594215915212</v>
      </c>
      <c r="L145" s="50">
        <f>VLOOKUP($A145,'Data shares'!$C:$FB,118)</f>
        <v>0.49</v>
      </c>
      <c r="M145" s="50">
        <f>VLOOKUP($A145,'Data shares'!$C:$FB,119)</f>
        <v>0.59</v>
      </c>
      <c r="N145" s="50">
        <f>VLOOKUP($A145,'Data shares'!$C:$FB,121)*100</f>
        <v>-16.950000000000003</v>
      </c>
      <c r="O145" s="50">
        <f>VLOOKUP($A145,'Data shares'!$C:$FB,124)</f>
        <v>0.33</v>
      </c>
      <c r="P145" s="50">
        <f>VLOOKUP($A145,'Data shares'!$C:$FB,125)</f>
        <v>0.31</v>
      </c>
      <c r="Q145" s="50">
        <f>VLOOKUP($A145,'Data shares'!$C:$FB,127)*100</f>
        <v>6.45</v>
      </c>
    </row>
    <row r="146" spans="1:17" x14ac:dyDescent="0.25">
      <c r="A146" s="97" t="str">
        <f>'Data Vlaue (Cr)'!C141</f>
        <v>NCC</v>
      </c>
      <c r="B146" s="140">
        <f>VLOOKUP($A146,'Data shares'!$C:$FB,7)</f>
        <v>210.42</v>
      </c>
      <c r="C146" s="140">
        <f>VLOOKUP($A146,'Data shares'!$C:$FB,3)</f>
        <v>211.46</v>
      </c>
      <c r="D146" s="140">
        <f>VLOOKUP($A146,'Data shares'!$C:$FB,4)</f>
        <v>211.73</v>
      </c>
      <c r="E146" s="50">
        <f t="shared" si="6"/>
        <v>-0.12752089925848101</v>
      </c>
      <c r="F146" s="49">
        <f>VLOOKUP($A146,'Data shares'!$C:$FB,98)</f>
        <v>25255800</v>
      </c>
      <c r="G146" s="49">
        <f>VLOOKUP($A146,'Data shares'!$C:$FB,99)</f>
        <v>24945300</v>
      </c>
      <c r="H146" s="50">
        <f t="shared" si="7"/>
        <v>1.2447234549193635</v>
      </c>
      <c r="I146" s="49">
        <f>VLOOKUP($A146,'Data shares'!$C:$FB,66)</f>
        <v>4198500</v>
      </c>
      <c r="J146" s="49">
        <f>VLOOKUP($A146,'Data shares'!$C:$FB,67)</f>
        <v>4147200</v>
      </c>
      <c r="K146" s="50">
        <f t="shared" si="8"/>
        <v>1.2218649517684887</v>
      </c>
      <c r="L146" s="50">
        <f>VLOOKUP($A146,'Data shares'!$C:$FB,118)</f>
        <v>0.68</v>
      </c>
      <c r="M146" s="50">
        <f>VLOOKUP($A146,'Data shares'!$C:$FB,119)</f>
        <v>0.71</v>
      </c>
      <c r="N146" s="50">
        <f>VLOOKUP($A146,'Data shares'!$C:$FB,121)*100</f>
        <v>-4.2299999999999995</v>
      </c>
      <c r="O146" s="50">
        <f>VLOOKUP($A146,'Data shares'!$C:$FB,124)</f>
        <v>0.42</v>
      </c>
      <c r="P146" s="50">
        <f>VLOOKUP($A146,'Data shares'!$C:$FB,125)</f>
        <v>0.51</v>
      </c>
      <c r="Q146" s="50">
        <f>VLOOKUP($A146,'Data shares'!$C:$FB,127)*100</f>
        <v>-17.649999999999999</v>
      </c>
    </row>
    <row r="147" spans="1:17" x14ac:dyDescent="0.25">
      <c r="A147" s="97" t="str">
        <f>'Data Vlaue (Cr)'!C142</f>
        <v>NESTLEIND</v>
      </c>
      <c r="B147" s="140">
        <f>VLOOKUP($A147,'Data shares'!$C:$FB,7)</f>
        <v>1181.7</v>
      </c>
      <c r="C147" s="140">
        <f>VLOOKUP($A147,'Data shares'!$C:$FB,3)</f>
        <v>1185.4000000000001</v>
      </c>
      <c r="D147" s="140">
        <f>VLOOKUP($A147,'Data shares'!$C:$FB,4)</f>
        <v>1174.2</v>
      </c>
      <c r="E147" s="50">
        <f t="shared" si="6"/>
        <v>0.95384091296202045</v>
      </c>
      <c r="F147" s="49">
        <f>VLOOKUP($A147,'Data shares'!$C:$FB,98)</f>
        <v>21848000</v>
      </c>
      <c r="G147" s="49">
        <f>VLOOKUP($A147,'Data shares'!$C:$FB,99)</f>
        <v>21304000</v>
      </c>
      <c r="H147" s="50">
        <f t="shared" si="7"/>
        <v>2.5535110777318812</v>
      </c>
      <c r="I147" s="49">
        <f>VLOOKUP($A147,'Data shares'!$C:$FB,66)</f>
        <v>5567500</v>
      </c>
      <c r="J147" s="49">
        <f>VLOOKUP($A147,'Data shares'!$C:$FB,67)</f>
        <v>3875000</v>
      </c>
      <c r="K147" s="50">
        <f t="shared" si="8"/>
        <v>30.39964077233947</v>
      </c>
      <c r="L147" s="50">
        <f>VLOOKUP($A147,'Data shares'!$C:$FB,118)</f>
        <v>0.55000000000000004</v>
      </c>
      <c r="M147" s="50">
        <f>VLOOKUP($A147,'Data shares'!$C:$FB,119)</f>
        <v>0.63</v>
      </c>
      <c r="N147" s="50">
        <f>VLOOKUP($A147,'Data shares'!$C:$FB,121)*100</f>
        <v>-12.7</v>
      </c>
      <c r="O147" s="50">
        <f>VLOOKUP($A147,'Data shares'!$C:$FB,124)</f>
        <v>0.46</v>
      </c>
      <c r="P147" s="50">
        <f>VLOOKUP($A147,'Data shares'!$C:$FB,125)</f>
        <v>0.36</v>
      </c>
      <c r="Q147" s="50">
        <f>VLOOKUP($A147,'Data shares'!$C:$FB,127)*100</f>
        <v>27.779999999999998</v>
      </c>
    </row>
    <row r="148" spans="1:17" x14ac:dyDescent="0.25">
      <c r="A148" s="97" t="str">
        <f>'Data Vlaue (Cr)'!C143</f>
        <v>NHPC</v>
      </c>
      <c r="B148" s="140">
        <f>VLOOKUP($A148,'Data shares'!$C:$FB,7)</f>
        <v>86.61</v>
      </c>
      <c r="C148" s="140">
        <f>VLOOKUP($A148,'Data shares'!$C:$FB,3)</f>
        <v>87.02</v>
      </c>
      <c r="D148" s="140">
        <f>VLOOKUP($A148,'Data shares'!$C:$FB,4)</f>
        <v>87.48</v>
      </c>
      <c r="E148" s="50">
        <f t="shared" si="6"/>
        <v>-0.52583447645176951</v>
      </c>
      <c r="F148" s="49">
        <f>VLOOKUP($A148,'Data shares'!$C:$FB,98)</f>
        <v>68729600</v>
      </c>
      <c r="G148" s="49">
        <f>VLOOKUP($A148,'Data shares'!$C:$FB,99)</f>
        <v>65766400</v>
      </c>
      <c r="H148" s="50">
        <f t="shared" si="7"/>
        <v>4.5056442195406774</v>
      </c>
      <c r="I148" s="49">
        <f>VLOOKUP($A148,'Data shares'!$C:$FB,66)</f>
        <v>13612800</v>
      </c>
      <c r="J148" s="49">
        <f>VLOOKUP($A148,'Data shares'!$C:$FB,67)</f>
        <v>18598400</v>
      </c>
      <c r="K148" s="50">
        <f t="shared" si="8"/>
        <v>-36.624353549600372</v>
      </c>
      <c r="L148" s="50">
        <f>VLOOKUP($A148,'Data shares'!$C:$FB,118)</f>
        <v>0.47</v>
      </c>
      <c r="M148" s="50">
        <f>VLOOKUP($A148,'Data shares'!$C:$FB,119)</f>
        <v>0.51</v>
      </c>
      <c r="N148" s="50">
        <f>VLOOKUP($A148,'Data shares'!$C:$FB,121)*100</f>
        <v>-7.84</v>
      </c>
      <c r="O148" s="50">
        <f>VLOOKUP($A148,'Data shares'!$C:$FB,124)</f>
        <v>0.26</v>
      </c>
      <c r="P148" s="50">
        <f>VLOOKUP($A148,'Data shares'!$C:$FB,125)</f>
        <v>0.48</v>
      </c>
      <c r="Q148" s="50">
        <f>VLOOKUP($A148,'Data shares'!$C:$FB,127)*100</f>
        <v>-45.83</v>
      </c>
    </row>
    <row r="149" spans="1:17" x14ac:dyDescent="0.25">
      <c r="A149" s="97" t="str">
        <f>'Data Vlaue (Cr)'!C144</f>
        <v>NIFTY</v>
      </c>
      <c r="B149" s="140">
        <f>VLOOKUP($A149,'Data shares'!$C:$FB,7)</f>
        <v>25077.65</v>
      </c>
      <c r="C149" s="140">
        <f>VLOOKUP($A149,'Data shares'!$C:$FB,3)</f>
        <v>25185.4</v>
      </c>
      <c r="D149" s="140">
        <f>VLOOKUP($A149,'Data shares'!$C:$FB,4)</f>
        <v>25006.6</v>
      </c>
      <c r="E149" s="50">
        <f t="shared" si="6"/>
        <v>0.71501123703343483</v>
      </c>
      <c r="F149" s="49">
        <f>VLOOKUP($A149,'Data shares'!$C:$FB,98)</f>
        <v>615390575</v>
      </c>
      <c r="G149" s="49">
        <f>VLOOKUP($A149,'Data shares'!$C:$FB,99)</f>
        <v>573059900</v>
      </c>
      <c r="H149" s="50">
        <f t="shared" si="7"/>
        <v>7.3867801603287893</v>
      </c>
      <c r="I149" s="49">
        <f>VLOOKUP($A149,'Data shares'!$C:$FB,66)</f>
        <v>10966346850</v>
      </c>
      <c r="J149" s="49">
        <f>VLOOKUP($A149,'Data shares'!$C:$FB,67)</f>
        <v>7463196675</v>
      </c>
      <c r="K149" s="50">
        <f t="shared" si="8"/>
        <v>31.944550203607687</v>
      </c>
      <c r="L149" s="50">
        <f>VLOOKUP($A149,'Data shares'!$C:$FB,118)</f>
        <v>1.33</v>
      </c>
      <c r="M149" s="50">
        <f>VLOOKUP($A149,'Data shares'!$C:$FB,119)</f>
        <v>1.17</v>
      </c>
      <c r="N149" s="50">
        <f>VLOOKUP($A149,'Data shares'!$C:$FB,121)*100</f>
        <v>13.68</v>
      </c>
      <c r="O149" s="50">
        <f>VLOOKUP($A149,'Data shares'!$C:$FB,124)</f>
        <v>0.88</v>
      </c>
      <c r="P149" s="50">
        <f>VLOOKUP($A149,'Data shares'!$C:$FB,125)</f>
        <v>0.92</v>
      </c>
      <c r="Q149" s="50">
        <f>VLOOKUP($A149,'Data shares'!$C:$FB,127)*100</f>
        <v>-4.3499999999999996</v>
      </c>
    </row>
    <row r="150" spans="1:17" x14ac:dyDescent="0.25">
      <c r="A150" s="97" t="str">
        <f>'Data Vlaue (Cr)'!C145</f>
        <v>NIFTYNXT50</v>
      </c>
      <c r="B150" s="140">
        <f>VLOOKUP($A150,'Data shares'!$C:$FB,7)</f>
        <v>68590.25</v>
      </c>
      <c r="C150" s="140">
        <f>VLOOKUP($A150,'Data shares'!$C:$FB,3)</f>
        <v>68947.8</v>
      </c>
      <c r="D150" s="140">
        <f>VLOOKUP($A150,'Data shares'!$C:$FB,4)</f>
        <v>68725.2</v>
      </c>
      <c r="E150" s="50">
        <f t="shared" si="6"/>
        <v>0.32389865726110045</v>
      </c>
      <c r="F150" s="49">
        <f>VLOOKUP($A150,'Data shares'!$C:$FB,98)</f>
        <v>29375</v>
      </c>
      <c r="G150" s="49">
        <f>VLOOKUP($A150,'Data shares'!$C:$FB,99)</f>
        <v>26550</v>
      </c>
      <c r="H150" s="50">
        <f t="shared" si="7"/>
        <v>10.64030131826742</v>
      </c>
      <c r="I150" s="49">
        <f>VLOOKUP($A150,'Data shares'!$C:$FB,66)</f>
        <v>11825</v>
      </c>
      <c r="J150" s="49">
        <f>VLOOKUP($A150,'Data shares'!$C:$FB,67)</f>
        <v>8125</v>
      </c>
      <c r="K150" s="50">
        <f t="shared" si="8"/>
        <v>31.289640591966172</v>
      </c>
      <c r="L150" s="50">
        <f>VLOOKUP($A150,'Data shares'!$C:$FB,118)</f>
        <v>0.33</v>
      </c>
      <c r="M150" s="50">
        <f>VLOOKUP($A150,'Data shares'!$C:$FB,119)</f>
        <v>0.28000000000000003</v>
      </c>
      <c r="N150" s="50">
        <f>VLOOKUP($A150,'Data shares'!$C:$FB,121)*100</f>
        <v>17.86</v>
      </c>
      <c r="O150" s="50">
        <f>VLOOKUP($A150,'Data shares'!$C:$FB,124)</f>
        <v>0.79</v>
      </c>
      <c r="P150" s="50">
        <f>VLOOKUP($A150,'Data shares'!$C:$FB,125)</f>
        <v>0.39</v>
      </c>
      <c r="Q150" s="50">
        <f>VLOOKUP($A150,'Data shares'!$C:$FB,127)*100</f>
        <v>102.56</v>
      </c>
    </row>
    <row r="151" spans="1:17" x14ac:dyDescent="0.25">
      <c r="A151" s="97" t="str">
        <f>'Data Vlaue (Cr)'!C146</f>
        <v>NMDC</v>
      </c>
      <c r="B151" s="140">
        <f>VLOOKUP($A151,'Data shares'!$C:$FB,7)</f>
        <v>76.06</v>
      </c>
      <c r="C151" s="140">
        <f>VLOOKUP($A151,'Data shares'!$C:$FB,3)</f>
        <v>76.540000000000006</v>
      </c>
      <c r="D151" s="140">
        <f>VLOOKUP($A151,'Data shares'!$C:$FB,4)</f>
        <v>77.61</v>
      </c>
      <c r="E151" s="50">
        <f t="shared" si="6"/>
        <v>-1.3786883133616714</v>
      </c>
      <c r="F151" s="49">
        <f>VLOOKUP($A151,'Data shares'!$C:$FB,98)</f>
        <v>439924500</v>
      </c>
      <c r="G151" s="49">
        <f>VLOOKUP($A151,'Data shares'!$C:$FB,99)</f>
        <v>421699500</v>
      </c>
      <c r="H151" s="50">
        <f t="shared" si="7"/>
        <v>4.3217978679130518</v>
      </c>
      <c r="I151" s="49">
        <f>VLOOKUP($A151,'Data shares'!$C:$FB,66)</f>
        <v>150970500</v>
      </c>
      <c r="J151" s="49">
        <f>VLOOKUP($A151,'Data shares'!$C:$FB,67)</f>
        <v>231160500</v>
      </c>
      <c r="K151" s="50">
        <f t="shared" si="8"/>
        <v>-53.116337297683977</v>
      </c>
      <c r="L151" s="50">
        <f>VLOOKUP($A151,'Data shares'!$C:$FB,118)</f>
        <v>0.69</v>
      </c>
      <c r="M151" s="50">
        <f>VLOOKUP($A151,'Data shares'!$C:$FB,119)</f>
        <v>0.75</v>
      </c>
      <c r="N151" s="50">
        <f>VLOOKUP($A151,'Data shares'!$C:$FB,121)*100</f>
        <v>-8</v>
      </c>
      <c r="O151" s="50">
        <f>VLOOKUP($A151,'Data shares'!$C:$FB,124)</f>
        <v>0.43</v>
      </c>
      <c r="P151" s="50">
        <f>VLOOKUP($A151,'Data shares'!$C:$FB,125)</f>
        <v>0.41</v>
      </c>
      <c r="Q151" s="50">
        <f>VLOOKUP($A151,'Data shares'!$C:$FB,127)*100</f>
        <v>4.88</v>
      </c>
    </row>
    <row r="152" spans="1:17" x14ac:dyDescent="0.25">
      <c r="A152" s="97" t="str">
        <f>'Data Vlaue (Cr)'!C147</f>
        <v>NTPC</v>
      </c>
      <c r="B152" s="140">
        <f>VLOOKUP($A152,'Data shares'!$C:$FB,7)</f>
        <v>339.1</v>
      </c>
      <c r="C152" s="140">
        <f>VLOOKUP($A152,'Data shares'!$C:$FB,3)</f>
        <v>341.1</v>
      </c>
      <c r="D152" s="140">
        <f>VLOOKUP($A152,'Data shares'!$C:$FB,4)</f>
        <v>344.15</v>
      </c>
      <c r="E152" s="50">
        <f t="shared" si="6"/>
        <v>-0.88624146447768559</v>
      </c>
      <c r="F152" s="49">
        <f>VLOOKUP($A152,'Data shares'!$C:$FB,98)</f>
        <v>137667000</v>
      </c>
      <c r="G152" s="49">
        <f>VLOOKUP($A152,'Data shares'!$C:$FB,99)</f>
        <v>132559500</v>
      </c>
      <c r="H152" s="50">
        <f t="shared" si="7"/>
        <v>3.8529867719778661</v>
      </c>
      <c r="I152" s="49">
        <f>VLOOKUP($A152,'Data shares'!$C:$FB,66)</f>
        <v>48714000</v>
      </c>
      <c r="J152" s="49">
        <f>VLOOKUP($A152,'Data shares'!$C:$FB,67)</f>
        <v>43090500</v>
      </c>
      <c r="K152" s="50">
        <f t="shared" si="8"/>
        <v>11.543909348441925</v>
      </c>
      <c r="L152" s="50">
        <f>VLOOKUP($A152,'Data shares'!$C:$FB,118)</f>
        <v>0.67</v>
      </c>
      <c r="M152" s="50">
        <f>VLOOKUP($A152,'Data shares'!$C:$FB,119)</f>
        <v>0.72</v>
      </c>
      <c r="N152" s="50">
        <f>VLOOKUP($A152,'Data shares'!$C:$FB,121)*100</f>
        <v>-6.94</v>
      </c>
      <c r="O152" s="50">
        <f>VLOOKUP($A152,'Data shares'!$C:$FB,124)</f>
        <v>0.43</v>
      </c>
      <c r="P152" s="50">
        <f>VLOOKUP($A152,'Data shares'!$C:$FB,125)</f>
        <v>0.51</v>
      </c>
      <c r="Q152" s="50">
        <f>VLOOKUP($A152,'Data shares'!$C:$FB,127)*100</f>
        <v>-15.690000000000001</v>
      </c>
    </row>
    <row r="153" spans="1:17" x14ac:dyDescent="0.25">
      <c r="A153" s="97" t="str">
        <f>'Data Vlaue (Cr)'!C148</f>
        <v>NUVAMA</v>
      </c>
      <c r="B153" s="140">
        <f>VLOOKUP($A153,'Data shares'!$C:$FB,7)</f>
        <v>6928</v>
      </c>
      <c r="C153" s="140">
        <f>VLOOKUP($A153,'Data shares'!$C:$FB,3)</f>
        <v>6932</v>
      </c>
      <c r="D153" s="140">
        <f>VLOOKUP($A153,'Data shares'!$C:$FB,4)</f>
        <v>6761.5</v>
      </c>
      <c r="E153" s="50">
        <f t="shared" si="6"/>
        <v>2.52162981586926</v>
      </c>
      <c r="F153" s="49">
        <f>VLOOKUP($A153,'Data shares'!$C:$FB,98)</f>
        <v>737175</v>
      </c>
      <c r="G153" s="49">
        <f>VLOOKUP($A153,'Data shares'!$C:$FB,99)</f>
        <v>824700</v>
      </c>
      <c r="H153" s="50">
        <f t="shared" si="7"/>
        <v>-10.612950163695889</v>
      </c>
      <c r="I153" s="49">
        <f>VLOOKUP($A153,'Data shares'!$C:$FB,66)</f>
        <v>1810875</v>
      </c>
      <c r="J153" s="49">
        <f>VLOOKUP($A153,'Data shares'!$C:$FB,67)</f>
        <v>3120375</v>
      </c>
      <c r="K153" s="50">
        <f t="shared" si="8"/>
        <v>-72.313108303996685</v>
      </c>
      <c r="L153" s="50">
        <f>VLOOKUP($A153,'Data shares'!$C:$FB,118)</f>
        <v>0.65</v>
      </c>
      <c r="M153" s="50">
        <f>VLOOKUP($A153,'Data shares'!$C:$FB,119)</f>
        <v>0.49</v>
      </c>
      <c r="N153" s="50">
        <f>VLOOKUP($A153,'Data shares'!$C:$FB,121)*100</f>
        <v>32.65</v>
      </c>
      <c r="O153" s="50">
        <f>VLOOKUP($A153,'Data shares'!$C:$FB,124)</f>
        <v>0.39</v>
      </c>
      <c r="P153" s="50">
        <f>VLOOKUP($A153,'Data shares'!$C:$FB,125)</f>
        <v>0.31</v>
      </c>
      <c r="Q153" s="50">
        <f>VLOOKUP($A153,'Data shares'!$C:$FB,127)*100</f>
        <v>25.81</v>
      </c>
    </row>
    <row r="154" spans="1:17" x14ac:dyDescent="0.25">
      <c r="A154" s="97" t="str">
        <f>'Data Vlaue (Cr)'!C149</f>
        <v>NYKAA</v>
      </c>
      <c r="B154" s="140">
        <f>VLOOKUP($A154,'Data shares'!$C:$FB,7)</f>
        <v>255.34</v>
      </c>
      <c r="C154" s="140">
        <f>VLOOKUP($A154,'Data shares'!$C:$FB,3)</f>
        <v>254.44</v>
      </c>
      <c r="D154" s="140">
        <f>VLOOKUP($A154,'Data shares'!$C:$FB,4)</f>
        <v>239.63</v>
      </c>
      <c r="E154" s="50">
        <f t="shared" si="6"/>
        <v>6.1803613904769863</v>
      </c>
      <c r="F154" s="49">
        <f>VLOOKUP($A154,'Data shares'!$C:$FB,98)</f>
        <v>82115625</v>
      </c>
      <c r="G154" s="49">
        <f>VLOOKUP($A154,'Data shares'!$C:$FB,99)</f>
        <v>69506250</v>
      </c>
      <c r="H154" s="50">
        <f t="shared" si="7"/>
        <v>18.141354194766656</v>
      </c>
      <c r="I154" s="49">
        <f>VLOOKUP($A154,'Data shares'!$C:$FB,66)</f>
        <v>127837500</v>
      </c>
      <c r="J154" s="49">
        <f>VLOOKUP($A154,'Data shares'!$C:$FB,67)</f>
        <v>19450000</v>
      </c>
      <c r="K154" s="50">
        <f t="shared" si="8"/>
        <v>84.785372054365894</v>
      </c>
      <c r="L154" s="50">
        <f>VLOOKUP($A154,'Data shares'!$C:$FB,118)</f>
        <v>0.63</v>
      </c>
      <c r="M154" s="50">
        <f>VLOOKUP($A154,'Data shares'!$C:$FB,119)</f>
        <v>0.51</v>
      </c>
      <c r="N154" s="50">
        <f>VLOOKUP($A154,'Data shares'!$C:$FB,121)*100</f>
        <v>23.53</v>
      </c>
      <c r="O154" s="50">
        <f>VLOOKUP($A154,'Data shares'!$C:$FB,124)</f>
        <v>0.37</v>
      </c>
      <c r="P154" s="50">
        <f>VLOOKUP($A154,'Data shares'!$C:$FB,125)</f>
        <v>0.3</v>
      </c>
      <c r="Q154" s="50">
        <f>VLOOKUP($A154,'Data shares'!$C:$FB,127)*100</f>
        <v>23.330000000000002</v>
      </c>
    </row>
    <row r="155" spans="1:17" x14ac:dyDescent="0.25">
      <c r="A155" s="97" t="str">
        <f>'Data Vlaue (Cr)'!C150</f>
        <v>OBEROIRLTY</v>
      </c>
      <c r="B155" s="140">
        <f>VLOOKUP($A155,'Data shares'!$C:$FB,7)</f>
        <v>1622.3</v>
      </c>
      <c r="C155" s="140">
        <f>VLOOKUP($A155,'Data shares'!$C:$FB,3)</f>
        <v>1632.2</v>
      </c>
      <c r="D155" s="140">
        <f>VLOOKUP($A155,'Data shares'!$C:$FB,4)</f>
        <v>1615.5</v>
      </c>
      <c r="E155" s="50">
        <f t="shared" si="6"/>
        <v>1.0337356855462732</v>
      </c>
      <c r="F155" s="49">
        <f>VLOOKUP($A155,'Data shares'!$C:$FB,98)</f>
        <v>6307700</v>
      </c>
      <c r="G155" s="49">
        <f>VLOOKUP($A155,'Data shares'!$C:$FB,99)</f>
        <v>6165600</v>
      </c>
      <c r="H155" s="50">
        <f t="shared" si="7"/>
        <v>2.3047229791099002</v>
      </c>
      <c r="I155" s="49">
        <f>VLOOKUP($A155,'Data shares'!$C:$FB,66)</f>
        <v>2491650</v>
      </c>
      <c r="J155" s="49">
        <f>VLOOKUP($A155,'Data shares'!$C:$FB,67)</f>
        <v>1393700</v>
      </c>
      <c r="K155" s="50">
        <f t="shared" si="8"/>
        <v>44.065177693496274</v>
      </c>
      <c r="L155" s="50">
        <f>VLOOKUP($A155,'Data shares'!$C:$FB,118)</f>
        <v>0.76</v>
      </c>
      <c r="M155" s="50">
        <f>VLOOKUP($A155,'Data shares'!$C:$FB,119)</f>
        <v>0.79</v>
      </c>
      <c r="N155" s="50">
        <f>VLOOKUP($A155,'Data shares'!$C:$FB,121)*100</f>
        <v>-3.8</v>
      </c>
      <c r="O155" s="50">
        <f>VLOOKUP($A155,'Data shares'!$C:$FB,124)</f>
        <v>0.25</v>
      </c>
      <c r="P155" s="50">
        <f>VLOOKUP($A155,'Data shares'!$C:$FB,125)</f>
        <v>0.28000000000000003</v>
      </c>
      <c r="Q155" s="50">
        <f>VLOOKUP($A155,'Data shares'!$C:$FB,127)*100</f>
        <v>-10.71</v>
      </c>
    </row>
    <row r="156" spans="1:17" x14ac:dyDescent="0.25">
      <c r="A156" s="97" t="str">
        <f>'Data Vlaue (Cr)'!C151</f>
        <v>OFSS</v>
      </c>
      <c r="B156" s="140">
        <f>VLOOKUP($A156,'Data shares'!$C:$FB,7)</f>
        <v>9093.5</v>
      </c>
      <c r="C156" s="140">
        <f>VLOOKUP($A156,'Data shares'!$C:$FB,3)</f>
        <v>9149</v>
      </c>
      <c r="D156" s="140">
        <f>VLOOKUP($A156,'Data shares'!$C:$FB,4)</f>
        <v>8977.5</v>
      </c>
      <c r="E156" s="50">
        <f t="shared" si="6"/>
        <v>1.9103313840155944</v>
      </c>
      <c r="F156" s="49">
        <f>VLOOKUP($A156,'Data shares'!$C:$FB,98)</f>
        <v>1627050</v>
      </c>
      <c r="G156" s="49">
        <f>VLOOKUP($A156,'Data shares'!$C:$FB,99)</f>
        <v>1594875</v>
      </c>
      <c r="H156" s="50">
        <f t="shared" si="7"/>
        <v>2.0173994827180812</v>
      </c>
      <c r="I156" s="49">
        <f>VLOOKUP($A156,'Data shares'!$C:$FB,66)</f>
        <v>1434075</v>
      </c>
      <c r="J156" s="49">
        <f>VLOOKUP($A156,'Data shares'!$C:$FB,67)</f>
        <v>2034150</v>
      </c>
      <c r="K156" s="50">
        <f t="shared" si="8"/>
        <v>-41.844045813503477</v>
      </c>
      <c r="L156" s="50">
        <f>VLOOKUP($A156,'Data shares'!$C:$FB,118)</f>
        <v>0.62</v>
      </c>
      <c r="M156" s="50">
        <f>VLOOKUP($A156,'Data shares'!$C:$FB,119)</f>
        <v>0.61</v>
      </c>
      <c r="N156" s="50">
        <f>VLOOKUP($A156,'Data shares'!$C:$FB,121)*100</f>
        <v>1.6400000000000001</v>
      </c>
      <c r="O156" s="50">
        <f>VLOOKUP($A156,'Data shares'!$C:$FB,124)</f>
        <v>0.35</v>
      </c>
      <c r="P156" s="50">
        <f>VLOOKUP($A156,'Data shares'!$C:$FB,125)</f>
        <v>0.34</v>
      </c>
      <c r="Q156" s="50">
        <f>VLOOKUP($A156,'Data shares'!$C:$FB,127)*100</f>
        <v>2.94</v>
      </c>
    </row>
    <row r="157" spans="1:17" x14ac:dyDescent="0.25">
      <c r="A157" s="97" t="str">
        <f>'Data Vlaue (Cr)'!C152</f>
        <v>OIL</v>
      </c>
      <c r="B157" s="140">
        <f>VLOOKUP($A157,'Data shares'!$C:$FB,7)</f>
        <v>419.2</v>
      </c>
      <c r="C157" s="140">
        <f>VLOOKUP($A157,'Data shares'!$C:$FB,3)</f>
        <v>421.15</v>
      </c>
      <c r="D157" s="140">
        <f>VLOOKUP($A157,'Data shares'!$C:$FB,4)</f>
        <v>417.45</v>
      </c>
      <c r="E157" s="50">
        <f t="shared" si="6"/>
        <v>0.8863336926578006</v>
      </c>
      <c r="F157" s="49">
        <f>VLOOKUP($A157,'Data shares'!$C:$FB,98)</f>
        <v>16455600</v>
      </c>
      <c r="G157" s="49">
        <f>VLOOKUP($A157,'Data shares'!$C:$FB,99)</f>
        <v>15958600</v>
      </c>
      <c r="H157" s="50">
        <f t="shared" si="7"/>
        <v>3.1143082726554963</v>
      </c>
      <c r="I157" s="49">
        <f>VLOOKUP($A157,'Data shares'!$C:$FB,66)</f>
        <v>8968400</v>
      </c>
      <c r="J157" s="49">
        <f>VLOOKUP($A157,'Data shares'!$C:$FB,67)</f>
        <v>7695800</v>
      </c>
      <c r="K157" s="50">
        <f t="shared" si="8"/>
        <v>14.189822041835779</v>
      </c>
      <c r="L157" s="50">
        <f>VLOOKUP($A157,'Data shares'!$C:$FB,118)</f>
        <v>0.5</v>
      </c>
      <c r="M157" s="50">
        <f>VLOOKUP($A157,'Data shares'!$C:$FB,119)</f>
        <v>0.46</v>
      </c>
      <c r="N157" s="50">
        <f>VLOOKUP($A157,'Data shares'!$C:$FB,121)*100</f>
        <v>8.6999999999999993</v>
      </c>
      <c r="O157" s="50">
        <f>VLOOKUP($A157,'Data shares'!$C:$FB,124)</f>
        <v>0.34</v>
      </c>
      <c r="P157" s="50">
        <f>VLOOKUP($A157,'Data shares'!$C:$FB,125)</f>
        <v>0.41</v>
      </c>
      <c r="Q157" s="50">
        <f>VLOOKUP($A157,'Data shares'!$C:$FB,127)*100</f>
        <v>-17.07</v>
      </c>
    </row>
    <row r="158" spans="1:17" x14ac:dyDescent="0.25">
      <c r="A158" s="97" t="str">
        <f>'Data Vlaue (Cr)'!C153</f>
        <v>ONGC</v>
      </c>
      <c r="B158" s="140">
        <f>VLOOKUP($A158,'Data shares'!$C:$FB,7)</f>
        <v>245.86</v>
      </c>
      <c r="C158" s="140">
        <f>VLOOKUP($A158,'Data shares'!$C:$FB,3)</f>
        <v>247.3</v>
      </c>
      <c r="D158" s="140">
        <f>VLOOKUP($A158,'Data shares'!$C:$FB,4)</f>
        <v>245.23</v>
      </c>
      <c r="E158" s="50">
        <f t="shared" si="6"/>
        <v>0.84410553358072893</v>
      </c>
      <c r="F158" s="49">
        <f>VLOOKUP($A158,'Data shares'!$C:$FB,98)</f>
        <v>152793000</v>
      </c>
      <c r="G158" s="49">
        <f>VLOOKUP($A158,'Data shares'!$C:$FB,99)</f>
        <v>148943250</v>
      </c>
      <c r="H158" s="50">
        <f t="shared" si="7"/>
        <v>2.5847092768554467</v>
      </c>
      <c r="I158" s="49">
        <f>VLOOKUP($A158,'Data shares'!$C:$FB,66)</f>
        <v>103286250</v>
      </c>
      <c r="J158" s="49">
        <f>VLOOKUP($A158,'Data shares'!$C:$FB,67)</f>
        <v>73255500</v>
      </c>
      <c r="K158" s="50">
        <f t="shared" si="8"/>
        <v>29.075264132447447</v>
      </c>
      <c r="L158" s="50">
        <f>VLOOKUP($A158,'Data shares'!$C:$FB,118)</f>
        <v>0.53</v>
      </c>
      <c r="M158" s="50">
        <f>VLOOKUP($A158,'Data shares'!$C:$FB,119)</f>
        <v>0.61</v>
      </c>
      <c r="N158" s="50">
        <f>VLOOKUP($A158,'Data shares'!$C:$FB,121)*100</f>
        <v>-13.11</v>
      </c>
      <c r="O158" s="50">
        <f>VLOOKUP($A158,'Data shares'!$C:$FB,124)</f>
        <v>0.42</v>
      </c>
      <c r="P158" s="50">
        <f>VLOOKUP($A158,'Data shares'!$C:$FB,125)</f>
        <v>0.41</v>
      </c>
      <c r="Q158" s="50">
        <f>VLOOKUP($A158,'Data shares'!$C:$FB,127)*100</f>
        <v>2.44</v>
      </c>
    </row>
    <row r="159" spans="1:17" x14ac:dyDescent="0.25">
      <c r="A159" s="97" t="str">
        <f>'Data Vlaue (Cr)'!C154</f>
        <v>PAGEIND</v>
      </c>
      <c r="B159" s="140">
        <f>VLOOKUP($A159,'Data shares'!$C:$FB,7)</f>
        <v>42195</v>
      </c>
      <c r="C159" s="140">
        <f>VLOOKUP($A159,'Data shares'!$C:$FB,3)</f>
        <v>41810</v>
      </c>
      <c r="D159" s="140">
        <f>VLOOKUP($A159,'Data shares'!$C:$FB,4)</f>
        <v>41900</v>
      </c>
      <c r="E159" s="50">
        <f t="shared" si="6"/>
        <v>-0.21479713603818618</v>
      </c>
      <c r="F159" s="49">
        <f>VLOOKUP($A159,'Data shares'!$C:$FB,98)</f>
        <v>316980</v>
      </c>
      <c r="G159" s="49">
        <f>VLOOKUP($A159,'Data shares'!$C:$FB,99)</f>
        <v>300060</v>
      </c>
      <c r="H159" s="50">
        <f t="shared" si="7"/>
        <v>5.6388722255548887</v>
      </c>
      <c r="I159" s="49">
        <f>VLOOKUP($A159,'Data shares'!$C:$FB,66)</f>
        <v>132525</v>
      </c>
      <c r="J159" s="49">
        <f>VLOOKUP($A159,'Data shares'!$C:$FB,67)</f>
        <v>271125</v>
      </c>
      <c r="K159" s="50">
        <f t="shared" si="8"/>
        <v>-104.58404074702887</v>
      </c>
      <c r="L159" s="50">
        <f>VLOOKUP($A159,'Data shares'!$C:$FB,118)</f>
        <v>0.45</v>
      </c>
      <c r="M159" s="50">
        <f>VLOOKUP($A159,'Data shares'!$C:$FB,119)</f>
        <v>0.46</v>
      </c>
      <c r="N159" s="50">
        <f>VLOOKUP($A159,'Data shares'!$C:$FB,121)*100</f>
        <v>-2.17</v>
      </c>
      <c r="O159" s="50">
        <f>VLOOKUP($A159,'Data shares'!$C:$FB,124)</f>
        <v>0.15</v>
      </c>
      <c r="P159" s="50">
        <f>VLOOKUP($A159,'Data shares'!$C:$FB,125)</f>
        <v>0.26</v>
      </c>
      <c r="Q159" s="50">
        <f>VLOOKUP($A159,'Data shares'!$C:$FB,127)*100</f>
        <v>-42.309999999999995</v>
      </c>
    </row>
    <row r="160" spans="1:17" x14ac:dyDescent="0.25">
      <c r="A160" s="97" t="str">
        <f>'Data Vlaue (Cr)'!C155</f>
        <v>PATANJALI</v>
      </c>
      <c r="B160" s="140">
        <f>VLOOKUP($A160,'Data shares'!$C:$FB,7)</f>
        <v>597.54999999999995</v>
      </c>
      <c r="C160" s="140">
        <f>VLOOKUP($A160,'Data shares'!$C:$FB,3)</f>
        <v>601.29999999999995</v>
      </c>
      <c r="D160" s="140">
        <f>VLOOKUP($A160,'Data shares'!$C:$FB,4)</f>
        <v>590.1</v>
      </c>
      <c r="E160" s="50">
        <f t="shared" si="6"/>
        <v>1.8979833926453027</v>
      </c>
      <c r="F160" s="49">
        <f>VLOOKUP($A160,'Data shares'!$C:$FB,98)</f>
        <v>38602800</v>
      </c>
      <c r="G160" s="49">
        <f>VLOOKUP($A160,'Data shares'!$C:$FB,99)</f>
        <v>37375200</v>
      </c>
      <c r="H160" s="50">
        <f t="shared" si="7"/>
        <v>3.2845309188980929</v>
      </c>
      <c r="I160" s="49">
        <f>VLOOKUP($A160,'Data shares'!$C:$FB,66)</f>
        <v>12633300</v>
      </c>
      <c r="J160" s="49">
        <f>VLOOKUP($A160,'Data shares'!$C:$FB,67)</f>
        <v>9693900</v>
      </c>
      <c r="K160" s="50">
        <f t="shared" si="8"/>
        <v>23.267079860369027</v>
      </c>
      <c r="L160" s="50">
        <f>VLOOKUP($A160,'Data shares'!$C:$FB,118)</f>
        <v>0.53</v>
      </c>
      <c r="M160" s="50">
        <f>VLOOKUP($A160,'Data shares'!$C:$FB,119)</f>
        <v>0.66</v>
      </c>
      <c r="N160" s="50">
        <f>VLOOKUP($A160,'Data shares'!$C:$FB,121)*100</f>
        <v>-19.7</v>
      </c>
      <c r="O160" s="50">
        <f>VLOOKUP($A160,'Data shares'!$C:$FB,124)</f>
        <v>0.36</v>
      </c>
      <c r="P160" s="50">
        <f>VLOOKUP($A160,'Data shares'!$C:$FB,125)</f>
        <v>0.62</v>
      </c>
      <c r="Q160" s="50">
        <f>VLOOKUP($A160,'Data shares'!$C:$FB,127)*100</f>
        <v>-41.94</v>
      </c>
    </row>
    <row r="161" spans="1:17" x14ac:dyDescent="0.25">
      <c r="A161" s="97" t="str">
        <f>'Data Vlaue (Cr)'!C156</f>
        <v>PAYTM</v>
      </c>
      <c r="B161" s="140">
        <f>VLOOKUP($A161,'Data shares'!$C:$FB,7)</f>
        <v>1224.2</v>
      </c>
      <c r="C161" s="140">
        <f>VLOOKUP($A161,'Data shares'!$C:$FB,3)</f>
        <v>1229.0999999999999</v>
      </c>
      <c r="D161" s="140">
        <f>VLOOKUP($A161,'Data shares'!$C:$FB,4)</f>
        <v>1172.3</v>
      </c>
      <c r="E161" s="50">
        <f t="shared" si="6"/>
        <v>4.845176149449796</v>
      </c>
      <c r="F161" s="49">
        <f>VLOOKUP($A161,'Data shares'!$C:$FB,98)</f>
        <v>37654325</v>
      </c>
      <c r="G161" s="49">
        <f>VLOOKUP($A161,'Data shares'!$C:$FB,99)</f>
        <v>37580375</v>
      </c>
      <c r="H161" s="50">
        <f t="shared" si="7"/>
        <v>0.19677823864184432</v>
      </c>
      <c r="I161" s="49">
        <f>VLOOKUP($A161,'Data shares'!$C:$FB,66)</f>
        <v>46822675</v>
      </c>
      <c r="J161" s="49">
        <f>VLOOKUP($A161,'Data shares'!$C:$FB,67)</f>
        <v>19227000</v>
      </c>
      <c r="K161" s="50">
        <f t="shared" si="8"/>
        <v>58.936562253224537</v>
      </c>
      <c r="L161" s="50">
        <f>VLOOKUP($A161,'Data shares'!$C:$FB,118)</f>
        <v>0.92</v>
      </c>
      <c r="M161" s="50">
        <f>VLOOKUP($A161,'Data shares'!$C:$FB,119)</f>
        <v>0.89</v>
      </c>
      <c r="N161" s="50">
        <f>VLOOKUP($A161,'Data shares'!$C:$FB,121)*100</f>
        <v>3.37</v>
      </c>
      <c r="O161" s="50">
        <f>VLOOKUP($A161,'Data shares'!$C:$FB,124)</f>
        <v>0.51</v>
      </c>
      <c r="P161" s="50">
        <f>VLOOKUP($A161,'Data shares'!$C:$FB,125)</f>
        <v>0.42</v>
      </c>
      <c r="Q161" s="50">
        <f>VLOOKUP($A161,'Data shares'!$C:$FB,127)*100</f>
        <v>21.43</v>
      </c>
    </row>
    <row r="162" spans="1:17" x14ac:dyDescent="0.25">
      <c r="A162" s="97" t="str">
        <f>'Data Vlaue (Cr)'!C157</f>
        <v>PERSISTENT</v>
      </c>
      <c r="B162" s="140">
        <f>VLOOKUP($A162,'Data shares'!$C:$FB,7)</f>
        <v>5189.3</v>
      </c>
      <c r="C162" s="140">
        <f>VLOOKUP($A162,'Data shares'!$C:$FB,3)</f>
        <v>5208.2</v>
      </c>
      <c r="D162" s="140">
        <f>VLOOKUP($A162,'Data shares'!$C:$FB,4)</f>
        <v>5087</v>
      </c>
      <c r="E162" s="50">
        <f t="shared" si="6"/>
        <v>2.3825437389423989</v>
      </c>
      <c r="F162" s="49">
        <f>VLOOKUP($A162,'Data shares'!$C:$FB,98)</f>
        <v>4216300</v>
      </c>
      <c r="G162" s="49">
        <f>VLOOKUP($A162,'Data shares'!$C:$FB,99)</f>
        <v>4202600</v>
      </c>
      <c r="H162" s="50">
        <f t="shared" si="7"/>
        <v>0.32598867367819923</v>
      </c>
      <c r="I162" s="49">
        <f>VLOOKUP($A162,'Data shares'!$C:$FB,66)</f>
        <v>4092500</v>
      </c>
      <c r="J162" s="49">
        <f>VLOOKUP($A162,'Data shares'!$C:$FB,67)</f>
        <v>2704100</v>
      </c>
      <c r="K162" s="50">
        <f t="shared" si="8"/>
        <v>33.925473427000611</v>
      </c>
      <c r="L162" s="50">
        <f>VLOOKUP($A162,'Data shares'!$C:$FB,118)</f>
        <v>0.68</v>
      </c>
      <c r="M162" s="50">
        <f>VLOOKUP($A162,'Data shares'!$C:$FB,119)</f>
        <v>0.68</v>
      </c>
      <c r="N162" s="50">
        <f>VLOOKUP($A162,'Data shares'!$C:$FB,121)*100</f>
        <v>0</v>
      </c>
      <c r="O162" s="50">
        <f>VLOOKUP($A162,'Data shares'!$C:$FB,124)</f>
        <v>0.44</v>
      </c>
      <c r="P162" s="50">
        <f>VLOOKUP($A162,'Data shares'!$C:$FB,125)</f>
        <v>0.39</v>
      </c>
      <c r="Q162" s="50">
        <f>VLOOKUP($A162,'Data shares'!$C:$FB,127)*100</f>
        <v>12.82</v>
      </c>
    </row>
    <row r="163" spans="1:17" x14ac:dyDescent="0.25">
      <c r="A163" s="97" t="str">
        <f>'Data Vlaue (Cr)'!C158</f>
        <v>PETRONET</v>
      </c>
      <c r="B163" s="140">
        <f>VLOOKUP($A163,'Data shares'!$C:$FB,7)</f>
        <v>280.3</v>
      </c>
      <c r="C163" s="140">
        <f>VLOOKUP($A163,'Data shares'!$C:$FB,3)</f>
        <v>281.95</v>
      </c>
      <c r="D163" s="140">
        <f>VLOOKUP($A163,'Data shares'!$C:$FB,4)</f>
        <v>280.60000000000002</v>
      </c>
      <c r="E163" s="50">
        <f t="shared" si="6"/>
        <v>0.4811119030648488</v>
      </c>
      <c r="F163" s="49">
        <f>VLOOKUP($A163,'Data shares'!$C:$FB,98)</f>
        <v>68104800</v>
      </c>
      <c r="G163" s="49">
        <f>VLOOKUP($A163,'Data shares'!$C:$FB,99)</f>
        <v>64855800</v>
      </c>
      <c r="H163" s="50">
        <f t="shared" si="7"/>
        <v>5.0095750881185648</v>
      </c>
      <c r="I163" s="49">
        <f>VLOOKUP($A163,'Data shares'!$C:$FB,66)</f>
        <v>15224400</v>
      </c>
      <c r="J163" s="49">
        <f>VLOOKUP($A163,'Data shares'!$C:$FB,67)</f>
        <v>11804400</v>
      </c>
      <c r="K163" s="50">
        <f t="shared" si="8"/>
        <v>22.463939465594702</v>
      </c>
      <c r="L163" s="50">
        <f>VLOOKUP($A163,'Data shares'!$C:$FB,118)</f>
        <v>1.04</v>
      </c>
      <c r="M163" s="50">
        <f>VLOOKUP($A163,'Data shares'!$C:$FB,119)</f>
        <v>1.17</v>
      </c>
      <c r="N163" s="50">
        <f>VLOOKUP($A163,'Data shares'!$C:$FB,121)*100</f>
        <v>-11.110000000000001</v>
      </c>
      <c r="O163" s="50">
        <f>VLOOKUP($A163,'Data shares'!$C:$FB,124)</f>
        <v>0.24</v>
      </c>
      <c r="P163" s="50">
        <f>VLOOKUP($A163,'Data shares'!$C:$FB,125)</f>
        <v>0.6</v>
      </c>
      <c r="Q163" s="50">
        <f>VLOOKUP($A163,'Data shares'!$C:$FB,127)*100</f>
        <v>-60</v>
      </c>
    </row>
    <row r="164" spans="1:17" x14ac:dyDescent="0.25">
      <c r="A164" s="97" t="str">
        <f>'Data Vlaue (Cr)'!C159</f>
        <v>PFC</v>
      </c>
      <c r="B164" s="140">
        <f>VLOOKUP($A164,'Data shares'!$C:$FB,7)</f>
        <v>405.9</v>
      </c>
      <c r="C164" s="140">
        <f>VLOOKUP($A164,'Data shares'!$C:$FB,3)</f>
        <v>407.55</v>
      </c>
      <c r="D164" s="140">
        <f>VLOOKUP($A164,'Data shares'!$C:$FB,4)</f>
        <v>414.7</v>
      </c>
      <c r="E164" s="50">
        <f t="shared" si="6"/>
        <v>-1.7241379310344771</v>
      </c>
      <c r="F164" s="49">
        <f>VLOOKUP($A164,'Data shares'!$C:$FB,98)</f>
        <v>87532900</v>
      </c>
      <c r="G164" s="49">
        <f>VLOOKUP($A164,'Data shares'!$C:$FB,99)</f>
        <v>80512900</v>
      </c>
      <c r="H164" s="50">
        <f t="shared" si="7"/>
        <v>8.719099672226438</v>
      </c>
      <c r="I164" s="49">
        <f>VLOOKUP($A164,'Data shares'!$C:$FB,66)</f>
        <v>39403000</v>
      </c>
      <c r="J164" s="49">
        <f>VLOOKUP($A164,'Data shares'!$C:$FB,67)</f>
        <v>38681500</v>
      </c>
      <c r="K164" s="50">
        <f t="shared" si="8"/>
        <v>1.8310788518640713</v>
      </c>
      <c r="L164" s="50">
        <f>VLOOKUP($A164,'Data shares'!$C:$FB,118)</f>
        <v>0.79</v>
      </c>
      <c r="M164" s="50">
        <f>VLOOKUP($A164,'Data shares'!$C:$FB,119)</f>
        <v>0.84</v>
      </c>
      <c r="N164" s="50">
        <f>VLOOKUP($A164,'Data shares'!$C:$FB,121)*100</f>
        <v>-5.9499999999999993</v>
      </c>
      <c r="O164" s="50">
        <f>VLOOKUP($A164,'Data shares'!$C:$FB,124)</f>
        <v>0.48</v>
      </c>
      <c r="P164" s="50">
        <f>VLOOKUP($A164,'Data shares'!$C:$FB,125)</f>
        <v>0.51</v>
      </c>
      <c r="Q164" s="50">
        <f>VLOOKUP($A164,'Data shares'!$C:$FB,127)*100</f>
        <v>-5.88</v>
      </c>
    </row>
    <row r="165" spans="1:17" x14ac:dyDescent="0.25">
      <c r="A165" s="97" t="str">
        <f>'Data Vlaue (Cr)'!C160</f>
        <v>PGEL</v>
      </c>
      <c r="B165" s="140">
        <f>VLOOKUP($A165,'Data shares'!$C:$FB,7)</f>
        <v>517.20000000000005</v>
      </c>
      <c r="C165" s="140">
        <f>VLOOKUP($A165,'Data shares'!$C:$FB,3)</f>
        <v>520.95000000000005</v>
      </c>
      <c r="D165" s="140">
        <f>VLOOKUP($A165,'Data shares'!$C:$FB,4)</f>
        <v>516.35</v>
      </c>
      <c r="E165" s="50">
        <f t="shared" si="6"/>
        <v>0.89086859688196418</v>
      </c>
      <c r="F165" s="49">
        <f>VLOOKUP($A165,'Data shares'!$C:$FB,98)</f>
        <v>14692300</v>
      </c>
      <c r="G165" s="49">
        <f>VLOOKUP($A165,'Data shares'!$C:$FB,99)</f>
        <v>14158900</v>
      </c>
      <c r="H165" s="50">
        <f t="shared" si="7"/>
        <v>3.7672418055074903</v>
      </c>
      <c r="I165" s="49">
        <f>VLOOKUP($A165,'Data shares'!$C:$FB,66)</f>
        <v>8532300</v>
      </c>
      <c r="J165" s="49">
        <f>VLOOKUP($A165,'Data shares'!$C:$FB,67)</f>
        <v>6822200</v>
      </c>
      <c r="K165" s="50">
        <f t="shared" si="8"/>
        <v>20.042661416030846</v>
      </c>
      <c r="L165" s="50">
        <f>VLOOKUP($A165,'Data shares'!$C:$FB,118)</f>
        <v>0.5</v>
      </c>
      <c r="M165" s="50">
        <f>VLOOKUP($A165,'Data shares'!$C:$FB,119)</f>
        <v>0.5</v>
      </c>
      <c r="N165" s="50">
        <f>VLOOKUP($A165,'Data shares'!$C:$FB,121)*100</f>
        <v>0</v>
      </c>
      <c r="O165" s="50">
        <f>VLOOKUP($A165,'Data shares'!$C:$FB,124)</f>
        <v>0.4</v>
      </c>
      <c r="P165" s="50">
        <f>VLOOKUP($A165,'Data shares'!$C:$FB,125)</f>
        <v>0.28999999999999998</v>
      </c>
      <c r="Q165" s="50">
        <f>VLOOKUP($A165,'Data shares'!$C:$FB,127)*100</f>
        <v>37.93</v>
      </c>
    </row>
    <row r="166" spans="1:17" x14ac:dyDescent="0.25">
      <c r="A166" s="97" t="str">
        <f>'Data Vlaue (Cr)'!C161</f>
        <v>PHOENIXLTD</v>
      </c>
      <c r="B166" s="140">
        <f>VLOOKUP($A166,'Data shares'!$C:$FB,7)</f>
        <v>1594.4</v>
      </c>
      <c r="C166" s="140">
        <f>VLOOKUP($A166,'Data shares'!$C:$FB,3)</f>
        <v>1600.3</v>
      </c>
      <c r="D166" s="140">
        <f>VLOOKUP($A166,'Data shares'!$C:$FB,4)</f>
        <v>1568.1</v>
      </c>
      <c r="E166" s="50">
        <f t="shared" si="6"/>
        <v>2.0534404693578248</v>
      </c>
      <c r="F166" s="49">
        <f>VLOOKUP($A166,'Data shares'!$C:$FB,98)</f>
        <v>5174400</v>
      </c>
      <c r="G166" s="49">
        <f>VLOOKUP($A166,'Data shares'!$C:$FB,99)</f>
        <v>4966500</v>
      </c>
      <c r="H166" s="50">
        <f t="shared" si="7"/>
        <v>4.1860465116279073</v>
      </c>
      <c r="I166" s="49">
        <f>VLOOKUP($A166,'Data shares'!$C:$FB,66)</f>
        <v>1591100</v>
      </c>
      <c r="J166" s="49">
        <f>VLOOKUP($A166,'Data shares'!$C:$FB,67)</f>
        <v>776300</v>
      </c>
      <c r="K166" s="50">
        <f t="shared" si="8"/>
        <v>51.209854817421906</v>
      </c>
      <c r="L166" s="50">
        <f>VLOOKUP($A166,'Data shares'!$C:$FB,118)</f>
        <v>0.55000000000000004</v>
      </c>
      <c r="M166" s="50">
        <f>VLOOKUP($A166,'Data shares'!$C:$FB,119)</f>
        <v>0.54</v>
      </c>
      <c r="N166" s="50">
        <f>VLOOKUP($A166,'Data shares'!$C:$FB,121)*100</f>
        <v>1.8499999999999999</v>
      </c>
      <c r="O166" s="50">
        <f>VLOOKUP($A166,'Data shares'!$C:$FB,124)</f>
        <v>0.24</v>
      </c>
      <c r="P166" s="50">
        <f>VLOOKUP($A166,'Data shares'!$C:$FB,125)</f>
        <v>0.53</v>
      </c>
      <c r="Q166" s="50">
        <f>VLOOKUP($A166,'Data shares'!$C:$FB,127)*100</f>
        <v>-54.72</v>
      </c>
    </row>
    <row r="167" spans="1:17" x14ac:dyDescent="0.25">
      <c r="A167" s="97" t="str">
        <f>'Data Vlaue (Cr)'!C162</f>
        <v>PIDILITIND</v>
      </c>
      <c r="B167" s="140">
        <f>VLOOKUP($A167,'Data shares'!$C:$FB,7)</f>
        <v>1489</v>
      </c>
      <c r="C167" s="140">
        <f>VLOOKUP($A167,'Data shares'!$C:$FB,3)</f>
        <v>1496.2</v>
      </c>
      <c r="D167" s="140">
        <f>VLOOKUP($A167,'Data shares'!$C:$FB,4)</f>
        <v>1495</v>
      </c>
      <c r="E167" s="50">
        <f t="shared" si="6"/>
        <v>8.0267558528431135E-2</v>
      </c>
      <c r="F167" s="49">
        <f>VLOOKUP($A167,'Data shares'!$C:$FB,98)</f>
        <v>10528500</v>
      </c>
      <c r="G167" s="49">
        <f>VLOOKUP($A167,'Data shares'!$C:$FB,99)</f>
        <v>10519000</v>
      </c>
      <c r="H167" s="50">
        <f t="shared" si="7"/>
        <v>9.0312767373324471E-2</v>
      </c>
      <c r="I167" s="49">
        <f>VLOOKUP($A167,'Data shares'!$C:$FB,66)</f>
        <v>1148500</v>
      </c>
      <c r="J167" s="49">
        <f>VLOOKUP($A167,'Data shares'!$C:$FB,67)</f>
        <v>2396500</v>
      </c>
      <c r="K167" s="50">
        <f t="shared" si="8"/>
        <v>-108.6634740966478</v>
      </c>
      <c r="L167" s="50">
        <f>VLOOKUP($A167,'Data shares'!$C:$FB,118)</f>
        <v>0.74</v>
      </c>
      <c r="M167" s="50">
        <f>VLOOKUP($A167,'Data shares'!$C:$FB,119)</f>
        <v>0.74</v>
      </c>
      <c r="N167" s="50">
        <f>VLOOKUP($A167,'Data shares'!$C:$FB,121)*100</f>
        <v>0</v>
      </c>
      <c r="O167" s="50">
        <f>VLOOKUP($A167,'Data shares'!$C:$FB,124)</f>
        <v>0.53</v>
      </c>
      <c r="P167" s="50">
        <f>VLOOKUP($A167,'Data shares'!$C:$FB,125)</f>
        <v>0.35</v>
      </c>
      <c r="Q167" s="50">
        <f>VLOOKUP($A167,'Data shares'!$C:$FB,127)*100</f>
        <v>51.43</v>
      </c>
    </row>
    <row r="168" spans="1:17" x14ac:dyDescent="0.25">
      <c r="A168" s="97" t="str">
        <f>'Data Vlaue (Cr)'!C163</f>
        <v>PIIND</v>
      </c>
      <c r="B168" s="140">
        <f>VLOOKUP($A168,'Data shares'!$C:$FB,7)</f>
        <v>3630.4</v>
      </c>
      <c r="C168" s="140">
        <f>VLOOKUP($A168,'Data shares'!$C:$FB,3)</f>
        <v>3614.2</v>
      </c>
      <c r="D168" s="140">
        <f>VLOOKUP($A168,'Data shares'!$C:$FB,4)</f>
        <v>3603</v>
      </c>
      <c r="E168" s="50">
        <f t="shared" si="6"/>
        <v>0.31085206772133828</v>
      </c>
      <c r="F168" s="49">
        <f>VLOOKUP($A168,'Data shares'!$C:$FB,98)</f>
        <v>2268700</v>
      </c>
      <c r="G168" s="49">
        <f>VLOOKUP($A168,'Data shares'!$C:$FB,99)</f>
        <v>2149525</v>
      </c>
      <c r="H168" s="50">
        <f t="shared" si="7"/>
        <v>5.5442481478466172</v>
      </c>
      <c r="I168" s="49">
        <f>VLOOKUP($A168,'Data shares'!$C:$FB,66)</f>
        <v>1127525</v>
      </c>
      <c r="J168" s="49">
        <f>VLOOKUP($A168,'Data shares'!$C:$FB,67)</f>
        <v>684775</v>
      </c>
      <c r="K168" s="50">
        <f t="shared" si="8"/>
        <v>39.267422008381189</v>
      </c>
      <c r="L168" s="50">
        <f>VLOOKUP($A168,'Data shares'!$C:$FB,118)</f>
        <v>0.91</v>
      </c>
      <c r="M168" s="50">
        <f>VLOOKUP($A168,'Data shares'!$C:$FB,119)</f>
        <v>0.87</v>
      </c>
      <c r="N168" s="50">
        <f>VLOOKUP($A168,'Data shares'!$C:$FB,121)*100</f>
        <v>4.5999999999999996</v>
      </c>
      <c r="O168" s="50">
        <f>VLOOKUP($A168,'Data shares'!$C:$FB,124)</f>
        <v>0.5</v>
      </c>
      <c r="P168" s="50">
        <f>VLOOKUP($A168,'Data shares'!$C:$FB,125)</f>
        <v>0.56999999999999995</v>
      </c>
      <c r="Q168" s="50">
        <f>VLOOKUP($A168,'Data shares'!$C:$FB,127)*100</f>
        <v>-12.280000000000001</v>
      </c>
    </row>
    <row r="169" spans="1:17" x14ac:dyDescent="0.25">
      <c r="A169" s="97" t="str">
        <f>'Data Vlaue (Cr)'!C164</f>
        <v>PNB</v>
      </c>
      <c r="B169" s="140">
        <f>VLOOKUP($A169,'Data shares'!$C:$FB,7)</f>
        <v>114.54</v>
      </c>
      <c r="C169" s="140">
        <f>VLOOKUP($A169,'Data shares'!$C:$FB,3)</f>
        <v>115.23</v>
      </c>
      <c r="D169" s="140">
        <f>VLOOKUP($A169,'Data shares'!$C:$FB,4)</f>
        <v>115.15</v>
      </c>
      <c r="E169" s="50">
        <f t="shared" si="6"/>
        <v>6.947459834997681E-2</v>
      </c>
      <c r="F169" s="49">
        <f>VLOOKUP($A169,'Data shares'!$C:$FB,98)</f>
        <v>441872000</v>
      </c>
      <c r="G169" s="49">
        <f>VLOOKUP($A169,'Data shares'!$C:$FB,99)</f>
        <v>426032000</v>
      </c>
      <c r="H169" s="50">
        <f t="shared" si="7"/>
        <v>3.7180305704735792</v>
      </c>
      <c r="I169" s="49">
        <f>VLOOKUP($A169,'Data shares'!$C:$FB,66)</f>
        <v>269016000</v>
      </c>
      <c r="J169" s="49">
        <f>VLOOKUP($A169,'Data shares'!$C:$FB,67)</f>
        <v>341512000</v>
      </c>
      <c r="K169" s="50">
        <f t="shared" si="8"/>
        <v>-26.948582983911741</v>
      </c>
      <c r="L169" s="50">
        <f>VLOOKUP($A169,'Data shares'!$C:$FB,118)</f>
        <v>0.71</v>
      </c>
      <c r="M169" s="50">
        <f>VLOOKUP($A169,'Data shares'!$C:$FB,119)</f>
        <v>0.74</v>
      </c>
      <c r="N169" s="50">
        <f>VLOOKUP($A169,'Data shares'!$C:$FB,121)*100</f>
        <v>-4.05</v>
      </c>
      <c r="O169" s="50">
        <f>VLOOKUP($A169,'Data shares'!$C:$FB,124)</f>
        <v>0.42</v>
      </c>
      <c r="P169" s="50">
        <f>VLOOKUP($A169,'Data shares'!$C:$FB,125)</f>
        <v>0.45</v>
      </c>
      <c r="Q169" s="50">
        <f>VLOOKUP($A169,'Data shares'!$C:$FB,127)*100</f>
        <v>-6.67</v>
      </c>
    </row>
    <row r="170" spans="1:17" x14ac:dyDescent="0.25">
      <c r="A170" s="97" t="str">
        <f>'Data Vlaue (Cr)'!C165</f>
        <v>PNBHOUSING</v>
      </c>
      <c r="B170" s="140">
        <f>VLOOKUP($A170,'Data shares'!$C:$FB,7)</f>
        <v>895.05</v>
      </c>
      <c r="C170" s="140">
        <f>VLOOKUP($A170,'Data shares'!$C:$FB,3)</f>
        <v>900.7</v>
      </c>
      <c r="D170" s="140">
        <f>VLOOKUP($A170,'Data shares'!$C:$FB,4)</f>
        <v>893.9</v>
      </c>
      <c r="E170" s="50">
        <f t="shared" si="6"/>
        <v>0.76071148898087804</v>
      </c>
      <c r="F170" s="49">
        <f>VLOOKUP($A170,'Data shares'!$C:$FB,98)</f>
        <v>20530900</v>
      </c>
      <c r="G170" s="49">
        <f>VLOOKUP($A170,'Data shares'!$C:$FB,99)</f>
        <v>20242300</v>
      </c>
      <c r="H170" s="50">
        <f t="shared" si="7"/>
        <v>1.4257273135957871</v>
      </c>
      <c r="I170" s="49">
        <f>VLOOKUP($A170,'Data shares'!$C:$FB,66)</f>
        <v>6463600</v>
      </c>
      <c r="J170" s="49">
        <f>VLOOKUP($A170,'Data shares'!$C:$FB,67)</f>
        <v>3281200</v>
      </c>
      <c r="K170" s="50">
        <f t="shared" si="8"/>
        <v>49.235720032180211</v>
      </c>
      <c r="L170" s="50">
        <f>VLOOKUP($A170,'Data shares'!$C:$FB,118)</f>
        <v>0.64</v>
      </c>
      <c r="M170" s="50">
        <f>VLOOKUP($A170,'Data shares'!$C:$FB,119)</f>
        <v>0.65</v>
      </c>
      <c r="N170" s="50">
        <f>VLOOKUP($A170,'Data shares'!$C:$FB,121)*100</f>
        <v>-1.54</v>
      </c>
      <c r="O170" s="50">
        <f>VLOOKUP($A170,'Data shares'!$C:$FB,124)</f>
        <v>0.42</v>
      </c>
      <c r="P170" s="50">
        <f>VLOOKUP($A170,'Data shares'!$C:$FB,125)</f>
        <v>0.67</v>
      </c>
      <c r="Q170" s="50">
        <f>VLOOKUP($A170,'Data shares'!$C:$FB,127)*100</f>
        <v>-37.31</v>
      </c>
    </row>
    <row r="171" spans="1:17" x14ac:dyDescent="0.25">
      <c r="A171" s="97" t="str">
        <f>'Data Vlaue (Cr)'!C166</f>
        <v>POLICYBZR</v>
      </c>
      <c r="B171" s="140">
        <f>VLOOKUP($A171,'Data shares'!$C:$FB,7)</f>
        <v>1725.4</v>
      </c>
      <c r="C171" s="140">
        <f>VLOOKUP($A171,'Data shares'!$C:$FB,3)</f>
        <v>1733.1</v>
      </c>
      <c r="D171" s="140">
        <f>VLOOKUP($A171,'Data shares'!$C:$FB,4)</f>
        <v>1707.8</v>
      </c>
      <c r="E171" s="50">
        <f t="shared" si="6"/>
        <v>1.4814381075067311</v>
      </c>
      <c r="F171" s="49">
        <f>VLOOKUP($A171,'Data shares'!$C:$FB,98)</f>
        <v>9250150</v>
      </c>
      <c r="G171" s="49">
        <f>VLOOKUP($A171,'Data shares'!$C:$FB,99)</f>
        <v>9241050</v>
      </c>
      <c r="H171" s="50">
        <f t="shared" si="7"/>
        <v>9.8473658296405725E-2</v>
      </c>
      <c r="I171" s="49">
        <f>VLOOKUP($A171,'Data shares'!$C:$FB,66)</f>
        <v>3364900</v>
      </c>
      <c r="J171" s="49">
        <f>VLOOKUP($A171,'Data shares'!$C:$FB,67)</f>
        <v>6043450</v>
      </c>
      <c r="K171" s="50">
        <f t="shared" si="8"/>
        <v>-79.60266278344082</v>
      </c>
      <c r="L171" s="50">
        <f>VLOOKUP($A171,'Data shares'!$C:$FB,118)</f>
        <v>0.93</v>
      </c>
      <c r="M171" s="50">
        <f>VLOOKUP($A171,'Data shares'!$C:$FB,119)</f>
        <v>1.1100000000000001</v>
      </c>
      <c r="N171" s="50">
        <f>VLOOKUP($A171,'Data shares'!$C:$FB,121)*100</f>
        <v>-16.220000000000002</v>
      </c>
      <c r="O171" s="50">
        <f>VLOOKUP($A171,'Data shares'!$C:$FB,124)</f>
        <v>0.71</v>
      </c>
      <c r="P171" s="50">
        <f>VLOOKUP($A171,'Data shares'!$C:$FB,125)</f>
        <v>1.43</v>
      </c>
      <c r="Q171" s="50">
        <f>VLOOKUP($A171,'Data shares'!$C:$FB,127)*100</f>
        <v>-50.349999999999994</v>
      </c>
    </row>
    <row r="172" spans="1:17" x14ac:dyDescent="0.25">
      <c r="A172" s="97" t="str">
        <f>'Data Vlaue (Cr)'!C167</f>
        <v>POLYCAB</v>
      </c>
      <c r="B172" s="140">
        <f>VLOOKUP($A172,'Data shares'!$C:$FB,7)</f>
        <v>7615.5</v>
      </c>
      <c r="C172" s="140">
        <f>VLOOKUP($A172,'Data shares'!$C:$FB,3)</f>
        <v>7642</v>
      </c>
      <c r="D172" s="140">
        <f>VLOOKUP($A172,'Data shares'!$C:$FB,4)</f>
        <v>7423.5</v>
      </c>
      <c r="E172" s="50">
        <f t="shared" si="6"/>
        <v>2.9433555600458008</v>
      </c>
      <c r="F172" s="49">
        <f>VLOOKUP($A172,'Data shares'!$C:$FB,98)</f>
        <v>2630875</v>
      </c>
      <c r="G172" s="49">
        <f>VLOOKUP($A172,'Data shares'!$C:$FB,99)</f>
        <v>2418875</v>
      </c>
      <c r="H172" s="50">
        <f t="shared" si="7"/>
        <v>8.7644049403131632</v>
      </c>
      <c r="I172" s="49">
        <f>VLOOKUP($A172,'Data shares'!$C:$FB,66)</f>
        <v>2722875</v>
      </c>
      <c r="J172" s="49">
        <f>VLOOKUP($A172,'Data shares'!$C:$FB,67)</f>
        <v>868500</v>
      </c>
      <c r="K172" s="50">
        <f t="shared" si="8"/>
        <v>68.103567001790395</v>
      </c>
      <c r="L172" s="50">
        <f>VLOOKUP($A172,'Data shares'!$C:$FB,118)</f>
        <v>0.63</v>
      </c>
      <c r="M172" s="50">
        <f>VLOOKUP($A172,'Data shares'!$C:$FB,119)</f>
        <v>0.6</v>
      </c>
      <c r="N172" s="50">
        <f>VLOOKUP($A172,'Data shares'!$C:$FB,121)*100</f>
        <v>5</v>
      </c>
      <c r="O172" s="50">
        <f>VLOOKUP($A172,'Data shares'!$C:$FB,124)</f>
        <v>0.37</v>
      </c>
      <c r="P172" s="50">
        <f>VLOOKUP($A172,'Data shares'!$C:$FB,125)</f>
        <v>0.47</v>
      </c>
      <c r="Q172" s="50">
        <f>VLOOKUP($A172,'Data shares'!$C:$FB,127)*100</f>
        <v>-21.279999999999998</v>
      </c>
    </row>
    <row r="173" spans="1:17" x14ac:dyDescent="0.25">
      <c r="A173" s="97" t="str">
        <f>'Data Vlaue (Cr)'!C168</f>
        <v>POWERGRID</v>
      </c>
      <c r="B173" s="140">
        <f>VLOOKUP($A173,'Data shares'!$C:$FB,7)</f>
        <v>286.89999999999998</v>
      </c>
      <c r="C173" s="140">
        <f>VLOOKUP($A173,'Data shares'!$C:$FB,3)</f>
        <v>287.85000000000002</v>
      </c>
      <c r="D173" s="140">
        <f>VLOOKUP($A173,'Data shares'!$C:$FB,4)</f>
        <v>290.3</v>
      </c>
      <c r="E173" s="50">
        <f t="shared" ref="E173:E182" si="9">(C173-D173)/D173*100</f>
        <v>-0.84395452979675811</v>
      </c>
      <c r="F173" s="49">
        <f>VLOOKUP($A173,'Data shares'!$C:$FB,98)</f>
        <v>112404000</v>
      </c>
      <c r="G173" s="49">
        <f>VLOOKUP($A173,'Data shares'!$C:$FB,99)</f>
        <v>110901100</v>
      </c>
      <c r="H173" s="50">
        <f t="shared" ref="H173:H182" si="10">(F173-G173)/G173*100</f>
        <v>1.3551714094810601</v>
      </c>
      <c r="I173" s="49">
        <f>VLOOKUP($A173,'Data shares'!$C:$FB,66)</f>
        <v>41412400</v>
      </c>
      <c r="J173" s="49">
        <f>VLOOKUP($A173,'Data shares'!$C:$FB,67)</f>
        <v>64689300</v>
      </c>
      <c r="K173" s="50">
        <f t="shared" ref="K173:K182" si="11">(I173-J173)/I173*100</f>
        <v>-56.207561020370711</v>
      </c>
      <c r="L173" s="50">
        <f>VLOOKUP($A173,'Data shares'!$C:$FB,118)</f>
        <v>0.68</v>
      </c>
      <c r="M173" s="50">
        <f>VLOOKUP($A173,'Data shares'!$C:$FB,119)</f>
        <v>0.72</v>
      </c>
      <c r="N173" s="50">
        <f>VLOOKUP($A173,'Data shares'!$C:$FB,121)*100</f>
        <v>-5.56</v>
      </c>
      <c r="O173" s="50">
        <f>VLOOKUP($A173,'Data shares'!$C:$FB,124)</f>
        <v>0.47</v>
      </c>
      <c r="P173" s="50">
        <f>VLOOKUP($A173,'Data shares'!$C:$FB,125)</f>
        <v>0.39</v>
      </c>
      <c r="Q173" s="50">
        <f>VLOOKUP($A173,'Data shares'!$C:$FB,127)*100</f>
        <v>20.51</v>
      </c>
    </row>
    <row r="174" spans="1:17" x14ac:dyDescent="0.25">
      <c r="A174" s="97" t="str">
        <f>'Data Vlaue (Cr)'!C169</f>
        <v>POWERINDIA</v>
      </c>
      <c r="B174" s="140">
        <f>VLOOKUP($A174,'Data shares'!$C:$FB,7)</f>
        <v>18203</v>
      </c>
      <c r="C174" s="140">
        <f>VLOOKUP($A174,'Data shares'!$C:$FB,3)</f>
        <v>18305</v>
      </c>
      <c r="D174" s="140">
        <f>VLOOKUP($A174,'Data shares'!$C:$FB,4)</f>
        <v>18290</v>
      </c>
      <c r="E174" s="50">
        <f t="shared" si="9"/>
        <v>8.201202843083652E-2</v>
      </c>
      <c r="F174" s="49">
        <f>VLOOKUP($A174,'Data shares'!$C:$FB,98)</f>
        <v>39750</v>
      </c>
      <c r="G174" s="49">
        <f>VLOOKUP($A174,'Data shares'!$C:$FB,99)</f>
        <v>28100</v>
      </c>
      <c r="H174" s="50">
        <f t="shared" si="10"/>
        <v>41.459074733096088</v>
      </c>
      <c r="I174" s="49">
        <f>VLOOKUP($A174,'Data shares'!$C:$FB,66)</f>
        <v>34500</v>
      </c>
      <c r="J174" s="49">
        <f>VLOOKUP($A174,'Data shares'!$C:$FB,67)</f>
        <v>53800</v>
      </c>
      <c r="K174" s="50">
        <f t="shared" si="11"/>
        <v>-55.942028985507243</v>
      </c>
      <c r="L174" s="50">
        <f>VLOOKUP($A174,'Data shares'!$C:$FB,118)</f>
        <v>0.17</v>
      </c>
      <c r="M174" s="50">
        <f>VLOOKUP($A174,'Data shares'!$C:$FB,119)</f>
        <v>0.12</v>
      </c>
      <c r="N174" s="50">
        <f>VLOOKUP($A174,'Data shares'!$C:$FB,121)*100</f>
        <v>41.67</v>
      </c>
      <c r="O174" s="50">
        <f>VLOOKUP($A174,'Data shares'!$C:$FB,124)</f>
        <v>0.3</v>
      </c>
      <c r="P174" s="50">
        <f>VLOOKUP($A174,'Data shares'!$C:$FB,125)</f>
        <v>0.15</v>
      </c>
      <c r="Q174" s="50">
        <f>VLOOKUP($A174,'Data shares'!$C:$FB,127)*100</f>
        <v>100</v>
      </c>
    </row>
    <row r="175" spans="1:17" x14ac:dyDescent="0.25">
      <c r="A175" s="97" t="str">
        <f>'Data Vlaue (Cr)'!C170</f>
        <v>PPLPHARMA</v>
      </c>
      <c r="B175" s="140">
        <f>VLOOKUP($A175,'Data shares'!$C:$FB,7)</f>
        <v>195.61</v>
      </c>
      <c r="C175" s="140">
        <f>VLOOKUP($A175,'Data shares'!$C:$FB,3)</f>
        <v>196.6</v>
      </c>
      <c r="D175" s="140">
        <f>VLOOKUP($A175,'Data shares'!$C:$FB,4)</f>
        <v>199.55</v>
      </c>
      <c r="E175" s="50">
        <f t="shared" si="9"/>
        <v>-1.4783262340265682</v>
      </c>
      <c r="F175" s="49">
        <f>VLOOKUP($A175,'Data shares'!$C:$FB,98)</f>
        <v>30842500</v>
      </c>
      <c r="G175" s="49">
        <f>VLOOKUP($A175,'Data shares'!$C:$FB,99)</f>
        <v>29302500</v>
      </c>
      <c r="H175" s="50">
        <f t="shared" si="10"/>
        <v>5.2555242726729805</v>
      </c>
      <c r="I175" s="49">
        <f>VLOOKUP($A175,'Data shares'!$C:$FB,66)</f>
        <v>10927500</v>
      </c>
      <c r="J175" s="49">
        <f>VLOOKUP($A175,'Data shares'!$C:$FB,67)</f>
        <v>9657500</v>
      </c>
      <c r="K175" s="50">
        <f t="shared" si="11"/>
        <v>11.622054449782658</v>
      </c>
      <c r="L175" s="50">
        <f>VLOOKUP($A175,'Data shares'!$C:$FB,118)</f>
        <v>0.42</v>
      </c>
      <c r="M175" s="50">
        <f>VLOOKUP($A175,'Data shares'!$C:$FB,119)</f>
        <v>0.42</v>
      </c>
      <c r="N175" s="50">
        <f>VLOOKUP($A175,'Data shares'!$C:$FB,121)*100</f>
        <v>0</v>
      </c>
      <c r="O175" s="50">
        <f>VLOOKUP($A175,'Data shares'!$C:$FB,124)</f>
        <v>0.61</v>
      </c>
      <c r="P175" s="50">
        <f>VLOOKUP($A175,'Data shares'!$C:$FB,125)</f>
        <v>0.47</v>
      </c>
      <c r="Q175" s="50">
        <f>VLOOKUP($A175,'Data shares'!$C:$FB,127)*100</f>
        <v>29.79</v>
      </c>
    </row>
    <row r="176" spans="1:17" x14ac:dyDescent="0.25">
      <c r="A176" s="97" t="str">
        <f>'Data Vlaue (Cr)'!C171</f>
        <v>PRESTIGE</v>
      </c>
      <c r="B176" s="140">
        <f>VLOOKUP($A176,'Data shares'!$C:$FB,7)</f>
        <v>1541.3</v>
      </c>
      <c r="C176" s="140">
        <f>VLOOKUP($A176,'Data shares'!$C:$FB,3)</f>
        <v>1548.3</v>
      </c>
      <c r="D176" s="140">
        <f>VLOOKUP($A176,'Data shares'!$C:$FB,4)</f>
        <v>1540.2</v>
      </c>
      <c r="E176" s="50">
        <f t="shared" si="9"/>
        <v>0.52590572652901635</v>
      </c>
      <c r="F176" s="49">
        <f>VLOOKUP($A176,'Data shares'!$C:$FB,98)</f>
        <v>6381450</v>
      </c>
      <c r="G176" s="49">
        <f>VLOOKUP($A176,'Data shares'!$C:$FB,99)</f>
        <v>6098850</v>
      </c>
      <c r="H176" s="50">
        <f t="shared" si="10"/>
        <v>4.6336604441820999</v>
      </c>
      <c r="I176" s="49">
        <f>VLOOKUP($A176,'Data shares'!$C:$FB,66)</f>
        <v>2186550</v>
      </c>
      <c r="J176" s="49">
        <f>VLOOKUP($A176,'Data shares'!$C:$FB,67)</f>
        <v>2380950</v>
      </c>
      <c r="K176" s="50">
        <f t="shared" si="11"/>
        <v>-8.8907182547849359</v>
      </c>
      <c r="L176" s="50">
        <f>VLOOKUP($A176,'Data shares'!$C:$FB,118)</f>
        <v>0.86</v>
      </c>
      <c r="M176" s="50">
        <f>VLOOKUP($A176,'Data shares'!$C:$FB,119)</f>
        <v>0.96</v>
      </c>
      <c r="N176" s="50">
        <f>VLOOKUP($A176,'Data shares'!$C:$FB,121)*100</f>
        <v>-10.42</v>
      </c>
      <c r="O176" s="50">
        <f>VLOOKUP($A176,'Data shares'!$C:$FB,124)</f>
        <v>0.49</v>
      </c>
      <c r="P176" s="50">
        <f>VLOOKUP($A176,'Data shares'!$C:$FB,125)</f>
        <v>0.62</v>
      </c>
      <c r="Q176" s="50">
        <f>VLOOKUP($A176,'Data shares'!$C:$FB,127)*100</f>
        <v>-20.97</v>
      </c>
    </row>
    <row r="177" spans="1:17" x14ac:dyDescent="0.25">
      <c r="A177" s="97" t="str">
        <f>'Data Vlaue (Cr)'!C172</f>
        <v>RBLBANK</v>
      </c>
      <c r="B177" s="140">
        <f>VLOOKUP($A177,'Data shares'!$C:$FB,7)</f>
        <v>275.60000000000002</v>
      </c>
      <c r="C177" s="140">
        <f>VLOOKUP($A177,'Data shares'!$C:$FB,3)</f>
        <v>277.8</v>
      </c>
      <c r="D177" s="140">
        <f>VLOOKUP($A177,'Data shares'!$C:$FB,4)</f>
        <v>277.25</v>
      </c>
      <c r="E177" s="50">
        <f t="shared" si="9"/>
        <v>0.19837691614067138</v>
      </c>
      <c r="F177" s="49">
        <f>VLOOKUP($A177,'Data shares'!$C:$FB,98)</f>
        <v>126390400</v>
      </c>
      <c r="G177" s="49">
        <f>VLOOKUP($A177,'Data shares'!$C:$FB,99)</f>
        <v>128581150</v>
      </c>
      <c r="H177" s="50">
        <f t="shared" si="10"/>
        <v>-1.7037878413748826</v>
      </c>
      <c r="I177" s="49">
        <f>VLOOKUP($A177,'Data shares'!$C:$FB,66)</f>
        <v>2270125</v>
      </c>
      <c r="J177" s="49">
        <f>VLOOKUP($A177,'Data shares'!$C:$FB,67)</f>
        <v>4914900</v>
      </c>
      <c r="K177" s="50">
        <f t="shared" si="11"/>
        <v>-116.50349650349649</v>
      </c>
      <c r="L177" s="50">
        <f>VLOOKUP($A177,'Data shares'!$C:$FB,118)</f>
        <v>0.42</v>
      </c>
      <c r="M177" s="50">
        <f>VLOOKUP($A177,'Data shares'!$C:$FB,119)</f>
        <v>0.42</v>
      </c>
      <c r="N177" s="50">
        <f>VLOOKUP($A177,'Data shares'!$C:$FB,121)*100</f>
        <v>0</v>
      </c>
      <c r="O177" s="50">
        <f>VLOOKUP($A177,'Data shares'!$C:$FB,124)</f>
        <v>0.35</v>
      </c>
      <c r="P177" s="50">
        <f>VLOOKUP($A177,'Data shares'!$C:$FB,125)</f>
        <v>0.24</v>
      </c>
      <c r="Q177" s="50">
        <f>VLOOKUP($A177,'Data shares'!$C:$FB,127)*100</f>
        <v>45.83</v>
      </c>
    </row>
    <row r="178" spans="1:17" x14ac:dyDescent="0.25">
      <c r="A178" s="97" t="str">
        <f>'Data Vlaue (Cr)'!C173</f>
        <v>RECLTD</v>
      </c>
      <c r="B178" s="140">
        <f>VLOOKUP($A178,'Data shares'!$C:$FB,7)</f>
        <v>378.05</v>
      </c>
      <c r="C178" s="140">
        <f>VLOOKUP($A178,'Data shares'!$C:$FB,3)</f>
        <v>379.6</v>
      </c>
      <c r="D178" s="140">
        <f>VLOOKUP($A178,'Data shares'!$C:$FB,4)</f>
        <v>381.8</v>
      </c>
      <c r="E178" s="50">
        <f t="shared" si="9"/>
        <v>-0.57621791513881315</v>
      </c>
      <c r="F178" s="49">
        <f>VLOOKUP($A178,'Data shares'!$C:$FB,98)</f>
        <v>122726400</v>
      </c>
      <c r="G178" s="49">
        <f>VLOOKUP($A178,'Data shares'!$C:$FB,99)</f>
        <v>119383350</v>
      </c>
      <c r="H178" s="50">
        <f t="shared" si="10"/>
        <v>2.8002648610547451</v>
      </c>
      <c r="I178" s="49">
        <f>VLOOKUP($A178,'Data shares'!$C:$FB,66)</f>
        <v>24468525</v>
      </c>
      <c r="J178" s="49">
        <f>VLOOKUP($A178,'Data shares'!$C:$FB,67)</f>
        <v>28997325</v>
      </c>
      <c r="K178" s="50">
        <f t="shared" si="11"/>
        <v>-18.508675941847741</v>
      </c>
      <c r="L178" s="50">
        <f>VLOOKUP($A178,'Data shares'!$C:$FB,118)</f>
        <v>0.97</v>
      </c>
      <c r="M178" s="50">
        <f>VLOOKUP($A178,'Data shares'!$C:$FB,119)</f>
        <v>0.98</v>
      </c>
      <c r="N178" s="50">
        <f>VLOOKUP($A178,'Data shares'!$C:$FB,121)*100</f>
        <v>-1.02</v>
      </c>
      <c r="O178" s="50">
        <f>VLOOKUP($A178,'Data shares'!$C:$FB,124)</f>
        <v>0.62</v>
      </c>
      <c r="P178" s="50">
        <f>VLOOKUP($A178,'Data shares'!$C:$FB,125)</f>
        <v>0.53</v>
      </c>
      <c r="Q178" s="50">
        <f>VLOOKUP($A178,'Data shares'!$C:$FB,127)*100</f>
        <v>16.98</v>
      </c>
    </row>
    <row r="179" spans="1:17" x14ac:dyDescent="0.25">
      <c r="A179" s="97" t="str">
        <f>'Data Vlaue (Cr)'!C174</f>
        <v>RELIANCE</v>
      </c>
      <c r="B179" s="140">
        <f>VLOOKUP($A179,'Data shares'!$C:$FB,7)</f>
        <v>1375</v>
      </c>
      <c r="C179" s="140">
        <f>VLOOKUP($A179,'Data shares'!$C:$FB,3)</f>
        <v>1383.2</v>
      </c>
      <c r="D179" s="140">
        <f>VLOOKUP($A179,'Data shares'!$C:$FB,4)</f>
        <v>1371.3</v>
      </c>
      <c r="E179" s="50">
        <f t="shared" si="9"/>
        <v>0.86778968861664785</v>
      </c>
      <c r="F179" s="49">
        <f>VLOOKUP($A179,'Data shares'!$C:$FB,98)</f>
        <v>212247500</v>
      </c>
      <c r="G179" s="49">
        <f>VLOOKUP($A179,'Data shares'!$C:$FB,99)</f>
        <v>208981500</v>
      </c>
      <c r="H179" s="50">
        <f t="shared" si="10"/>
        <v>1.5628177613807921</v>
      </c>
      <c r="I179" s="49">
        <f>VLOOKUP($A179,'Data shares'!$C:$FB,66)</f>
        <v>94267000</v>
      </c>
      <c r="J179" s="49">
        <f>VLOOKUP($A179,'Data shares'!$C:$FB,67)</f>
        <v>76174000</v>
      </c>
      <c r="K179" s="50">
        <f t="shared" si="11"/>
        <v>19.193355044713421</v>
      </c>
      <c r="L179" s="50">
        <f>VLOOKUP($A179,'Data shares'!$C:$FB,118)</f>
        <v>0.8</v>
      </c>
      <c r="M179" s="50">
        <f>VLOOKUP($A179,'Data shares'!$C:$FB,119)</f>
        <v>0.78</v>
      </c>
      <c r="N179" s="50">
        <f>VLOOKUP($A179,'Data shares'!$C:$FB,121)*100</f>
        <v>2.56</v>
      </c>
      <c r="O179" s="50">
        <f>VLOOKUP($A179,'Data shares'!$C:$FB,124)</f>
        <v>0.5</v>
      </c>
      <c r="P179" s="50">
        <f>VLOOKUP($A179,'Data shares'!$C:$FB,125)</f>
        <v>0.57999999999999996</v>
      </c>
      <c r="Q179" s="50">
        <f>VLOOKUP($A179,'Data shares'!$C:$FB,127)*100</f>
        <v>-13.79</v>
      </c>
    </row>
    <row r="180" spans="1:17" x14ac:dyDescent="0.25">
      <c r="A180" s="97" t="str">
        <f>'Data Vlaue (Cr)'!C175</f>
        <v>RVNL</v>
      </c>
      <c r="B180" s="140">
        <f>VLOOKUP($A180,'Data shares'!$C:$FB,7)</f>
        <v>346.6</v>
      </c>
      <c r="C180" s="140">
        <f>VLOOKUP($A180,'Data shares'!$C:$FB,3)</f>
        <v>341.2</v>
      </c>
      <c r="D180" s="140">
        <f>VLOOKUP($A180,'Data shares'!$C:$FB,4)</f>
        <v>341.45</v>
      </c>
      <c r="E180" s="50">
        <f t="shared" si="9"/>
        <v>-7.3217162102796898E-2</v>
      </c>
      <c r="F180" s="49">
        <f>VLOOKUP($A180,'Data shares'!$C:$FB,98)</f>
        <v>51251750</v>
      </c>
      <c r="G180" s="49">
        <f>VLOOKUP($A180,'Data shares'!$C:$FB,99)</f>
        <v>49654000</v>
      </c>
      <c r="H180" s="50">
        <f t="shared" si="10"/>
        <v>3.2177669472751442</v>
      </c>
      <c r="I180" s="49">
        <f>VLOOKUP($A180,'Data shares'!$C:$FB,66)</f>
        <v>14295875</v>
      </c>
      <c r="J180" s="49">
        <f>VLOOKUP($A180,'Data shares'!$C:$FB,67)</f>
        <v>17711375</v>
      </c>
      <c r="K180" s="50">
        <f t="shared" si="11"/>
        <v>-23.891507165528516</v>
      </c>
      <c r="L180" s="50">
        <f>VLOOKUP($A180,'Data shares'!$C:$FB,118)</f>
        <v>0.43</v>
      </c>
      <c r="M180" s="50">
        <f>VLOOKUP($A180,'Data shares'!$C:$FB,119)</f>
        <v>0.45</v>
      </c>
      <c r="N180" s="50">
        <f>VLOOKUP($A180,'Data shares'!$C:$FB,121)*100</f>
        <v>-4.4400000000000004</v>
      </c>
      <c r="O180" s="50">
        <f>VLOOKUP($A180,'Data shares'!$C:$FB,124)</f>
        <v>0.2</v>
      </c>
      <c r="P180" s="50">
        <f>VLOOKUP($A180,'Data shares'!$C:$FB,125)</f>
        <v>0.24</v>
      </c>
      <c r="Q180" s="50">
        <f>VLOOKUP($A180,'Data shares'!$C:$FB,127)*100</f>
        <v>-16.669999999999998</v>
      </c>
    </row>
    <row r="181" spans="1:17" x14ac:dyDescent="0.25">
      <c r="A181" s="97" t="str">
        <f>'Data Vlaue (Cr)'!C176</f>
        <v>SAIL</v>
      </c>
      <c r="B181" s="140">
        <f>VLOOKUP($A181,'Data shares'!$C:$FB,7)</f>
        <v>132.62</v>
      </c>
      <c r="C181" s="140">
        <f>VLOOKUP($A181,'Data shares'!$C:$FB,3)</f>
        <v>133.27000000000001</v>
      </c>
      <c r="D181" s="140">
        <f>VLOOKUP($A181,'Data shares'!$C:$FB,4)</f>
        <v>135.86000000000001</v>
      </c>
      <c r="E181" s="50">
        <f t="shared" si="9"/>
        <v>-1.9063742087442979</v>
      </c>
      <c r="F181" s="49">
        <f>VLOOKUP($A181,'Data shares'!$C:$FB,98)</f>
        <v>230370500</v>
      </c>
      <c r="G181" s="49">
        <f>VLOOKUP($A181,'Data shares'!$C:$FB,99)</f>
        <v>211735000</v>
      </c>
      <c r="H181" s="50">
        <f t="shared" si="10"/>
        <v>8.8013318534961158</v>
      </c>
      <c r="I181" s="49">
        <f>VLOOKUP($A181,'Data shares'!$C:$FB,66)</f>
        <v>183718300</v>
      </c>
      <c r="J181" s="49">
        <f>VLOOKUP($A181,'Data shares'!$C:$FB,67)</f>
        <v>139702800</v>
      </c>
      <c r="K181" s="50">
        <f t="shared" si="11"/>
        <v>23.95814679321548</v>
      </c>
      <c r="L181" s="50">
        <f>VLOOKUP($A181,'Data shares'!$C:$FB,118)</f>
        <v>0.5</v>
      </c>
      <c r="M181" s="50">
        <f>VLOOKUP($A181,'Data shares'!$C:$FB,119)</f>
        <v>0.5</v>
      </c>
      <c r="N181" s="50">
        <f>VLOOKUP($A181,'Data shares'!$C:$FB,121)*100</f>
        <v>0</v>
      </c>
      <c r="O181" s="50">
        <f>VLOOKUP($A181,'Data shares'!$C:$FB,124)</f>
        <v>0.5</v>
      </c>
      <c r="P181" s="50">
        <f>VLOOKUP($A181,'Data shares'!$C:$FB,125)</f>
        <v>0.38</v>
      </c>
      <c r="Q181" s="50">
        <f>VLOOKUP($A181,'Data shares'!$C:$FB,127)*100</f>
        <v>31.580000000000002</v>
      </c>
    </row>
    <row r="182" spans="1:17" x14ac:dyDescent="0.25">
      <c r="A182" s="97" t="str">
        <f>'Data Vlaue (Cr)'!C177</f>
        <v>SAMMAANCAP</v>
      </c>
      <c r="B182" s="140">
        <f>VLOOKUP($A182,'Data shares'!$C:$FB,7)</f>
        <v>159.94</v>
      </c>
      <c r="C182" s="140">
        <f>VLOOKUP($A182,'Data shares'!$C:$FB,3)</f>
        <v>161.32</v>
      </c>
      <c r="D182" s="140">
        <f>VLOOKUP($A182,'Data shares'!$C:$FB,4)</f>
        <v>166.04</v>
      </c>
      <c r="E182" s="50">
        <f t="shared" si="9"/>
        <v>-2.8426885087930613</v>
      </c>
      <c r="F182" s="49">
        <f>VLOOKUP($A182,'Data shares'!$C:$FB,98)</f>
        <v>154167900</v>
      </c>
      <c r="G182" s="49">
        <f>VLOOKUP($A182,'Data shares'!$C:$FB,99)</f>
        <v>120167800</v>
      </c>
      <c r="H182" s="50">
        <f t="shared" si="10"/>
        <v>28.293852429685824</v>
      </c>
      <c r="I182" s="49">
        <f>VLOOKUP($A182,'Data shares'!$C:$FB,66)</f>
        <v>211921200</v>
      </c>
      <c r="J182" s="49">
        <f>VLOOKUP($A182,'Data shares'!$C:$FB,67)</f>
        <v>11240200</v>
      </c>
      <c r="K182" s="50">
        <f t="shared" si="11"/>
        <v>94.69604739875011</v>
      </c>
      <c r="L182" s="50">
        <f>VLOOKUP($A182,'Data shares'!$C:$FB,118)</f>
        <v>1.04</v>
      </c>
      <c r="M182" s="50">
        <f>VLOOKUP($A182,'Data shares'!$C:$FB,119)</f>
        <v>0.94</v>
      </c>
      <c r="N182" s="50">
        <f>VLOOKUP($A182,'Data shares'!$C:$FB,121)*100</f>
        <v>10.639999999999999</v>
      </c>
      <c r="O182" s="50">
        <f>VLOOKUP($A182,'Data shares'!$C:$FB,124)</f>
        <v>0.7</v>
      </c>
      <c r="P182" s="50">
        <f>VLOOKUP($A182,'Data shares'!$C:$FB,125)</f>
        <v>0.25</v>
      </c>
      <c r="Q182" s="50">
        <f>VLOOKUP($A182,'Data shares'!$C:$FB,127)*100</f>
        <v>180</v>
      </c>
    </row>
    <row r="183" spans="1:17" x14ac:dyDescent="0.25">
      <c r="A183" s="97" t="str">
        <f>'Data Vlaue (Cr)'!C178</f>
        <v>SBICARD</v>
      </c>
      <c r="B183" s="140">
        <f>VLOOKUP($A183,'Data shares'!$C:$FB,7)</f>
        <v>902.6</v>
      </c>
      <c r="C183" s="140">
        <f>VLOOKUP($A183,'Data shares'!$C:$FB,3)</f>
        <v>889.95</v>
      </c>
      <c r="D183" s="140">
        <f>VLOOKUP($A183,'Data shares'!$C:$FB,4)</f>
        <v>866.3</v>
      </c>
      <c r="E183" s="50">
        <f>(C183-D183)/D183*100</f>
        <v>2.7300011543345368</v>
      </c>
      <c r="F183" s="49">
        <f>VLOOKUP($A183,'Data shares'!$C:$FB,98)</f>
        <v>27011200</v>
      </c>
      <c r="G183" s="49">
        <f>VLOOKUP($A183,'Data shares'!$C:$FB,99)</f>
        <v>25317600</v>
      </c>
      <c r="H183" s="50">
        <f>(F183-G183)/G183*100</f>
        <v>6.6894176383227482</v>
      </c>
      <c r="I183" s="49">
        <f>VLOOKUP($A183,'Data shares'!$C:$FB,66)</f>
        <v>29335200</v>
      </c>
      <c r="J183" s="49">
        <f>VLOOKUP($A183,'Data shares'!$C:$FB,67)</f>
        <v>13445600</v>
      </c>
      <c r="K183" s="50">
        <f>(I183-J183)/I183*100</f>
        <v>54.165644004472448</v>
      </c>
      <c r="L183" s="50">
        <f>VLOOKUP($A183,'Data shares'!$C:$FB,118)</f>
        <v>0.6</v>
      </c>
      <c r="M183" s="50">
        <f>VLOOKUP($A183,'Data shares'!$C:$FB,119)</f>
        <v>0.51</v>
      </c>
      <c r="N183" s="50">
        <f>VLOOKUP($A183,'Data shares'!$C:$FB,121)*100</f>
        <v>17.649999999999999</v>
      </c>
      <c r="O183" s="50">
        <f>VLOOKUP($A183,'Data shares'!$C:$FB,124)</f>
        <v>0.37</v>
      </c>
      <c r="P183" s="50">
        <f>VLOOKUP($A183,'Data shares'!$C:$FB,125)</f>
        <v>0.3</v>
      </c>
      <c r="Q183" s="50">
        <f>VLOOKUP($A183,'Data shares'!$C:$FB,127)*100</f>
        <v>23.330000000000002</v>
      </c>
    </row>
    <row r="184" spans="1:17" x14ac:dyDescent="0.25">
      <c r="A184" s="97" t="str">
        <f>'Data Vlaue (Cr)'!C179</f>
        <v>SBILIFE</v>
      </c>
      <c r="B184" s="140">
        <f>VLOOKUP($A184,'Data shares'!$C:$FB,7)</f>
        <v>1770.9</v>
      </c>
      <c r="C184" s="140">
        <f>VLOOKUP($A184,'Data shares'!$C:$FB,3)</f>
        <v>1774.3</v>
      </c>
      <c r="D184" s="140">
        <f>VLOOKUP($A184,'Data shares'!$C:$FB,4)</f>
        <v>1791.3</v>
      </c>
      <c r="E184" s="50">
        <f t="shared" ref="E184:E189" si="12">(C184-D184)/D184*100</f>
        <v>-0.94903142968793608</v>
      </c>
      <c r="F184" s="49">
        <f>VLOOKUP($A184,'Data shares'!$C:$FB,98)</f>
        <v>9271875</v>
      </c>
      <c r="G184" s="49">
        <f>VLOOKUP($A184,'Data shares'!$C:$FB,99)</f>
        <v>9151125</v>
      </c>
      <c r="H184" s="50">
        <f t="shared" ref="H184:H189" si="13">(F184-G184)/G184*100</f>
        <v>1.3195098963242224</v>
      </c>
      <c r="I184" s="49">
        <f>VLOOKUP($A184,'Data shares'!$C:$FB,66)</f>
        <v>4415250</v>
      </c>
      <c r="J184" s="49">
        <f>VLOOKUP($A184,'Data shares'!$C:$FB,67)</f>
        <v>4912125</v>
      </c>
      <c r="K184" s="50">
        <f t="shared" ref="K184:K189" si="14">(I184-J184)/I184*100</f>
        <v>-11.253609648377781</v>
      </c>
      <c r="L184" s="50">
        <f>VLOOKUP($A184,'Data shares'!$C:$FB,118)</f>
        <v>0.4</v>
      </c>
      <c r="M184" s="50">
        <f>VLOOKUP($A184,'Data shares'!$C:$FB,119)</f>
        <v>0.41</v>
      </c>
      <c r="N184" s="50">
        <f>VLOOKUP($A184,'Data shares'!$C:$FB,121)*100</f>
        <v>-2.44</v>
      </c>
      <c r="O184" s="50">
        <f>VLOOKUP($A184,'Data shares'!$C:$FB,124)</f>
        <v>0.46</v>
      </c>
      <c r="P184" s="50">
        <f>VLOOKUP($A184,'Data shares'!$C:$FB,125)</f>
        <v>0.3</v>
      </c>
      <c r="Q184" s="50">
        <f>VLOOKUP($A184,'Data shares'!$C:$FB,127)*100</f>
        <v>53.33</v>
      </c>
    </row>
    <row r="185" spans="1:17" x14ac:dyDescent="0.25">
      <c r="A185" s="97" t="str">
        <f>'Data Vlaue (Cr)'!C180</f>
        <v>SBIN</v>
      </c>
      <c r="B185" s="140">
        <f>VLOOKUP($A185,'Data shares'!$C:$FB,7)</f>
        <v>874.05</v>
      </c>
      <c r="C185" s="140">
        <f>VLOOKUP($A185,'Data shares'!$C:$FB,3)</f>
        <v>877.75</v>
      </c>
      <c r="D185" s="140">
        <f>VLOOKUP($A185,'Data shares'!$C:$FB,4)</f>
        <v>872.85</v>
      </c>
      <c r="E185" s="50">
        <f t="shared" si="12"/>
        <v>0.5613793893567024</v>
      </c>
      <c r="F185" s="49">
        <f>VLOOKUP($A185,'Data shares'!$C:$FB,98)</f>
        <v>159775500</v>
      </c>
      <c r="G185" s="49">
        <f>VLOOKUP($A185,'Data shares'!$C:$FB,99)</f>
        <v>156439500</v>
      </c>
      <c r="H185" s="50">
        <f t="shared" si="13"/>
        <v>2.1324537600797755</v>
      </c>
      <c r="I185" s="49">
        <f>VLOOKUP($A185,'Data shares'!$C:$FB,66)</f>
        <v>115168500</v>
      </c>
      <c r="J185" s="49">
        <f>VLOOKUP($A185,'Data shares'!$C:$FB,67)</f>
        <v>115455750</v>
      </c>
      <c r="K185" s="50">
        <f t="shared" si="14"/>
        <v>-0.24941715833756628</v>
      </c>
      <c r="L185" s="50">
        <f>VLOOKUP($A185,'Data shares'!$C:$FB,118)</f>
        <v>0.63</v>
      </c>
      <c r="M185" s="50">
        <f>VLOOKUP($A185,'Data shares'!$C:$FB,119)</f>
        <v>0.61</v>
      </c>
      <c r="N185" s="50">
        <f>VLOOKUP($A185,'Data shares'!$C:$FB,121)*100</f>
        <v>3.2800000000000002</v>
      </c>
      <c r="O185" s="50">
        <f>VLOOKUP($A185,'Data shares'!$C:$FB,124)</f>
        <v>0.56999999999999995</v>
      </c>
      <c r="P185" s="50">
        <f>VLOOKUP($A185,'Data shares'!$C:$FB,125)</f>
        <v>0.63</v>
      </c>
      <c r="Q185" s="50">
        <f>VLOOKUP($A185,'Data shares'!$C:$FB,127)*100</f>
        <v>-9.5200000000000014</v>
      </c>
    </row>
    <row r="186" spans="1:17" x14ac:dyDescent="0.25">
      <c r="A186" s="97" t="str">
        <f>'Data Vlaue (Cr)'!C181</f>
        <v>SHREECEM</v>
      </c>
      <c r="B186" s="140">
        <f>VLOOKUP($A186,'Data shares'!$C:$FB,7)</f>
        <v>29295</v>
      </c>
      <c r="C186" s="140">
        <f>VLOOKUP($A186,'Data shares'!$C:$FB,3)</f>
        <v>29460</v>
      </c>
      <c r="D186" s="140">
        <f>VLOOKUP($A186,'Data shares'!$C:$FB,4)</f>
        <v>29270</v>
      </c>
      <c r="E186" s="50">
        <f t="shared" si="12"/>
        <v>0.64912880081995217</v>
      </c>
      <c r="F186" s="49">
        <f>VLOOKUP($A186,'Data shares'!$C:$FB,98)</f>
        <v>271550</v>
      </c>
      <c r="G186" s="49">
        <f>VLOOKUP($A186,'Data shares'!$C:$FB,99)</f>
        <v>265650</v>
      </c>
      <c r="H186" s="50">
        <f t="shared" si="13"/>
        <v>2.220967438358743</v>
      </c>
      <c r="I186" s="49">
        <f>VLOOKUP($A186,'Data shares'!$C:$FB,66)</f>
        <v>89425</v>
      </c>
      <c r="J186" s="49">
        <f>VLOOKUP($A186,'Data shares'!$C:$FB,67)</f>
        <v>39550</v>
      </c>
      <c r="K186" s="50">
        <f t="shared" si="14"/>
        <v>55.772994129158512</v>
      </c>
      <c r="L186" s="50">
        <f>VLOOKUP($A186,'Data shares'!$C:$FB,118)</f>
        <v>0.71</v>
      </c>
      <c r="M186" s="50">
        <f>VLOOKUP($A186,'Data shares'!$C:$FB,119)</f>
        <v>0.74</v>
      </c>
      <c r="N186" s="50">
        <f>VLOOKUP($A186,'Data shares'!$C:$FB,121)*100</f>
        <v>-4.05</v>
      </c>
      <c r="O186" s="50">
        <f>VLOOKUP($A186,'Data shares'!$C:$FB,124)</f>
        <v>0.3</v>
      </c>
      <c r="P186" s="50">
        <f>VLOOKUP($A186,'Data shares'!$C:$FB,125)</f>
        <v>0.37</v>
      </c>
      <c r="Q186" s="50">
        <f>VLOOKUP($A186,'Data shares'!$C:$FB,127)*100</f>
        <v>-18.920000000000002</v>
      </c>
    </row>
    <row r="187" spans="1:17" x14ac:dyDescent="0.25">
      <c r="A187" s="97" t="str">
        <f>'Data Vlaue (Cr)'!C182</f>
        <v>SHRIRAMFIN</v>
      </c>
      <c r="B187" s="140">
        <f>VLOOKUP($A187,'Data shares'!$C:$FB,7)</f>
        <v>671.45</v>
      </c>
      <c r="C187" s="140">
        <f>VLOOKUP($A187,'Data shares'!$C:$FB,3)</f>
        <v>674.7</v>
      </c>
      <c r="D187" s="140">
        <f>VLOOKUP($A187,'Data shares'!$C:$FB,4)</f>
        <v>650.4</v>
      </c>
      <c r="E187" s="50">
        <f t="shared" si="12"/>
        <v>3.7361623616236268</v>
      </c>
      <c r="F187" s="49">
        <f>VLOOKUP($A187,'Data shares'!$C:$FB,98)</f>
        <v>64137150</v>
      </c>
      <c r="G187" s="49">
        <f>VLOOKUP($A187,'Data shares'!$C:$FB,99)</f>
        <v>60238200</v>
      </c>
      <c r="H187" s="50">
        <f t="shared" si="13"/>
        <v>6.4725539607757208</v>
      </c>
      <c r="I187" s="49">
        <f>VLOOKUP($A187,'Data shares'!$C:$FB,66)</f>
        <v>67993200</v>
      </c>
      <c r="J187" s="49">
        <f>VLOOKUP($A187,'Data shares'!$C:$FB,67)</f>
        <v>26391750</v>
      </c>
      <c r="K187" s="50">
        <f t="shared" si="14"/>
        <v>61.184721413317803</v>
      </c>
      <c r="L187" s="50">
        <f>VLOOKUP($A187,'Data shares'!$C:$FB,118)</f>
        <v>0.88</v>
      </c>
      <c r="M187" s="50">
        <f>VLOOKUP($A187,'Data shares'!$C:$FB,119)</f>
        <v>0.81</v>
      </c>
      <c r="N187" s="50">
        <f>VLOOKUP($A187,'Data shares'!$C:$FB,121)*100</f>
        <v>8.64</v>
      </c>
      <c r="O187" s="50">
        <f>VLOOKUP($A187,'Data shares'!$C:$FB,124)</f>
        <v>0.44</v>
      </c>
      <c r="P187" s="50">
        <f>VLOOKUP($A187,'Data shares'!$C:$FB,125)</f>
        <v>0.56999999999999995</v>
      </c>
      <c r="Q187" s="50">
        <f>VLOOKUP($A187,'Data shares'!$C:$FB,127)*100</f>
        <v>-22.81</v>
      </c>
    </row>
    <row r="188" spans="1:17" x14ac:dyDescent="0.25">
      <c r="A188" s="97" t="str">
        <f>'Data Vlaue (Cr)'!C183</f>
        <v>SIEMENS</v>
      </c>
      <c r="B188" s="140">
        <f>VLOOKUP($A188,'Data shares'!$C:$FB,7)</f>
        <v>3251.7</v>
      </c>
      <c r="C188" s="140">
        <f>VLOOKUP($A188,'Data shares'!$C:$FB,3)</f>
        <v>3269</v>
      </c>
      <c r="D188" s="140">
        <f>VLOOKUP($A188,'Data shares'!$C:$FB,4)</f>
        <v>3183.6</v>
      </c>
      <c r="E188" s="50">
        <f t="shared" si="12"/>
        <v>2.6824978012313134</v>
      </c>
      <c r="F188" s="49">
        <f>VLOOKUP($A188,'Data shares'!$C:$FB,98)</f>
        <v>3360000</v>
      </c>
      <c r="G188" s="49">
        <f>VLOOKUP($A188,'Data shares'!$C:$FB,99)</f>
        <v>3221125</v>
      </c>
      <c r="H188" s="50">
        <f t="shared" si="13"/>
        <v>4.3113818929721752</v>
      </c>
      <c r="I188" s="49">
        <f>VLOOKUP($A188,'Data shares'!$C:$FB,66)</f>
        <v>3862750</v>
      </c>
      <c r="J188" s="49">
        <f>VLOOKUP($A188,'Data shares'!$C:$FB,67)</f>
        <v>1304000</v>
      </c>
      <c r="K188" s="50">
        <f t="shared" si="14"/>
        <v>66.241667206006085</v>
      </c>
      <c r="L188" s="50">
        <f>VLOOKUP($A188,'Data shares'!$C:$FB,118)</f>
        <v>0.55000000000000004</v>
      </c>
      <c r="M188" s="50">
        <f>VLOOKUP($A188,'Data shares'!$C:$FB,119)</f>
        <v>0.45</v>
      </c>
      <c r="N188" s="50">
        <f>VLOOKUP($A188,'Data shares'!$C:$FB,121)*100</f>
        <v>22.220000000000002</v>
      </c>
      <c r="O188" s="50">
        <f>VLOOKUP($A188,'Data shares'!$C:$FB,124)</f>
        <v>0.31</v>
      </c>
      <c r="P188" s="50">
        <f>VLOOKUP($A188,'Data shares'!$C:$FB,125)</f>
        <v>0.4</v>
      </c>
      <c r="Q188" s="50">
        <f>VLOOKUP($A188,'Data shares'!$C:$FB,127)*100</f>
        <v>-22.5</v>
      </c>
    </row>
    <row r="189" spans="1:17" x14ac:dyDescent="0.25">
      <c r="A189" s="97" t="str">
        <f>'Data Vlaue (Cr)'!C216</f>
        <v>ZYDUSLIFE</v>
      </c>
      <c r="B189" s="140">
        <f>VLOOKUP($A189,'Data shares'!$C:$FB,7)</f>
        <v>994.65</v>
      </c>
      <c r="C189" s="140">
        <f>VLOOKUP($A189,'Data shares'!$C:$FB,3)</f>
        <v>998.35</v>
      </c>
      <c r="D189" s="140">
        <f>VLOOKUP($A189,'Data shares'!$C:$FB,4)</f>
        <v>994.45</v>
      </c>
      <c r="E189" s="50">
        <f t="shared" si="12"/>
        <v>0.39217658001910372</v>
      </c>
      <c r="F189" s="49">
        <f>VLOOKUP($A189,'Data shares'!$C:$FB,98)</f>
        <v>11953800</v>
      </c>
      <c r="G189" s="49">
        <f>VLOOKUP($A189,'Data shares'!$C:$FB,99)</f>
        <v>11613600</v>
      </c>
      <c r="H189" s="50">
        <f t="shared" si="13"/>
        <v>2.9293242405455673</v>
      </c>
      <c r="I189" s="49">
        <f>VLOOKUP($A189,'Data shares'!$C:$FB,66)</f>
        <v>3319200</v>
      </c>
      <c r="J189" s="49">
        <f>VLOOKUP($A189,'Data shares'!$C:$FB,67)</f>
        <v>2979000</v>
      </c>
      <c r="K189" s="50">
        <f t="shared" si="14"/>
        <v>10.249457700650758</v>
      </c>
      <c r="L189" s="50">
        <f>VLOOKUP($A189,'Data shares'!$C:$FB,118)</f>
        <v>0.7</v>
      </c>
      <c r="M189" s="50">
        <f>VLOOKUP($A189,'Data shares'!$C:$FB,119)</f>
        <v>0.81</v>
      </c>
      <c r="N189" s="50">
        <f>VLOOKUP($A189,'Data shares'!$C:$FB,121)*100</f>
        <v>-13.58</v>
      </c>
      <c r="O189" s="50">
        <f>VLOOKUP($A189,'Data shares'!$C:$FB,124)</f>
        <v>0.38</v>
      </c>
      <c r="P189" s="50">
        <f>VLOOKUP($A189,'Data shares'!$C:$FB,125)</f>
        <v>0.83</v>
      </c>
      <c r="Q189" s="50">
        <f>VLOOKUP($A189,'Data shares'!$C:$FB,127)*100</f>
        <v>-54.22</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57" t="s">
        <v>391</v>
      </c>
      <c r="B231" s="257"/>
      <c r="C231" s="257"/>
      <c r="D231" s="257"/>
      <c r="E231" s="257"/>
      <c r="F231" s="113">
        <f>SUM(F7:F172)</f>
        <v>19519303565</v>
      </c>
      <c r="G231" s="113">
        <f>SUM(G7:G172)</f>
        <v>18450173350</v>
      </c>
      <c r="H231" s="114">
        <f>(F231-G231)/G231*100</f>
        <v>5.794689267784034</v>
      </c>
      <c r="I231" s="113">
        <f>SUM(I7:I172)</f>
        <v>22741874912</v>
      </c>
      <c r="J231" s="113">
        <f>SUM(J7:J172)</f>
        <v>15289718784</v>
      </c>
      <c r="K231" s="114">
        <f>(I231-J231)/J231*100</f>
        <v>48.739654622021853</v>
      </c>
      <c r="L231" s="113"/>
      <c r="M231" s="113"/>
      <c r="N231" s="113"/>
      <c r="O231" s="113"/>
      <c r="P231" s="257"/>
      <c r="Q231" s="257"/>
    </row>
    <row r="232" spans="1:17" s="64" customFormat="1" x14ac:dyDescent="0.25">
      <c r="A232" s="257" t="s">
        <v>398</v>
      </c>
      <c r="B232" s="257"/>
      <c r="C232" s="257"/>
      <c r="D232" s="257"/>
      <c r="E232" s="257"/>
      <c r="F232" s="113">
        <f>F231/10000000</f>
        <v>1951.9303565</v>
      </c>
      <c r="G232" s="113">
        <f>G231/10000000</f>
        <v>1845.017335</v>
      </c>
      <c r="H232" s="114">
        <f>(F232-G232)/G232*100</f>
        <v>5.7946892677840349</v>
      </c>
      <c r="I232" s="113">
        <f>I231/10000000</f>
        <v>2274.1874911999998</v>
      </c>
      <c r="J232" s="113">
        <f>J231/10000000</f>
        <v>1528.9718783999999</v>
      </c>
      <c r="K232" s="114">
        <f>(I232-J232)/J232*100</f>
        <v>48.739654622021853</v>
      </c>
      <c r="L232" s="113"/>
      <c r="M232" s="113"/>
      <c r="N232" s="113"/>
      <c r="O232" s="113"/>
      <c r="P232" s="257"/>
      <c r="Q232" s="257"/>
    </row>
  </sheetData>
  <mergeCells count="15">
    <mergeCell ref="A3:Q3"/>
    <mergeCell ref="A4:A5"/>
    <mergeCell ref="B4:E4"/>
    <mergeCell ref="F4:H4"/>
    <mergeCell ref="I4:K4"/>
    <mergeCell ref="L4:Q4"/>
    <mergeCell ref="A232:E232"/>
    <mergeCell ref="P231:Q231"/>
    <mergeCell ref="P232:Q232"/>
    <mergeCell ref="A231:E231"/>
    <mergeCell ref="O5:Q5"/>
    <mergeCell ref="C5:E5"/>
    <mergeCell ref="F5:H5"/>
    <mergeCell ref="I5:K5"/>
    <mergeCell ref="L5:N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P16" sqref="P16"/>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(Value)'!H153</f>
        <v>1549886</v>
      </c>
      <c r="C3" s="159">
        <f>'OI(Volume)'!G149</f>
        <v>1.8100000000000002E-2</v>
      </c>
      <c r="D3" s="153">
        <f>'Snapshot (Value)'!P149</f>
        <v>0.49</v>
      </c>
      <c r="E3" s="153">
        <f>'Snapshot (Value)'!R149</f>
        <v>0.33</v>
      </c>
      <c r="F3" s="153">
        <f>IV!E149</f>
        <v>15.25</v>
      </c>
      <c r="G3" s="153">
        <f>IV!B149</f>
        <v>10.210000000000001</v>
      </c>
      <c r="H3" s="153">
        <f>'Snapshot (Value)'!C153</f>
        <v>25077.65</v>
      </c>
      <c r="I3" s="153">
        <f>'Snapshot (Value)'!D153</f>
        <v>25185.4</v>
      </c>
      <c r="J3" s="153">
        <f>'Snapshot (Value)'!E153</f>
        <v>25006.6</v>
      </c>
      <c r="K3" s="153">
        <f>(I3-H3)</f>
        <v>107.75</v>
      </c>
      <c r="L3" s="232">
        <f>'Data Vlaue (Cr)'!V144</f>
        <v>25472.5</v>
      </c>
    </row>
    <row r="4" spans="1:12" x14ac:dyDescent="0.25">
      <c r="A4" t="s">
        <v>464</v>
      </c>
      <c r="B4" s="154">
        <f>'Snapshot (Value)'!H36</f>
        <v>192966</v>
      </c>
      <c r="C4" s="159">
        <f>'OI(Volume)'!G32</f>
        <v>-3.3300000000000003E-2</v>
      </c>
      <c r="D4" s="153">
        <f>'Snapshot (Value)'!P36</f>
        <v>1.1299999999999999</v>
      </c>
      <c r="E4" s="153">
        <f>'Snapshot (Value)'!R36</f>
        <v>0.88</v>
      </c>
      <c r="F4" s="153">
        <f>IV!E32</f>
        <v>17.45</v>
      </c>
      <c r="G4" s="153">
        <f>IV!B32</f>
        <v>11.46</v>
      </c>
      <c r="H4" s="153">
        <f>'Snapshot (Value)'!C36</f>
        <v>56104.85</v>
      </c>
      <c r="I4" s="153">
        <f>'Snapshot (Value)'!D36</f>
        <v>56297.8</v>
      </c>
      <c r="J4" s="153">
        <f>'Snapshot (Value)'!E36</f>
        <v>55854.2</v>
      </c>
      <c r="K4" s="153">
        <f>(I4-H4)</f>
        <v>192.95000000000437</v>
      </c>
      <c r="L4" s="232">
        <f>'Data Vlaue (Cr)'!V27</f>
        <v>56943.4</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U8" sqref="U8"/>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39" t="s">
        <v>393</v>
      </c>
      <c r="B1" s="336" t="s">
        <v>633</v>
      </c>
      <c r="C1" s="337"/>
      <c r="D1" s="338"/>
      <c r="E1" s="333" t="s">
        <v>634</v>
      </c>
      <c r="F1" s="334"/>
      <c r="G1" s="335"/>
      <c r="H1" s="330" t="s">
        <v>635</v>
      </c>
      <c r="I1" s="331"/>
      <c r="J1" s="332"/>
      <c r="K1" s="327" t="s">
        <v>636</v>
      </c>
      <c r="L1" s="328"/>
      <c r="M1" s="329"/>
    </row>
    <row r="2" spans="1:13" ht="26.25" thickBot="1" x14ac:dyDescent="0.25">
      <c r="A2" s="340"/>
      <c r="B2" s="201" t="s">
        <v>637</v>
      </c>
      <c r="C2" s="201" t="s">
        <v>638</v>
      </c>
      <c r="D2" s="201" t="s">
        <v>369</v>
      </c>
      <c r="E2" s="202" t="s">
        <v>637</v>
      </c>
      <c r="F2" s="202" t="s">
        <v>638</v>
      </c>
      <c r="G2" s="202" t="s">
        <v>369</v>
      </c>
      <c r="H2" s="203" t="s">
        <v>637</v>
      </c>
      <c r="I2" s="203" t="s">
        <v>638</v>
      </c>
      <c r="J2" s="203" t="s">
        <v>369</v>
      </c>
      <c r="K2" s="204" t="s">
        <v>637</v>
      </c>
      <c r="L2" s="204" t="s">
        <v>638</v>
      </c>
      <c r="M2" s="204" t="s">
        <v>369</v>
      </c>
    </row>
    <row r="3" spans="1:13" x14ac:dyDescent="0.2">
      <c r="A3" s="205" t="s">
        <v>639</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640</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641</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39" t="s">
        <v>642</v>
      </c>
      <c r="B6" s="336" t="s">
        <v>633</v>
      </c>
      <c r="C6" s="337"/>
      <c r="D6" s="338"/>
      <c r="E6" s="333" t="s">
        <v>634</v>
      </c>
      <c r="F6" s="334"/>
      <c r="G6" s="335"/>
      <c r="H6" s="330" t="s">
        <v>635</v>
      </c>
      <c r="I6" s="331"/>
      <c r="J6" s="332"/>
      <c r="K6" s="327" t="s">
        <v>636</v>
      </c>
      <c r="L6" s="328"/>
      <c r="M6" s="329"/>
    </row>
    <row r="7" spans="1:13" ht="26.25" thickBot="1" x14ac:dyDescent="0.25">
      <c r="A7" s="340"/>
      <c r="B7" s="201" t="s">
        <v>637</v>
      </c>
      <c r="C7" s="201" t="s">
        <v>638</v>
      </c>
      <c r="D7" s="201" t="s">
        <v>369</v>
      </c>
      <c r="E7" s="202" t="s">
        <v>637</v>
      </c>
      <c r="F7" s="202" t="s">
        <v>638</v>
      </c>
      <c r="G7" s="202" t="s">
        <v>369</v>
      </c>
      <c r="H7" s="203" t="s">
        <v>637</v>
      </c>
      <c r="I7" s="203" t="s">
        <v>638</v>
      </c>
      <c r="J7" s="203" t="s">
        <v>369</v>
      </c>
      <c r="K7" s="204" t="s">
        <v>637</v>
      </c>
      <c r="L7" s="204" t="s">
        <v>638</v>
      </c>
      <c r="M7" s="204" t="s">
        <v>369</v>
      </c>
    </row>
    <row r="8" spans="1:13" x14ac:dyDescent="0.2">
      <c r="A8" s="205" t="s">
        <v>639</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640</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641</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39" t="s">
        <v>643</v>
      </c>
      <c r="B11" s="336" t="s">
        <v>633</v>
      </c>
      <c r="C11" s="337"/>
      <c r="D11" s="338"/>
      <c r="E11" s="333" t="s">
        <v>634</v>
      </c>
      <c r="F11" s="334"/>
      <c r="G11" s="335"/>
      <c r="H11" s="330" t="s">
        <v>635</v>
      </c>
      <c r="I11" s="331"/>
      <c r="J11" s="332"/>
      <c r="K11" s="327" t="s">
        <v>636</v>
      </c>
      <c r="L11" s="328"/>
      <c r="M11" s="329"/>
    </row>
    <row r="12" spans="1:13" ht="26.25" thickBot="1" x14ac:dyDescent="0.25">
      <c r="A12" s="340"/>
      <c r="B12" s="201" t="s">
        <v>637</v>
      </c>
      <c r="C12" s="201" t="s">
        <v>638</v>
      </c>
      <c r="D12" s="201" t="s">
        <v>369</v>
      </c>
      <c r="E12" s="202" t="s">
        <v>637</v>
      </c>
      <c r="F12" s="202" t="s">
        <v>638</v>
      </c>
      <c r="G12" s="202" t="s">
        <v>369</v>
      </c>
      <c r="H12" s="203" t="s">
        <v>637</v>
      </c>
      <c r="I12" s="203" t="s">
        <v>638</v>
      </c>
      <c r="J12" s="203" t="s">
        <v>369</v>
      </c>
      <c r="K12" s="204" t="s">
        <v>637</v>
      </c>
      <c r="L12" s="204" t="s">
        <v>638</v>
      </c>
      <c r="M12" s="204" t="s">
        <v>369</v>
      </c>
    </row>
    <row r="13" spans="1:13" x14ac:dyDescent="0.2">
      <c r="A13" s="205" t="s">
        <v>639</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640</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641</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39" t="s">
        <v>395</v>
      </c>
      <c r="B16" s="336" t="s">
        <v>633</v>
      </c>
      <c r="C16" s="337"/>
      <c r="D16" s="338"/>
      <c r="E16" s="333" t="s">
        <v>634</v>
      </c>
      <c r="F16" s="334"/>
      <c r="G16" s="335"/>
      <c r="H16" s="330" t="s">
        <v>635</v>
      </c>
      <c r="I16" s="331"/>
      <c r="J16" s="332"/>
      <c r="K16" s="327" t="s">
        <v>636</v>
      </c>
      <c r="L16" s="328"/>
      <c r="M16" s="329"/>
    </row>
    <row r="17" spans="1:13" ht="26.25" thickBot="1" x14ac:dyDescent="0.25">
      <c r="A17" s="340"/>
      <c r="B17" s="201" t="s">
        <v>637</v>
      </c>
      <c r="C17" s="201" t="s">
        <v>638</v>
      </c>
      <c r="D17" s="201" t="s">
        <v>369</v>
      </c>
      <c r="E17" s="202" t="s">
        <v>637</v>
      </c>
      <c r="F17" s="202" t="s">
        <v>638</v>
      </c>
      <c r="G17" s="202" t="s">
        <v>369</v>
      </c>
      <c r="H17" s="203" t="s">
        <v>637</v>
      </c>
      <c r="I17" s="203" t="s">
        <v>638</v>
      </c>
      <c r="J17" s="203" t="s">
        <v>369</v>
      </c>
      <c r="K17" s="204" t="s">
        <v>637</v>
      </c>
      <c r="L17" s="204" t="s">
        <v>638</v>
      </c>
      <c r="M17" s="204" t="s">
        <v>369</v>
      </c>
    </row>
    <row r="18" spans="1:13" x14ac:dyDescent="0.2">
      <c r="A18" s="205" t="s">
        <v>639</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640</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641</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39" t="s">
        <v>644</v>
      </c>
      <c r="B21" s="336" t="s">
        <v>633</v>
      </c>
      <c r="C21" s="337"/>
      <c r="D21" s="338"/>
      <c r="E21" s="333" t="s">
        <v>634</v>
      </c>
      <c r="F21" s="334"/>
      <c r="G21" s="335"/>
      <c r="H21" s="330" t="s">
        <v>635</v>
      </c>
      <c r="I21" s="331"/>
      <c r="J21" s="332"/>
      <c r="K21" s="327" t="s">
        <v>636</v>
      </c>
      <c r="L21" s="328"/>
      <c r="M21" s="329"/>
    </row>
    <row r="22" spans="1:13" ht="26.25" thickBot="1" x14ac:dyDescent="0.25">
      <c r="A22" s="340"/>
      <c r="B22" s="201" t="s">
        <v>637</v>
      </c>
      <c r="C22" s="201" t="s">
        <v>638</v>
      </c>
      <c r="D22" s="201" t="s">
        <v>369</v>
      </c>
      <c r="E22" s="202" t="s">
        <v>637</v>
      </c>
      <c r="F22" s="202" t="s">
        <v>638</v>
      </c>
      <c r="G22" s="202" t="s">
        <v>369</v>
      </c>
      <c r="H22" s="203" t="s">
        <v>637</v>
      </c>
      <c r="I22" s="203" t="s">
        <v>638</v>
      </c>
      <c r="J22" s="203" t="s">
        <v>369</v>
      </c>
      <c r="K22" s="204" t="s">
        <v>637</v>
      </c>
      <c r="L22" s="204" t="s">
        <v>638</v>
      </c>
      <c r="M22" s="204" t="s">
        <v>369</v>
      </c>
    </row>
    <row r="23" spans="1:13" x14ac:dyDescent="0.2">
      <c r="A23" s="205" t="s">
        <v>639</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640</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641</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39" t="s">
        <v>645</v>
      </c>
      <c r="B26" s="336" t="s">
        <v>633</v>
      </c>
      <c r="C26" s="337"/>
      <c r="D26" s="338"/>
      <c r="E26" s="333" t="s">
        <v>634</v>
      </c>
      <c r="F26" s="334"/>
      <c r="G26" s="335"/>
      <c r="H26" s="330" t="s">
        <v>635</v>
      </c>
      <c r="I26" s="331"/>
      <c r="J26" s="332"/>
      <c r="K26" s="327" t="s">
        <v>636</v>
      </c>
      <c r="L26" s="328"/>
      <c r="M26" s="329"/>
    </row>
    <row r="27" spans="1:13" ht="26.25" thickBot="1" x14ac:dyDescent="0.25">
      <c r="A27" s="340"/>
      <c r="B27" s="201" t="s">
        <v>637</v>
      </c>
      <c r="C27" s="201" t="s">
        <v>638</v>
      </c>
      <c r="D27" s="201" t="s">
        <v>369</v>
      </c>
      <c r="E27" s="202" t="s">
        <v>637</v>
      </c>
      <c r="F27" s="202" t="s">
        <v>638</v>
      </c>
      <c r="G27" s="202" t="s">
        <v>369</v>
      </c>
      <c r="H27" s="203" t="s">
        <v>637</v>
      </c>
      <c r="I27" s="203" t="s">
        <v>638</v>
      </c>
      <c r="J27" s="203" t="s">
        <v>369</v>
      </c>
      <c r="K27" s="204" t="s">
        <v>637</v>
      </c>
      <c r="L27" s="204" t="s">
        <v>638</v>
      </c>
      <c r="M27" s="204" t="s">
        <v>369</v>
      </c>
    </row>
    <row r="28" spans="1:13" x14ac:dyDescent="0.2">
      <c r="A28" s="205" t="s">
        <v>639</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640</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641</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A1:A2"/>
    <mergeCell ref="B1:D1"/>
    <mergeCell ref="E1:G1"/>
    <mergeCell ref="H1:J1"/>
    <mergeCell ref="K1:M1"/>
    <mergeCell ref="K26:M26"/>
    <mergeCell ref="H26:J26"/>
    <mergeCell ref="E26:G26"/>
    <mergeCell ref="B26:D26"/>
    <mergeCell ref="A26:A27"/>
    <mergeCell ref="B16:D16"/>
    <mergeCell ref="A16:A17"/>
    <mergeCell ref="K21:M21"/>
    <mergeCell ref="H21:J21"/>
    <mergeCell ref="E21:G21"/>
    <mergeCell ref="B21:D21"/>
    <mergeCell ref="A21:A22"/>
    <mergeCell ref="K16:M16"/>
    <mergeCell ref="H16:J16"/>
    <mergeCell ref="E16:G16"/>
    <mergeCell ref="K6:M6"/>
    <mergeCell ref="H6:J6"/>
    <mergeCell ref="E6:G6"/>
    <mergeCell ref="B6:D6"/>
    <mergeCell ref="A6:A7"/>
    <mergeCell ref="K11:M11"/>
    <mergeCell ref="H11:J11"/>
    <mergeCell ref="E11:G11"/>
    <mergeCell ref="B11:D11"/>
    <mergeCell ref="A11:A12"/>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648</v>
      </c>
      <c r="B1" s="216" t="s">
        <v>249</v>
      </c>
      <c r="C1" s="200"/>
      <c r="D1" s="200"/>
    </row>
    <row r="2" spans="1:4" x14ac:dyDescent="0.25">
      <c r="A2" s="217" t="s">
        <v>649</v>
      </c>
      <c r="B2" s="218">
        <f>VLOOKUP($B$1,'Snapshot (Value)'!$A:$S,2,0)</f>
        <v>175</v>
      </c>
      <c r="C2" s="200"/>
      <c r="D2" s="200"/>
    </row>
    <row r="3" spans="1:4" x14ac:dyDescent="0.25">
      <c r="A3" s="217" t="s">
        <v>312</v>
      </c>
      <c r="B3" s="219">
        <f>VLOOKUP($B$1,'Snapshot (Value)'!$A:$S,3,0)</f>
        <v>3737</v>
      </c>
      <c r="C3" s="200"/>
      <c r="D3" s="200"/>
    </row>
    <row r="4" spans="1:4" x14ac:dyDescent="0.25">
      <c r="A4" s="217" t="s">
        <v>320</v>
      </c>
      <c r="B4" s="220">
        <f>VLOOKUP($B$1,'Snapshot (Value)'!$A:$S,6,0)</f>
        <v>16.400000000000091</v>
      </c>
      <c r="C4" s="200"/>
      <c r="D4" s="200"/>
    </row>
    <row r="5" spans="1:4" x14ac:dyDescent="0.25">
      <c r="A5" s="221"/>
      <c r="B5" s="222" t="s">
        <v>650</v>
      </c>
      <c r="C5" s="222" t="s">
        <v>651</v>
      </c>
      <c r="D5" s="222" t="s">
        <v>652</v>
      </c>
    </row>
    <row r="6" spans="1:4" x14ac:dyDescent="0.25">
      <c r="A6" s="217" t="s">
        <v>653</v>
      </c>
      <c r="B6" s="219">
        <f>VLOOKUP($B$1,'Snapshot (Value)'!$A:$S,4,0)</f>
        <v>3753.4</v>
      </c>
      <c r="C6" s="219">
        <f>VLOOKUP($B$1,'Snapshot (Value)'!$A:$S,5,0)</f>
        <v>3751.1</v>
      </c>
      <c r="D6" s="219">
        <f>+(B6/C6-1)*100</f>
        <v>6.1315347498069883E-2</v>
      </c>
    </row>
    <row r="7" spans="1:4" x14ac:dyDescent="0.25">
      <c r="A7" s="217" t="s">
        <v>316</v>
      </c>
      <c r="B7" s="219">
        <f>VLOOKUP($B$1,'Snapshot (Volume)'!$A:$S,12,0)</f>
        <v>0.5</v>
      </c>
      <c r="C7" s="219">
        <f>VLOOKUP($B$1,'Snapshot (Volume)'!$A:$S,13,0)</f>
        <v>0.55000000000000004</v>
      </c>
      <c r="D7" s="219">
        <f>+(B7/C7-1)*100</f>
        <v>-9.0909090909090935</v>
      </c>
    </row>
    <row r="8" spans="1:4" x14ac:dyDescent="0.25">
      <c r="A8" s="217" t="s">
        <v>654</v>
      </c>
      <c r="B8" s="219">
        <f>VLOOKUP($B$1,'Snapshot (Volume)'!$A:$S,15,0)</f>
        <v>0.28000000000000003</v>
      </c>
      <c r="C8" s="219">
        <f>VLOOKUP($B$1,'Snapshot (Volume)'!$A:$S,16,0)</f>
        <v>0.36</v>
      </c>
      <c r="D8" s="219">
        <f>+(B8/C8-1)*100</f>
        <v>-22.222222222222211</v>
      </c>
    </row>
    <row r="9" spans="1:4" x14ac:dyDescent="0.25">
      <c r="A9" s="215" t="s">
        <v>655</v>
      </c>
      <c r="B9" s="222" t="s">
        <v>656</v>
      </c>
      <c r="C9" s="222" t="s">
        <v>369</v>
      </c>
      <c r="D9" s="222" t="s">
        <v>652</v>
      </c>
    </row>
    <row r="10" spans="1:4" x14ac:dyDescent="0.25">
      <c r="A10" s="217" t="s">
        <v>657</v>
      </c>
      <c r="B10" s="219">
        <f>VLOOKUP($B$1,'OI(Value)'!$A:$O,5,0)</f>
        <v>6249</v>
      </c>
      <c r="C10" s="219">
        <f>VLOOKUP($B$1,'OI(Value)'!$A:$O,6,0)</f>
        <v>2</v>
      </c>
      <c r="D10" s="219">
        <f>VLOOKUP($B$1,'OI(Value)'!$A:$O,7,0)*100</f>
        <v>0.03</v>
      </c>
    </row>
    <row r="11" spans="1:4" x14ac:dyDescent="0.25">
      <c r="A11" s="217" t="s">
        <v>658</v>
      </c>
      <c r="B11" s="219">
        <f>VLOOKUP($B$1,'OI(Value)'!$A:$O,8,0)</f>
        <v>1977</v>
      </c>
      <c r="C11" s="219">
        <f>VLOOKUP($B$1,'OI(Value)'!$A:$O,9,0)</f>
        <v>274</v>
      </c>
      <c r="D11" s="219">
        <f>VLOOKUP($B$1,'OI(Value)'!$A:$O,10,0)*100</f>
        <v>16.059999999999999</v>
      </c>
    </row>
    <row r="12" spans="1:4" x14ac:dyDescent="0.25">
      <c r="A12" s="217" t="s">
        <v>659</v>
      </c>
      <c r="B12" s="219">
        <f>VLOOKUP($B$1,'OI(Value)'!$A:$O,11,0)</f>
        <v>984</v>
      </c>
      <c r="C12" s="219">
        <f>VLOOKUP($B$1,'OI(Value)'!$A:$O,12,0)</f>
        <v>46</v>
      </c>
      <c r="D12" s="219">
        <f>VLOOKUP($B$1,'OI(Value)'!$A:$O,13,0)*100</f>
        <v>4.95</v>
      </c>
    </row>
    <row r="13" spans="1:4" x14ac:dyDescent="0.25">
      <c r="A13" s="215" t="s">
        <v>660</v>
      </c>
      <c r="B13" s="223">
        <f>VLOOKUP($B$1,'OI(Value)'!$A:$O,2,0)</f>
        <v>9209</v>
      </c>
      <c r="C13" s="223">
        <f>VLOOKUP($B$1,'OI(Value)'!$A:$O,3,0)</f>
        <v>322</v>
      </c>
      <c r="D13" s="223">
        <f>VLOOKUP($B$1,'OI(Value)'!$A:$O,4,0)*100</f>
        <v>3.62</v>
      </c>
    </row>
    <row r="14" spans="1:4" x14ac:dyDescent="0.25">
      <c r="A14" s="215" t="s">
        <v>661</v>
      </c>
      <c r="B14" s="222" t="s">
        <v>662</v>
      </c>
      <c r="C14" s="222" t="s">
        <v>369</v>
      </c>
      <c r="D14" s="222" t="s">
        <v>652</v>
      </c>
    </row>
    <row r="15" spans="1:4" x14ac:dyDescent="0.25">
      <c r="A15" s="217" t="s">
        <v>657</v>
      </c>
      <c r="B15" s="219">
        <f>VLOOKUP($B$1,'OI(Volume)'!$A:$O,5,0)/10^5</f>
        <v>166.47925000000001</v>
      </c>
      <c r="C15" s="219">
        <f>VLOOKUP($B$1,'OI(Volume)'!$A:$O,6,0)/10^5</f>
        <v>5.6000000000000001E-2</v>
      </c>
      <c r="D15" s="219">
        <f>(VLOOKUP($B$1,'OI(Volume)'!$A:$O,7,0))*100</f>
        <v>0.03</v>
      </c>
    </row>
    <row r="16" spans="1:4" x14ac:dyDescent="0.25">
      <c r="A16" s="217" t="s">
        <v>658</v>
      </c>
      <c r="B16" s="219">
        <f>VLOOKUP($B$1,'OI(Volume)'!$A:$O,8,0)/10^5</f>
        <v>52.669750000000001</v>
      </c>
      <c r="C16" s="219">
        <f>VLOOKUP($B$1,'OI(Volume)'!$A:$O,9,0)/10^5</f>
        <v>7.2887500000000003</v>
      </c>
      <c r="D16" s="219">
        <f>(VLOOKUP($B$1,'OI(Volume)'!$A:$O,10,0))*100</f>
        <v>16.059999999999999</v>
      </c>
    </row>
    <row r="17" spans="1:4" x14ac:dyDescent="0.25">
      <c r="A17" s="217" t="s">
        <v>659</v>
      </c>
      <c r="B17" s="219">
        <f>VLOOKUP($B$1,'OI(Volume)'!$A:$O,11,0)/10^5</f>
        <v>26.204499999999999</v>
      </c>
      <c r="C17" s="219">
        <f>VLOOKUP($B$1,'OI(Volume)'!$A:$O,12,0)/10^5</f>
        <v>1.2355</v>
      </c>
      <c r="D17" s="219">
        <f>(VLOOKUP($B$1,'OI(Volume)'!$A:$O,13,0))*100</f>
        <v>4.95</v>
      </c>
    </row>
    <row r="18" spans="1:4" x14ac:dyDescent="0.25">
      <c r="A18" s="215" t="s">
        <v>663</v>
      </c>
      <c r="B18" s="223">
        <f>VLOOKUP($B$1,'OI(Volume)'!$A:$O,2,0)/10^5</f>
        <v>245.3535</v>
      </c>
      <c r="C18" s="223">
        <f>VLOOKUP($B$1,'OI(Volume)'!$A:$O,3,0)/10^5</f>
        <v>8.5802499999999995</v>
      </c>
      <c r="D18" s="223">
        <f>(VLOOKUP($B$1,'OI(Volume)'!$A:$O,4,0))*100</f>
        <v>3.62</v>
      </c>
    </row>
    <row r="20" spans="1:4" x14ac:dyDescent="0.25">
      <c r="A20" s="17" t="s">
        <v>417</v>
      </c>
      <c r="B20" s="224">
        <f>VLOOKUP($B$1,'Open Interest Position'!$A:$F,2,0)/10^5</f>
        <v>1360.07303</v>
      </c>
    </row>
    <row r="21" spans="1:4" x14ac:dyDescent="0.25">
      <c r="A21" s="17" t="s">
        <v>412</v>
      </c>
      <c r="B21" s="224">
        <f>VLOOKUP($B$1,'Open Interest Position'!$A:$F,3,0)/10^5</f>
        <v>241.66800000000001</v>
      </c>
    </row>
    <row r="22" spans="1:4" x14ac:dyDescent="0.25">
      <c r="A22" s="17" t="s">
        <v>418</v>
      </c>
      <c r="B22" s="224">
        <f>VLOOKUP($B$1,'Open Interest Position'!$A:$F,4,0)/10^5</f>
        <v>170.36263119428003</v>
      </c>
    </row>
    <row r="23" spans="1:4" x14ac:dyDescent="0.25">
      <c r="A23" s="17" t="s">
        <v>419</v>
      </c>
      <c r="B23" s="225">
        <f>VLOOKUP($B$1,'Open Interest Position'!$A:$F,6,0)</f>
        <v>0.17768751726515744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45936</v>
      </c>
      <c r="E6" s="66" t="s">
        <v>368</v>
      </c>
      <c r="F6" s="71" t="s">
        <v>333</v>
      </c>
      <c r="G6" s="71" t="s">
        <v>328</v>
      </c>
      <c r="H6" s="66">
        <f>D6</f>
        <v>45936</v>
      </c>
      <c r="I6" s="71" t="s">
        <v>322</v>
      </c>
      <c r="J6" s="71" t="s">
        <v>328</v>
      </c>
      <c r="K6" s="66">
        <f>D6</f>
        <v>45936</v>
      </c>
      <c r="L6" s="78" t="s">
        <v>333</v>
      </c>
      <c r="M6" s="78" t="s">
        <v>328</v>
      </c>
      <c r="N6" s="66">
        <f>D6</f>
        <v>45936</v>
      </c>
      <c r="O6" s="78" t="s">
        <v>322</v>
      </c>
      <c r="P6" s="78" t="s">
        <v>328</v>
      </c>
    </row>
    <row r="7" spans="1:36" x14ac:dyDescent="0.25">
      <c r="A7" s="79" t="str">
        <f>'Data shares'!B2</f>
        <v>Finance</v>
      </c>
      <c r="B7" s="79" t="str">
        <f>'Data shares'!C2</f>
        <v>360ONE</v>
      </c>
      <c r="C7" s="79">
        <f>VLOOKUP($B7,'Data shares'!$C:$FB,7)</f>
        <v>1062.4000000000001</v>
      </c>
      <c r="D7" s="165">
        <f>VLOOKUP($B7,'Data shares'!$C:$FB,98)</f>
        <v>3707500</v>
      </c>
      <c r="E7" s="165">
        <f>VLOOKUP(B7,'Snapshot (Volume)'!$A$7:$G$168,7,0)</f>
        <v>3539500</v>
      </c>
      <c r="F7" s="165">
        <f>D7-E7</f>
        <v>168000</v>
      </c>
      <c r="G7" s="166">
        <f>F7/E7</f>
        <v>4.7464331120214719E-2</v>
      </c>
      <c r="H7" s="165">
        <f>VLOOKUP($B7,'Data shares'!$C:$FB,66)</f>
        <v>1396000</v>
      </c>
      <c r="I7" s="165">
        <f>VLOOKUP($B7,'Data shares'!$C:$FB,67)</f>
        <v>1454000</v>
      </c>
      <c r="J7" s="81">
        <f>(H7-I7)/I7*100</f>
        <v>-3.9889958734525441</v>
      </c>
      <c r="K7" s="81">
        <f>VLOOKUP($B7,'Data Vlaue (Cr)'!$C:$FB,99)</f>
        <v>395</v>
      </c>
      <c r="L7" s="81">
        <f>VLOOKUP(B7,'OI(Value)'!$A$7:$C$209,3,0)</f>
        <v>18</v>
      </c>
      <c r="M7" s="81">
        <f t="shared" ref="M7:M36" si="0">L7/K7*100</f>
        <v>4.556962025316456</v>
      </c>
      <c r="N7" s="81">
        <f>VLOOKUP($B7,'Data Vlaue (Cr)'!$C:$FB,67)</f>
        <v>149</v>
      </c>
      <c r="O7" s="81">
        <f>VLOOKUP($B7,'Data Vlaue (Cr)'!$C:$FB,68)</f>
        <v>155</v>
      </c>
      <c r="P7" s="81">
        <f t="shared" ref="P7:P23" si="1">(N7-O7)/N7*100</f>
        <v>-4.0268456375838921</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5218</v>
      </c>
      <c r="D8" s="165">
        <f>VLOOKUP($B8,'Data shares'!$C:$FB,98)</f>
        <v>3807375</v>
      </c>
      <c r="E8" s="165">
        <f>VLOOKUP(B8,'Snapshot (Volume)'!$A$7:$G$168,7,0)</f>
        <v>3501625</v>
      </c>
      <c r="F8" s="165">
        <f t="shared" ref="F8:F23" si="2">D8-E8</f>
        <v>305750</v>
      </c>
      <c r="G8" s="166">
        <f t="shared" ref="G8:G23" si="3">F8/E8</f>
        <v>8.7316603005747326E-2</v>
      </c>
      <c r="H8" s="165">
        <f>VLOOKUP($B8,'Data shares'!$C:$FB,66)</f>
        <v>1925125</v>
      </c>
      <c r="I8" s="165">
        <f>VLOOKUP($B8,'Data shares'!$C:$FB,67)</f>
        <v>910500</v>
      </c>
      <c r="J8" s="81">
        <f t="shared" ref="J8:J22" si="4">(H8-I8)/I8*100</f>
        <v>111.43602416254805</v>
      </c>
      <c r="K8" s="81">
        <f>VLOOKUP($B8,'Data Vlaue (Cr)'!$C:$FB,99)</f>
        <v>2001</v>
      </c>
      <c r="L8" s="81">
        <f>VLOOKUP(B8,'OI(Value)'!$A$7:$C$209,3,0)</f>
        <v>161</v>
      </c>
      <c r="M8" s="81">
        <f t="shared" si="0"/>
        <v>8.0459770114942533</v>
      </c>
      <c r="N8" s="81">
        <f>VLOOKUP($B8,'Data Vlaue (Cr)'!$C:$FB,67)</f>
        <v>1012</v>
      </c>
      <c r="O8" s="81">
        <f>VLOOKUP($B8,'Data Vlaue (Cr)'!$C:$FB,68)</f>
        <v>479</v>
      </c>
      <c r="P8" s="81">
        <f t="shared" si="1"/>
        <v>52.667984189723313</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304.05</v>
      </c>
      <c r="D9" s="165">
        <f>VLOOKUP($B9,'Data shares'!$C:$FB,98)</f>
        <v>94407400</v>
      </c>
      <c r="E9" s="165">
        <f>VLOOKUP(B9,'Snapshot (Volume)'!$A$7:$G$168,7,0)</f>
        <v>93272800</v>
      </c>
      <c r="F9" s="165">
        <f t="shared" si="2"/>
        <v>1134600</v>
      </c>
      <c r="G9" s="166">
        <f t="shared" si="3"/>
        <v>1.2164318000531773E-2</v>
      </c>
      <c r="H9" s="165">
        <f>VLOOKUP($B9,'Data shares'!$C:$FB,66)</f>
        <v>52687600</v>
      </c>
      <c r="I9" s="165">
        <f>VLOOKUP($B9,'Data shares'!$C:$FB,67)</f>
        <v>64241300</v>
      </c>
      <c r="J9" s="81">
        <f t="shared" si="4"/>
        <v>-17.984847753703615</v>
      </c>
      <c r="K9" s="81">
        <f>VLOOKUP($B9,'Data Vlaue (Cr)'!$C:$FB,99)</f>
        <v>2890</v>
      </c>
      <c r="L9" s="81">
        <f>VLOOKUP(B9,'OI(Value)'!$A$7:$C$209,3,0)</f>
        <v>35</v>
      </c>
      <c r="M9" s="81">
        <f t="shared" si="0"/>
        <v>1.2110726643598615</v>
      </c>
      <c r="N9" s="81">
        <f>VLOOKUP($B9,'Data Vlaue (Cr)'!$C:$FB,67)</f>
        <v>1613</v>
      </c>
      <c r="O9" s="81">
        <f>VLOOKUP($B9,'Data Vlaue (Cr)'!$C:$FB,68)</f>
        <v>1967</v>
      </c>
      <c r="P9" s="81">
        <f t="shared" si="1"/>
        <v>-21.94668319900806</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926.65</v>
      </c>
      <c r="D10" s="82">
        <f>VLOOKUP($B10,'Data shares'!$C:$FB,98)</f>
        <v>23396175</v>
      </c>
      <c r="E10" s="165">
        <f>VLOOKUP(B10,'Snapshot (Volume)'!$A$7:$G$168,7,0)</f>
        <v>23093100</v>
      </c>
      <c r="F10" s="165">
        <f t="shared" si="2"/>
        <v>303075</v>
      </c>
      <c r="G10" s="166">
        <f t="shared" si="3"/>
        <v>1.3124050040921315E-2</v>
      </c>
      <c r="H10" s="165">
        <f>VLOOKUP($B10,'Data shares'!$C:$FB,66)</f>
        <v>6002775</v>
      </c>
      <c r="I10" s="165">
        <f>VLOOKUP($B10,'Data shares'!$C:$FB,67)</f>
        <v>8389575</v>
      </c>
      <c r="J10" s="81">
        <f t="shared" si="4"/>
        <v>-28.449593692171533</v>
      </c>
      <c r="K10" s="5">
        <f>VLOOKUP($B10,'Data Vlaue (Cr)'!$C:$FB,99)</f>
        <v>2175</v>
      </c>
      <c r="L10" s="81">
        <f>VLOOKUP(B10,'OI(Value)'!$A$7:$C$209,3,0)</f>
        <v>28</v>
      </c>
      <c r="M10" s="33">
        <f t="shared" si="0"/>
        <v>1.2873563218390804</v>
      </c>
      <c r="N10" s="5">
        <f>VLOOKUP($B10,'Data Vlaue (Cr)'!$C:$FB,67)</f>
        <v>558</v>
      </c>
      <c r="O10" s="5">
        <f>VLOOKUP($B10,'Data Vlaue (Cr)'!$C:$FB,68)</f>
        <v>780</v>
      </c>
      <c r="P10" s="5">
        <f t="shared" si="1"/>
        <v>-39.784946236559136</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2573.5</v>
      </c>
      <c r="D11" s="82">
        <f>VLOOKUP($B11,'Data shares'!$C:$FB,98)</f>
        <v>24341400</v>
      </c>
      <c r="E11" s="165">
        <f>VLOOKUP(B11,'Snapshot (Volume)'!$A$7:$G$168,7,0)</f>
        <v>23993100</v>
      </c>
      <c r="F11" s="165">
        <f t="shared" si="2"/>
        <v>348300</v>
      </c>
      <c r="G11" s="166">
        <f t="shared" si="3"/>
        <v>1.4516673543643797E-2</v>
      </c>
      <c r="H11" s="165">
        <f>VLOOKUP($B11,'Data shares'!$C:$FB,66)</f>
        <v>8406000</v>
      </c>
      <c r="I11" s="165">
        <f>VLOOKUP($B11,'Data shares'!$C:$FB,67)</f>
        <v>14184600</v>
      </c>
      <c r="J11" s="81">
        <f t="shared" si="4"/>
        <v>-40.738547438771626</v>
      </c>
      <c r="K11" s="5">
        <f>VLOOKUP($B11,'Data Vlaue (Cr)'!$C:$FB,99)</f>
        <v>6302</v>
      </c>
      <c r="L11" s="81">
        <f>VLOOKUP(B11,'OI(Value)'!$A$7:$C$209,3,0)</f>
        <v>90</v>
      </c>
      <c r="M11" s="33">
        <f t="shared" si="0"/>
        <v>1.4281180577594415</v>
      </c>
      <c r="N11" s="5">
        <f>VLOOKUP($B11,'Data Vlaue (Cr)'!$C:$FB,67)</f>
        <v>2176</v>
      </c>
      <c r="O11" s="5">
        <f>VLOOKUP($B11,'Data Vlaue (Cr)'!$C:$FB,68)</f>
        <v>3672</v>
      </c>
      <c r="P11" s="5">
        <f t="shared" si="1"/>
        <v>-68.75</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1059.4000000000001</v>
      </c>
      <c r="D12" s="82">
        <f>VLOOKUP($B12,'Data shares'!$C:$FB,98)</f>
        <v>33340800</v>
      </c>
      <c r="E12" s="165">
        <f>VLOOKUP(B12,'Snapshot (Volume)'!$A$7:$G$168,7,0)</f>
        <v>32900400</v>
      </c>
      <c r="F12" s="165">
        <f t="shared" si="2"/>
        <v>440400</v>
      </c>
      <c r="G12" s="166">
        <f t="shared" si="3"/>
        <v>1.338585549111865E-2</v>
      </c>
      <c r="H12" s="165">
        <f>VLOOKUP($B12,'Data shares'!$C:$FB,66)</f>
        <v>11963400</v>
      </c>
      <c r="I12" s="165">
        <f>VLOOKUP($B12,'Data shares'!$C:$FB,67)</f>
        <v>21409200</v>
      </c>
      <c r="J12" s="81">
        <f t="shared" si="4"/>
        <v>-44.120284737402606</v>
      </c>
      <c r="K12" s="5">
        <f>VLOOKUP($B12,'Data Vlaue (Cr)'!$C:$FB,99)</f>
        <v>3552</v>
      </c>
      <c r="L12" s="81">
        <f>VLOOKUP(B12,'OI(Value)'!$A$7:$C$209,3,0)</f>
        <v>47</v>
      </c>
      <c r="M12" s="33">
        <f t="shared" si="0"/>
        <v>1.3231981981981982</v>
      </c>
      <c r="N12" s="5">
        <f>VLOOKUP($B12,'Data Vlaue (Cr)'!$C:$FB,67)</f>
        <v>1275</v>
      </c>
      <c r="O12" s="5">
        <f>VLOOKUP($B12,'Data Vlaue (Cr)'!$C:$FB,68)</f>
        <v>2281</v>
      </c>
      <c r="P12" s="5">
        <f t="shared" si="1"/>
        <v>-78.901960784313729</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1400.5</v>
      </c>
      <c r="D13" s="82">
        <f>VLOOKUP($B13,'Data shares'!$C:$FB,98)</f>
        <v>33718350</v>
      </c>
      <c r="E13" s="165">
        <f>VLOOKUP(B13,'Snapshot (Volume)'!$A$7:$G$168,7,0)</f>
        <v>32525150</v>
      </c>
      <c r="F13" s="165">
        <f t="shared" si="2"/>
        <v>1193200</v>
      </c>
      <c r="G13" s="166">
        <f t="shared" si="3"/>
        <v>3.6685457253848176E-2</v>
      </c>
      <c r="H13" s="165">
        <f>VLOOKUP($B13,'Data shares'!$C:$FB,66)</f>
        <v>16046450</v>
      </c>
      <c r="I13" s="165">
        <f>VLOOKUP($B13,'Data shares'!$C:$FB,67)</f>
        <v>13041125</v>
      </c>
      <c r="J13" s="81">
        <f t="shared" si="4"/>
        <v>23.044982698961938</v>
      </c>
      <c r="K13" s="5">
        <f>VLOOKUP($B13,'Data Vlaue (Cr)'!$C:$FB,99)</f>
        <v>4748</v>
      </c>
      <c r="L13" s="81">
        <f>VLOOKUP(B13,'OI(Value)'!$A$7:$C$209,3,0)</f>
        <v>168</v>
      </c>
      <c r="M13" s="33">
        <f t="shared" si="0"/>
        <v>3.5383319292333613</v>
      </c>
      <c r="N13" s="5">
        <f>VLOOKUP($B13,'Data Vlaue (Cr)'!$C:$FB,67)</f>
        <v>2260</v>
      </c>
      <c r="O13" s="5">
        <f>VLOOKUP($B13,'Data Vlaue (Cr)'!$C:$FB,68)</f>
        <v>1836</v>
      </c>
      <c r="P13" s="5">
        <f t="shared" si="1"/>
        <v>18.761061946902654</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5494</v>
      </c>
      <c r="D14" s="82">
        <f>VLOOKUP($B14,'Data shares'!$C:$FB,98)</f>
        <v>1742000</v>
      </c>
      <c r="E14" s="165">
        <f>VLOOKUP(B14,'Snapshot (Volume)'!$A$7:$G$168,7,0)</f>
        <v>1672375</v>
      </c>
      <c r="F14" s="165">
        <f t="shared" si="2"/>
        <v>69625</v>
      </c>
      <c r="G14" s="166">
        <f t="shared" si="3"/>
        <v>4.1632408999177813E-2</v>
      </c>
      <c r="H14" s="165">
        <f>VLOOKUP($B14,'Data shares'!$C:$FB,66)</f>
        <v>515500</v>
      </c>
      <c r="I14" s="165">
        <f>VLOOKUP($B14,'Data shares'!$C:$FB,67)</f>
        <v>481500</v>
      </c>
      <c r="J14" s="81">
        <f t="shared" si="4"/>
        <v>7.061266874350987</v>
      </c>
      <c r="K14" s="5">
        <f>VLOOKUP($B14,'Data Vlaue (Cr)'!$C:$FB,99)</f>
        <v>963</v>
      </c>
      <c r="L14" s="81">
        <f>VLOOKUP(B14,'OI(Value)'!$A$7:$C$209,3,0)</f>
        <v>38</v>
      </c>
      <c r="M14" s="33">
        <f t="shared" si="0"/>
        <v>3.9460020768431985</v>
      </c>
      <c r="N14" s="5">
        <f>VLOOKUP($B14,'Data Vlaue (Cr)'!$C:$FB,67)</f>
        <v>285</v>
      </c>
      <c r="O14" s="5">
        <f>VLOOKUP($B14,'Data Vlaue (Cr)'!$C:$FB,68)</f>
        <v>266</v>
      </c>
      <c r="P14" s="5">
        <f t="shared" si="1"/>
        <v>6.666666666666667</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8174.5</v>
      </c>
      <c r="D15" s="82">
        <f>VLOOKUP($B15,'Data shares'!$C:$FB,98)</f>
        <v>1017600</v>
      </c>
      <c r="E15" s="165">
        <f>VLOOKUP(B15,'Snapshot (Volume)'!$A$7:$G$168,7,0)</f>
        <v>987800</v>
      </c>
      <c r="F15" s="165">
        <f t="shared" si="2"/>
        <v>29800</v>
      </c>
      <c r="G15" s="166">
        <f t="shared" si="3"/>
        <v>3.0168050212593642E-2</v>
      </c>
      <c r="H15" s="165">
        <f>VLOOKUP($B15,'Data shares'!$C:$FB,66)</f>
        <v>564800</v>
      </c>
      <c r="I15" s="165">
        <f>VLOOKUP($B15,'Data shares'!$C:$FB,67)</f>
        <v>364400</v>
      </c>
      <c r="J15" s="81">
        <f t="shared" si="4"/>
        <v>54.994511525795829</v>
      </c>
      <c r="K15" s="5">
        <f>VLOOKUP($B15,'Data Vlaue (Cr)'!$C:$FB,99)</f>
        <v>831</v>
      </c>
      <c r="L15" s="81">
        <f>VLOOKUP(B15,'OI(Value)'!$A$7:$C$209,3,0)</f>
        <v>24</v>
      </c>
      <c r="M15" s="33">
        <f t="shared" si="0"/>
        <v>2.8880866425992782</v>
      </c>
      <c r="N15" s="5">
        <f>VLOOKUP($B15,'Data Vlaue (Cr)'!$C:$FB,67)</f>
        <v>461</v>
      </c>
      <c r="O15" s="5">
        <f>VLOOKUP($B15,'Data Vlaue (Cr)'!$C:$FB,68)</f>
        <v>298</v>
      </c>
      <c r="P15" s="5">
        <f t="shared" si="1"/>
        <v>35.357917570498913</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573.79999999999995</v>
      </c>
      <c r="D16" s="82">
        <f>VLOOKUP($B16,'Data shares'!$C:$FB,98)</f>
        <v>57851850</v>
      </c>
      <c r="E16" s="165">
        <f>VLOOKUP(B16,'Snapshot (Volume)'!$A$7:$G$168,7,0)</f>
        <v>56622300</v>
      </c>
      <c r="F16" s="165">
        <f t="shared" si="2"/>
        <v>1229550</v>
      </c>
      <c r="G16" s="166">
        <f t="shared" si="3"/>
        <v>2.1714942699254534E-2</v>
      </c>
      <c r="H16" s="165">
        <f>VLOOKUP($B16,'Data shares'!$C:$FB,66)</f>
        <v>7909650</v>
      </c>
      <c r="I16" s="165">
        <f>VLOOKUP($B16,'Data shares'!$C:$FB,67)</f>
        <v>15418200</v>
      </c>
      <c r="J16" s="81">
        <f t="shared" si="4"/>
        <v>-48.69926450558431</v>
      </c>
      <c r="K16" s="5">
        <f>VLOOKUP($B16,'Data Vlaue (Cr)'!$C:$FB,99)</f>
        <v>3335</v>
      </c>
      <c r="L16" s="81">
        <f>VLOOKUP(B16,'OI(Value)'!$A$7:$C$209,3,0)</f>
        <v>71</v>
      </c>
      <c r="M16" s="33">
        <f t="shared" si="0"/>
        <v>2.128935532233883</v>
      </c>
      <c r="N16" s="5">
        <f>VLOOKUP($B16,'Data Vlaue (Cr)'!$C:$FB,67)</f>
        <v>456</v>
      </c>
      <c r="O16" s="5">
        <f>VLOOKUP($B16,'Data Vlaue (Cr)'!$C:$FB,68)</f>
        <v>889</v>
      </c>
      <c r="P16" s="5">
        <f t="shared" si="1"/>
        <v>-94.956140350877192</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2265.1999999999998</v>
      </c>
      <c r="D17" s="82">
        <f>VLOOKUP($B17,'Data shares'!$C:$FB,98)</f>
        <v>6535750</v>
      </c>
      <c r="E17" s="165">
        <f>VLOOKUP(B17,'Snapshot (Volume)'!$A$7:$G$168,7,0)</f>
        <v>6350500</v>
      </c>
      <c r="F17" s="165">
        <f t="shared" si="2"/>
        <v>185250</v>
      </c>
      <c r="G17" s="166">
        <f t="shared" si="3"/>
        <v>2.9170931422722621E-2</v>
      </c>
      <c r="H17" s="165">
        <f>VLOOKUP($B17,'Data shares'!$C:$FB,66)</f>
        <v>9896750</v>
      </c>
      <c r="I17" s="165">
        <f>VLOOKUP($B17,'Data shares'!$C:$FB,67)</f>
        <v>4010500</v>
      </c>
      <c r="J17" s="81">
        <f t="shared" si="4"/>
        <v>146.77097618750778</v>
      </c>
      <c r="K17" s="5">
        <f>VLOOKUP($B17,'Data Vlaue (Cr)'!$C:$FB,99)</f>
        <v>1487</v>
      </c>
      <c r="L17" s="81">
        <f>VLOOKUP(B17,'OI(Value)'!$A$7:$C$209,3,0)</f>
        <v>42</v>
      </c>
      <c r="M17" s="33">
        <f t="shared" si="0"/>
        <v>2.824478816408877</v>
      </c>
      <c r="N17" s="5">
        <f>VLOOKUP($B17,'Data Vlaue (Cr)'!$C:$FB,67)</f>
        <v>2252</v>
      </c>
      <c r="O17" s="5">
        <f>VLOOKUP($B17,'Data Vlaue (Cr)'!$C:$FB,68)</f>
        <v>913</v>
      </c>
      <c r="P17" s="5">
        <f t="shared" si="1"/>
        <v>59.458259325044402</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1742</v>
      </c>
      <c r="D18" s="82">
        <f>VLOOKUP($B18,'Data shares'!$C:$FB,98)</f>
        <v>11175500</v>
      </c>
      <c r="E18" s="165">
        <f>VLOOKUP(B18,'Snapshot (Volume)'!$A$7:$G$168,7,0)</f>
        <v>11211550</v>
      </c>
      <c r="F18" s="165">
        <f t="shared" si="2"/>
        <v>-36050</v>
      </c>
      <c r="G18" s="166">
        <f t="shared" si="3"/>
        <v>-3.2154340836012861E-3</v>
      </c>
      <c r="H18" s="165">
        <f>VLOOKUP($B18,'Data shares'!$C:$FB,66)</f>
        <v>1743000</v>
      </c>
      <c r="I18" s="165">
        <f>VLOOKUP($B18,'Data shares'!$C:$FB,67)</f>
        <v>2997050</v>
      </c>
      <c r="J18" s="81">
        <f t="shared" si="4"/>
        <v>-41.842812098563584</v>
      </c>
      <c r="K18" s="5">
        <f>VLOOKUP($B18,'Data Vlaue (Cr)'!$C:$FB,99)</f>
        <v>1956</v>
      </c>
      <c r="L18" s="81">
        <f>VLOOKUP(B18,'OI(Value)'!$A$7:$C$209,3,0)</f>
        <v>-6</v>
      </c>
      <c r="M18" s="33">
        <f t="shared" si="0"/>
        <v>-0.30674846625766872</v>
      </c>
      <c r="N18" s="5">
        <f>VLOOKUP($B18,'Data Vlaue (Cr)'!$C:$FB,67)</f>
        <v>305</v>
      </c>
      <c r="O18" s="5">
        <f>VLOOKUP($B18,'Data Vlaue (Cr)'!$C:$FB,68)</f>
        <v>525</v>
      </c>
      <c r="P18" s="5">
        <f t="shared" si="1"/>
        <v>-72.131147540983605</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7662</v>
      </c>
      <c r="D19" s="82">
        <f>VLOOKUP($B19,'Data shares'!$C:$FB,98)</f>
        <v>3816750</v>
      </c>
      <c r="E19" s="165">
        <f>VLOOKUP(B19,'Snapshot (Volume)'!$A$7:$G$168,7,0)</f>
        <v>3634000</v>
      </c>
      <c r="F19" s="165">
        <f t="shared" si="2"/>
        <v>182750</v>
      </c>
      <c r="G19" s="166">
        <f t="shared" si="3"/>
        <v>5.0288937809576224E-2</v>
      </c>
      <c r="H19" s="165">
        <f>VLOOKUP($B19,'Data shares'!$C:$FB,66)</f>
        <v>5453250</v>
      </c>
      <c r="I19" s="165">
        <f>VLOOKUP($B19,'Data shares'!$C:$FB,67)</f>
        <v>1105125</v>
      </c>
      <c r="J19" s="81">
        <f t="shared" si="4"/>
        <v>393.45096708517133</v>
      </c>
      <c r="K19" s="5">
        <f>VLOOKUP($B19,'Data Vlaue (Cr)'!$C:$FB,99)</f>
        <v>2934</v>
      </c>
      <c r="L19" s="81">
        <f>VLOOKUP(B19,'OI(Value)'!$A$7:$C$209,3,0)</f>
        <v>140</v>
      </c>
      <c r="M19" s="33">
        <f t="shared" si="0"/>
        <v>4.7716428084526248</v>
      </c>
      <c r="N19" s="5">
        <f>VLOOKUP($B19,'Data Vlaue (Cr)'!$C:$FB,67)</f>
        <v>4192</v>
      </c>
      <c r="O19" s="5">
        <f>VLOOKUP($B19,'Data Vlaue (Cr)'!$C:$FB,68)</f>
        <v>850</v>
      </c>
      <c r="P19" s="5">
        <f t="shared" si="1"/>
        <v>79.723282442748086</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137.78</v>
      </c>
      <c r="D20" s="82">
        <f>VLOOKUP($B20,'Data shares'!$C:$FB,98)</f>
        <v>221815000</v>
      </c>
      <c r="E20" s="165">
        <f>VLOOKUP(B20,'Snapshot (Volume)'!$A$7:$G$168,7,0)</f>
        <v>220740000</v>
      </c>
      <c r="F20" s="165">
        <f t="shared" si="2"/>
        <v>1075000</v>
      </c>
      <c r="G20" s="166">
        <f t="shared" si="3"/>
        <v>4.8699827851771318E-3</v>
      </c>
      <c r="H20" s="165">
        <f>VLOOKUP($B20,'Data shares'!$C:$FB,66)</f>
        <v>94605000</v>
      </c>
      <c r="I20" s="165">
        <f>VLOOKUP($B20,'Data shares'!$C:$FB,67)</f>
        <v>121950000</v>
      </c>
      <c r="J20" s="81">
        <f t="shared" si="4"/>
        <v>-22.423124231242312</v>
      </c>
      <c r="K20" s="5">
        <f>VLOOKUP($B20,'Data Vlaue (Cr)'!$C:$FB,99)</f>
        <v>3063</v>
      </c>
      <c r="L20" s="81">
        <f>VLOOKUP(B20,'OI(Value)'!$A$7:$C$209,3,0)</f>
        <v>15</v>
      </c>
      <c r="M20" s="33">
        <f t="shared" si="0"/>
        <v>0.48971596474045059</v>
      </c>
      <c r="N20" s="5">
        <f>VLOOKUP($B20,'Data Vlaue (Cr)'!$C:$FB,67)</f>
        <v>1306</v>
      </c>
      <c r="O20" s="5">
        <f>VLOOKUP($B20,'Data Vlaue (Cr)'!$C:$FB,68)</f>
        <v>1684</v>
      </c>
      <c r="P20" s="5">
        <f t="shared" si="1"/>
        <v>-28.943338437978561</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2354.8000000000002</v>
      </c>
      <c r="D21" s="82">
        <f>VLOOKUP($B21,'Data shares'!$C:$FB,98)</f>
        <v>21679750</v>
      </c>
      <c r="E21" s="165">
        <f>VLOOKUP(B21,'Snapshot (Volume)'!$A$7:$G$168,7,0)</f>
        <v>21122250</v>
      </c>
      <c r="F21" s="165">
        <f t="shared" si="2"/>
        <v>557500</v>
      </c>
      <c r="G21" s="166">
        <f t="shared" si="3"/>
        <v>2.639396844559647E-2</v>
      </c>
      <c r="H21" s="165">
        <f>VLOOKUP($B21,'Data shares'!$C:$FB,66)</f>
        <v>8163250</v>
      </c>
      <c r="I21" s="165">
        <f>VLOOKUP($B21,'Data shares'!$C:$FB,67)</f>
        <v>7481500</v>
      </c>
      <c r="J21" s="81">
        <f t="shared" si="4"/>
        <v>9.1124774443627619</v>
      </c>
      <c r="K21" s="5">
        <f>VLOOKUP($B21,'Data Vlaue (Cr)'!$C:$FB,99)</f>
        <v>5130</v>
      </c>
      <c r="L21" s="81">
        <f>VLOOKUP(B21,'OI(Value)'!$A$7:$C$209,3,0)</f>
        <v>132</v>
      </c>
      <c r="M21" s="33">
        <f t="shared" si="0"/>
        <v>2.5730994152046787</v>
      </c>
      <c r="N21" s="5">
        <f>VLOOKUP($B21,'Data Vlaue (Cr)'!$C:$FB,67)</f>
        <v>1932</v>
      </c>
      <c r="O21" s="5">
        <f>VLOOKUP($B21,'Data Vlaue (Cr)'!$C:$FB,68)</f>
        <v>1770</v>
      </c>
      <c r="P21" s="5">
        <f t="shared" si="1"/>
        <v>8.3850931677018643</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1383.6</v>
      </c>
      <c r="D22" s="82">
        <f>VLOOKUP($B22,'Data shares'!$C:$FB,98)</f>
        <v>11269300</v>
      </c>
      <c r="E22" s="165">
        <f>VLOOKUP(B22,'Snapshot (Volume)'!$A$7:$G$168,7,0)</f>
        <v>10797975</v>
      </c>
      <c r="F22" s="165">
        <f t="shared" si="2"/>
        <v>471325</v>
      </c>
      <c r="G22" s="166">
        <f t="shared" si="3"/>
        <v>4.3649387963946941E-2</v>
      </c>
      <c r="H22" s="165">
        <f>VLOOKUP($B22,'Data shares'!$C:$FB,66)</f>
        <v>2967350</v>
      </c>
      <c r="I22" s="165">
        <f>VLOOKUP($B22,'Data shares'!$C:$FB,67)</f>
        <v>2969475</v>
      </c>
      <c r="J22" s="81">
        <f t="shared" si="4"/>
        <v>-7.1561471303850002E-2</v>
      </c>
      <c r="K22" s="5">
        <f>VLOOKUP($B22,'Data Vlaue (Cr)'!$C:$FB,99)</f>
        <v>1570</v>
      </c>
      <c r="L22" s="81">
        <f>VLOOKUP(B22,'OI(Value)'!$A$7:$C$209,3,0)</f>
        <v>66</v>
      </c>
      <c r="M22" s="33">
        <f t="shared" si="0"/>
        <v>4.2038216560509554</v>
      </c>
      <c r="N22" s="5">
        <f>VLOOKUP($B22,'Data Vlaue (Cr)'!$C:$FB,67)</f>
        <v>414</v>
      </c>
      <c r="O22" s="5">
        <f>VLOOKUP($B22,'Data Vlaue (Cr)'!$C:$FB,68)</f>
        <v>414</v>
      </c>
      <c r="P22" s="5">
        <f t="shared" si="1"/>
        <v>0</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762.95</v>
      </c>
      <c r="D23" s="82">
        <f>VLOOKUP($B23,'Data shares'!$C:$FB,98)</f>
        <v>30426000</v>
      </c>
      <c r="E23" s="165">
        <f>VLOOKUP(B23,'Snapshot (Volume)'!$A$7:$G$168,7,0)</f>
        <v>30312000</v>
      </c>
      <c r="F23" s="165">
        <f t="shared" si="2"/>
        <v>114000</v>
      </c>
      <c r="G23" s="166">
        <f t="shared" si="3"/>
        <v>3.760886777513856E-3</v>
      </c>
      <c r="H23" s="165">
        <f>VLOOKUP($B23,'Data shares'!$C:$FB,66)</f>
        <v>29215000</v>
      </c>
      <c r="I23" s="165">
        <f>VLOOKUP($B23,'Data shares'!$C:$FB,67)</f>
        <v>16826000</v>
      </c>
      <c r="J23" s="81">
        <f>(H23-I23)/I23*100</f>
        <v>73.63009627956734</v>
      </c>
      <c r="K23" s="5">
        <f>VLOOKUP($B23,'Data Vlaue (Cr)'!$C:$FB,99)</f>
        <v>2332</v>
      </c>
      <c r="L23" s="81">
        <f>VLOOKUP(B23,'OI(Value)'!$A$7:$C$209,3,0)</f>
        <v>9</v>
      </c>
      <c r="M23" s="33">
        <f t="shared" si="0"/>
        <v>0.38593481989708406</v>
      </c>
      <c r="N23" s="5">
        <f>VLOOKUP($B23,'Data Vlaue (Cr)'!$C:$FB,67)</f>
        <v>2239</v>
      </c>
      <c r="O23" s="5">
        <f>VLOOKUP($B23,'Data Vlaue (Cr)'!$C:$FB,68)</f>
        <v>1289</v>
      </c>
      <c r="P23" s="5">
        <f t="shared" si="1"/>
        <v>42.429656096471639</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1096.5</v>
      </c>
      <c r="D24" s="80">
        <f>VLOOKUP($B24,'Data shares'!$C:$FB,98)</f>
        <v>24060300</v>
      </c>
      <c r="E24" s="165">
        <f>VLOOKUP(B24,'Snapshot (Volume)'!$A$7:$G$168,7,0)</f>
        <v>23838100</v>
      </c>
      <c r="F24" s="165">
        <f t="shared" ref="F24:F36" si="5">D24-E24</f>
        <v>222200</v>
      </c>
      <c r="G24" s="166">
        <f t="shared" ref="G24:G36" si="6">F24/E24</f>
        <v>9.3212126805408153E-3</v>
      </c>
      <c r="H24" s="165">
        <f>VLOOKUP($B24,'Data shares'!$C:$FB,66)</f>
        <v>4366450</v>
      </c>
      <c r="I24" s="165">
        <f>VLOOKUP($B24,'Data shares'!$C:$FB,67)</f>
        <v>4556200</v>
      </c>
      <c r="J24" s="81">
        <f t="shared" ref="J24:J36" si="7">(H24-I24)/I24*100</f>
        <v>-4.1646547561564464</v>
      </c>
      <c r="K24" s="81">
        <f>VLOOKUP($B24,'Data Vlaue (Cr)'!$C:$FB,99)</f>
        <v>2653</v>
      </c>
      <c r="L24" s="81">
        <f>VLOOKUP(B24,'OI(Value)'!$A$7:$C$209,3,0)</f>
        <v>25</v>
      </c>
      <c r="M24" s="81">
        <f t="shared" si="0"/>
        <v>0.94232943837165473</v>
      </c>
      <c r="N24" s="81">
        <f>VLOOKUP($B24,'Data Vlaue (Cr)'!$C:$FB,67)</f>
        <v>481</v>
      </c>
      <c r="O24" s="81">
        <f>VLOOKUP($B24,'Data Vlaue (Cr)'!$C:$FB,68)</f>
        <v>502</v>
      </c>
      <c r="P24" s="81">
        <f t="shared" ref="P24:P36" si="8">(N24-O24)/N24*100</f>
        <v>-4.3659043659043659</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1212.8</v>
      </c>
      <c r="D25" s="82">
        <f>VLOOKUP($B25,'Data shares'!$C:$FB,98)</f>
        <v>119758750</v>
      </c>
      <c r="E25" s="165">
        <f>VLOOKUP(B25,'Snapshot (Volume)'!$A$7:$G$168,7,0)</f>
        <v>120534375</v>
      </c>
      <c r="F25" s="165">
        <f t="shared" si="5"/>
        <v>-775625</v>
      </c>
      <c r="G25" s="166">
        <f t="shared" si="6"/>
        <v>-6.4348863135516325E-3</v>
      </c>
      <c r="H25" s="165">
        <f>VLOOKUP($B25,'Data shares'!$C:$FB,66)</f>
        <v>102212500</v>
      </c>
      <c r="I25" s="165">
        <f>VLOOKUP($B25,'Data shares'!$C:$FB,67)</f>
        <v>70621875</v>
      </c>
      <c r="J25" s="81">
        <f t="shared" si="7"/>
        <v>44.732067790610202</v>
      </c>
      <c r="K25" s="5">
        <f>VLOOKUP($B25,'Data Vlaue (Cr)'!$C:$FB,99)</f>
        <v>14565</v>
      </c>
      <c r="L25" s="81">
        <f>VLOOKUP(B25,'OI(Value)'!$A$7:$C$209,3,0)</f>
        <v>-94</v>
      </c>
      <c r="M25" s="33">
        <f t="shared" si="0"/>
        <v>-0.64538276690696872</v>
      </c>
      <c r="N25" s="5">
        <f>VLOOKUP($B25,'Data Vlaue (Cr)'!$C:$FB,67)</f>
        <v>12431</v>
      </c>
      <c r="O25" s="5">
        <f>VLOOKUP($B25,'Data Vlaue (Cr)'!$C:$FB,68)</f>
        <v>8589</v>
      </c>
      <c r="P25" s="5">
        <f t="shared" si="8"/>
        <v>30.906604456600434</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8792</v>
      </c>
      <c r="D26" s="82">
        <f>VLOOKUP($B26,'Data shares'!$C:$FB,98)</f>
        <v>5646600</v>
      </c>
      <c r="E26" s="165">
        <f>VLOOKUP(B26,'Snapshot (Volume)'!$A$7:$G$168,7,0)</f>
        <v>5732925</v>
      </c>
      <c r="F26" s="165">
        <f t="shared" si="5"/>
        <v>-86325</v>
      </c>
      <c r="G26" s="166">
        <f t="shared" si="6"/>
        <v>-1.5057758474077369E-2</v>
      </c>
      <c r="H26" s="165">
        <f>VLOOKUP($B26,'Data shares'!$C:$FB,66)</f>
        <v>3887850</v>
      </c>
      <c r="I26" s="165">
        <f>VLOOKUP($B26,'Data shares'!$C:$FB,67)</f>
        <v>7922700</v>
      </c>
      <c r="J26" s="81">
        <f t="shared" si="7"/>
        <v>-50.927714036881369</v>
      </c>
      <c r="K26" s="5">
        <f>VLOOKUP($B26,'Data Vlaue (Cr)'!$C:$FB,99)</f>
        <v>4992</v>
      </c>
      <c r="L26" s="81">
        <f>VLOOKUP(B26,'OI(Value)'!$A$7:$C$209,3,0)</f>
        <v>-76</v>
      </c>
      <c r="M26" s="33">
        <f t="shared" si="0"/>
        <v>-1.5224358974358974</v>
      </c>
      <c r="N26" s="5">
        <f>VLOOKUP($B26,'Data Vlaue (Cr)'!$C:$FB,67)</f>
        <v>3437</v>
      </c>
      <c r="O26" s="5">
        <f>VLOOKUP($B26,'Data Vlaue (Cr)'!$C:$FB,68)</f>
        <v>7004</v>
      </c>
      <c r="P26" s="5">
        <f t="shared" si="8"/>
        <v>-103.78236834448646</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2033.2</v>
      </c>
      <c r="D27" s="82">
        <f>VLOOKUP($B27,'Data shares'!$C:$FB,98)</f>
        <v>23497500</v>
      </c>
      <c r="E27" s="165">
        <f>VLOOKUP(B27,'Snapshot (Volume)'!$A$7:$G$168,7,0)</f>
        <v>22625500</v>
      </c>
      <c r="F27" s="165">
        <f t="shared" si="5"/>
        <v>872000</v>
      </c>
      <c r="G27" s="166">
        <f t="shared" si="6"/>
        <v>3.8540584738458818E-2</v>
      </c>
      <c r="H27" s="165">
        <f>VLOOKUP($B27,'Data shares'!$C:$FB,66)</f>
        <v>14789000</v>
      </c>
      <c r="I27" s="165">
        <f>VLOOKUP($B27,'Data shares'!$C:$FB,67)</f>
        <v>9441500</v>
      </c>
      <c r="J27" s="81">
        <f t="shared" si="7"/>
        <v>56.638246041412913</v>
      </c>
      <c r="K27" s="5">
        <f>VLOOKUP($B27,'Data Vlaue (Cr)'!$C:$FB,99)</f>
        <v>4798</v>
      </c>
      <c r="L27" s="81">
        <f>VLOOKUP(B27,'OI(Value)'!$A$7:$C$209,3,0)</f>
        <v>178</v>
      </c>
      <c r="M27" s="33">
        <f t="shared" si="0"/>
        <v>3.7098791162984575</v>
      </c>
      <c r="N27" s="5">
        <f>VLOOKUP($B27,'Data Vlaue (Cr)'!$C:$FB,67)</f>
        <v>3020</v>
      </c>
      <c r="O27" s="5">
        <f>VLOOKUP($B27,'Data Vlaue (Cr)'!$C:$FB,68)</f>
        <v>1928</v>
      </c>
      <c r="P27" s="5">
        <f t="shared" si="8"/>
        <v>36.158940397350989</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BAJFINANCE</v>
      </c>
      <c r="C28" s="4">
        <f>VLOOKUP($B28,'Data shares'!$C:$FB,7)</f>
        <v>1008.9</v>
      </c>
      <c r="D28" s="82">
        <f>VLOOKUP($B28,'Data shares'!$C:$FB,98)</f>
        <v>120534750</v>
      </c>
      <c r="E28" s="165">
        <f>VLOOKUP(B28,'Snapshot (Volume)'!$A$7:$G$168,7,0)</f>
        <v>115238250</v>
      </c>
      <c r="F28" s="165">
        <f t="shared" si="5"/>
        <v>5296500</v>
      </c>
      <c r="G28" s="166">
        <f t="shared" si="6"/>
        <v>4.5961301911474704E-2</v>
      </c>
      <c r="H28" s="165">
        <f>VLOOKUP($B28,'Data shares'!$C:$FB,66)</f>
        <v>107767500</v>
      </c>
      <c r="I28" s="165">
        <f>VLOOKUP($B28,'Data shares'!$C:$FB,67)</f>
        <v>37300500</v>
      </c>
      <c r="J28" s="81">
        <f t="shared" si="7"/>
        <v>188.91703864559457</v>
      </c>
      <c r="K28" s="5">
        <f>VLOOKUP($B28,'Data Vlaue (Cr)'!$C:$FB,99)</f>
        <v>12233</v>
      </c>
      <c r="L28" s="81">
        <f>VLOOKUP(B28,'OI(Value)'!$A$7:$C$209,3,0)</f>
        <v>538</v>
      </c>
      <c r="M28" s="33">
        <f t="shared" si="0"/>
        <v>4.3979399983650778</v>
      </c>
      <c r="N28" s="5">
        <f>VLOOKUP($B28,'Data Vlaue (Cr)'!$C:$FB,67)</f>
        <v>10937</v>
      </c>
      <c r="O28" s="5">
        <f>VLOOKUP($B28,'Data Vlaue (Cr)'!$C:$FB,68)</f>
        <v>3786</v>
      </c>
      <c r="P28" s="5">
        <f t="shared" si="8"/>
        <v>65.383560391332168</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Banking</v>
      </c>
      <c r="B29" s="79" t="str">
        <f>'Data shares'!C24</f>
        <v>BANDHANBNK</v>
      </c>
      <c r="C29" s="4">
        <f>VLOOKUP($B29,'Data shares'!$C:$FB,7)</f>
        <v>164.79</v>
      </c>
      <c r="D29" s="82">
        <f>VLOOKUP($B29,'Data shares'!$C:$FB,98)</f>
        <v>142430400</v>
      </c>
      <c r="E29" s="165">
        <f>VLOOKUP(B29,'Snapshot (Volume)'!$A$7:$G$168,7,0)</f>
        <v>139050000</v>
      </c>
      <c r="F29" s="165">
        <f t="shared" si="5"/>
        <v>3380400</v>
      </c>
      <c r="G29" s="166">
        <f t="shared" si="6"/>
        <v>2.4310679611650485E-2</v>
      </c>
      <c r="H29" s="165">
        <f>VLOOKUP($B29,'Data shares'!$C:$FB,66)</f>
        <v>41994000</v>
      </c>
      <c r="I29" s="165">
        <f>VLOOKUP($B29,'Data shares'!$C:$FB,67)</f>
        <v>80834400</v>
      </c>
      <c r="J29" s="81">
        <f t="shared" si="7"/>
        <v>-48.049345328226593</v>
      </c>
      <c r="K29" s="5">
        <f>VLOOKUP($B29,'Data Vlaue (Cr)'!$C:$FB,99)</f>
        <v>2363</v>
      </c>
      <c r="L29" s="81">
        <f>VLOOKUP(B29,'OI(Value)'!$A$7:$C$209,3,0)</f>
        <v>56</v>
      </c>
      <c r="M29" s="33">
        <f t="shared" si="0"/>
        <v>2.3698688108336858</v>
      </c>
      <c r="N29" s="5">
        <f>VLOOKUP($B29,'Data Vlaue (Cr)'!$C:$FB,67)</f>
        <v>697</v>
      </c>
      <c r="O29" s="5">
        <f>VLOOKUP($B29,'Data Vlaue (Cr)'!$C:$FB,68)</f>
        <v>1341</v>
      </c>
      <c r="P29" s="5">
        <f t="shared" si="8"/>
        <v>-92.39598278335724</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BANKBARODA</v>
      </c>
      <c r="C30" s="4">
        <f>VLOOKUP($B30,'Data shares'!$C:$FB,7)</f>
        <v>266.60000000000002</v>
      </c>
      <c r="D30" s="82">
        <f>VLOOKUP($B30,'Data shares'!$C:$FB,98)</f>
        <v>193482900</v>
      </c>
      <c r="E30" s="165">
        <f>VLOOKUP(B30,'Snapshot (Volume)'!$A$7:$G$168,7,0)</f>
        <v>189455175</v>
      </c>
      <c r="F30" s="165">
        <f t="shared" si="5"/>
        <v>4027725</v>
      </c>
      <c r="G30" s="166">
        <f t="shared" si="6"/>
        <v>2.1259514288802087E-2</v>
      </c>
      <c r="H30" s="165">
        <f>VLOOKUP($B30,'Data shares'!$C:$FB,66)</f>
        <v>167096475</v>
      </c>
      <c r="I30" s="165">
        <f>VLOOKUP($B30,'Data shares'!$C:$FB,67)</f>
        <v>147537000</v>
      </c>
      <c r="J30" s="81">
        <f t="shared" si="7"/>
        <v>13.257335448057098</v>
      </c>
      <c r="K30" s="5">
        <f>VLOOKUP($B30,'Data Vlaue (Cr)'!$C:$FB,99)</f>
        <v>5178</v>
      </c>
      <c r="L30" s="81">
        <f>VLOOKUP(B30,'OI(Value)'!$A$7:$C$209,3,0)</f>
        <v>108</v>
      </c>
      <c r="M30" s="33">
        <f t="shared" si="0"/>
        <v>2.085747392815759</v>
      </c>
      <c r="N30" s="5">
        <f>VLOOKUP($B30,'Data Vlaue (Cr)'!$C:$FB,67)</f>
        <v>4472</v>
      </c>
      <c r="O30" s="5">
        <f>VLOOKUP($B30,'Data Vlaue (Cr)'!$C:$FB,68)</f>
        <v>3948</v>
      </c>
      <c r="P30" s="5">
        <f t="shared" si="8"/>
        <v>11.717352415026834</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BANKINDIA</v>
      </c>
      <c r="C31" s="4">
        <f>VLOOKUP($B31,'Data shares'!$C:$FB,7)</f>
        <v>126.04</v>
      </c>
      <c r="D31" s="82">
        <f>VLOOKUP($B31,'Data shares'!$C:$FB,98)</f>
        <v>100198800</v>
      </c>
      <c r="E31" s="165">
        <f>VLOOKUP(B31,'Snapshot (Volume)'!$A$7:$G$168,7,0)</f>
        <v>99361600</v>
      </c>
      <c r="F31" s="165">
        <f t="shared" si="5"/>
        <v>837200</v>
      </c>
      <c r="G31" s="166">
        <f t="shared" si="6"/>
        <v>8.4257902449235925E-3</v>
      </c>
      <c r="H31" s="165">
        <f>VLOOKUP($B31,'Data shares'!$C:$FB,66)</f>
        <v>39468000</v>
      </c>
      <c r="I31" s="165">
        <f>VLOOKUP($B31,'Data shares'!$C:$FB,67)</f>
        <v>47611200</v>
      </c>
      <c r="J31" s="81">
        <f t="shared" si="7"/>
        <v>-17.10353866317169</v>
      </c>
      <c r="K31" s="5">
        <f>VLOOKUP($B31,'Data Vlaue (Cr)'!$C:$FB,99)</f>
        <v>1271</v>
      </c>
      <c r="L31" s="81">
        <f>VLOOKUP(B31,'OI(Value)'!$A$7:$C$209,3,0)</f>
        <v>11</v>
      </c>
      <c r="M31" s="33">
        <f t="shared" si="0"/>
        <v>0.86546026750590099</v>
      </c>
      <c r="N31" s="5">
        <f>VLOOKUP($B31,'Data Vlaue (Cr)'!$C:$FB,67)</f>
        <v>501</v>
      </c>
      <c r="O31" s="5">
        <f>VLOOKUP($B31,'Data Vlaue (Cr)'!$C:$FB,68)</f>
        <v>604</v>
      </c>
      <c r="P31" s="5">
        <f t="shared" si="8"/>
        <v>-20.558882235528941</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Index</v>
      </c>
      <c r="B32" s="79" t="str">
        <f>'Data shares'!C27</f>
        <v>BANKNIFTY</v>
      </c>
      <c r="C32" s="4">
        <f>VLOOKUP($B32,'Data shares'!$C:$FB,7)</f>
        <v>56104.85</v>
      </c>
      <c r="D32" s="82">
        <f>VLOOKUP($B32,'Data shares'!$C:$FB,98)</f>
        <v>34275910</v>
      </c>
      <c r="E32" s="165">
        <f>VLOOKUP(B32,'Snapshot (Volume)'!$A$7:$G$168,7,0)</f>
        <v>31890765</v>
      </c>
      <c r="F32" s="165">
        <f t="shared" si="5"/>
        <v>2385145</v>
      </c>
      <c r="G32" s="166">
        <f t="shared" si="6"/>
        <v>7.4791087639321283E-2</v>
      </c>
      <c r="H32" s="165">
        <f>VLOOKUP($B32,'Data shares'!$C:$FB,66)</f>
        <v>94201695</v>
      </c>
      <c r="I32" s="165">
        <f>VLOOKUP($B32,'Data shares'!$C:$FB,67)</f>
        <v>81698610</v>
      </c>
      <c r="J32" s="81">
        <f t="shared" si="7"/>
        <v>15.303913983359079</v>
      </c>
      <c r="K32" s="5">
        <f>VLOOKUP($B32,'Data Vlaue (Cr)'!$C:$FB,99)</f>
        <v>192966</v>
      </c>
      <c r="L32" s="81">
        <f>VLOOKUP(B32,'OI(Value)'!$A$7:$C$209,3,0)</f>
        <v>13428</v>
      </c>
      <c r="M32" s="33">
        <f t="shared" si="0"/>
        <v>6.9587388451851622</v>
      </c>
      <c r="N32" s="5">
        <f>VLOOKUP($B32,'Data Vlaue (Cr)'!$C:$FB,67)</f>
        <v>530335</v>
      </c>
      <c r="O32" s="5">
        <f>VLOOKUP($B32,'Data Vlaue (Cr)'!$C:$FB,68)</f>
        <v>459945</v>
      </c>
      <c r="P32" s="5">
        <f t="shared" si="8"/>
        <v>13.272742700368633</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Capital_Goods</v>
      </c>
      <c r="B33" s="79" t="str">
        <f>'Data shares'!C28</f>
        <v>BDL</v>
      </c>
      <c r="C33" s="4">
        <f>VLOOKUP($B33,'Data shares'!$C:$FB,7)</f>
        <v>1559.1</v>
      </c>
      <c r="D33" s="82">
        <f>VLOOKUP($B33,'Data shares'!$C:$FB,98)</f>
        <v>8543275</v>
      </c>
      <c r="E33" s="165">
        <f>VLOOKUP(B33,'Snapshot (Volume)'!$A$7:$G$168,7,0)</f>
        <v>8141900</v>
      </c>
      <c r="F33" s="165">
        <f t="shared" si="5"/>
        <v>401375</v>
      </c>
      <c r="G33" s="166">
        <f t="shared" si="6"/>
        <v>4.9297461280536484E-2</v>
      </c>
      <c r="H33" s="165">
        <f>VLOOKUP($B33,'Data shares'!$C:$FB,66)</f>
        <v>4315675</v>
      </c>
      <c r="I33" s="165">
        <f>VLOOKUP($B33,'Data shares'!$C:$FB,67)</f>
        <v>10868000</v>
      </c>
      <c r="J33" s="81">
        <f t="shared" si="7"/>
        <v>-60.290071770334933</v>
      </c>
      <c r="K33" s="5">
        <f>VLOOKUP($B33,'Data Vlaue (Cr)'!$C:$FB,99)</f>
        <v>1340</v>
      </c>
      <c r="L33" s="81">
        <f>VLOOKUP(B33,'OI(Value)'!$A$7:$C$209,3,0)</f>
        <v>63</v>
      </c>
      <c r="M33" s="33">
        <f t="shared" si="0"/>
        <v>4.7014925373134329</v>
      </c>
      <c r="N33" s="5">
        <f>VLOOKUP($B33,'Data Vlaue (Cr)'!$C:$FB,67)</f>
        <v>677</v>
      </c>
      <c r="O33" s="5">
        <f>VLOOKUP($B33,'Data Vlaue (Cr)'!$C:$FB,68)</f>
        <v>1705</v>
      </c>
      <c r="P33" s="5">
        <f t="shared" si="8"/>
        <v>-151.8463810930576</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BEL</v>
      </c>
      <c r="C34" s="4">
        <f>VLOOKUP($B34,'Data shares'!$C:$FB,7)</f>
        <v>413.25</v>
      </c>
      <c r="D34" s="82">
        <f>VLOOKUP($B34,'Data shares'!$C:$FB,98)</f>
        <v>191445900</v>
      </c>
      <c r="E34" s="165">
        <f>VLOOKUP(B34,'Snapshot (Volume)'!$A$7:$G$168,7,0)</f>
        <v>186672150</v>
      </c>
      <c r="F34" s="165">
        <f t="shared" si="5"/>
        <v>4773750</v>
      </c>
      <c r="G34" s="166">
        <f t="shared" si="6"/>
        <v>2.5572909510068857E-2</v>
      </c>
      <c r="H34" s="165">
        <f>VLOOKUP($B34,'Data shares'!$C:$FB,66)</f>
        <v>131507550</v>
      </c>
      <c r="I34" s="165">
        <f>VLOOKUP($B34,'Data shares'!$C:$FB,67)</f>
        <v>175323450</v>
      </c>
      <c r="J34" s="81">
        <f t="shared" si="7"/>
        <v>-24.991465773688574</v>
      </c>
      <c r="K34" s="5">
        <f>VLOOKUP($B34,'Data Vlaue (Cr)'!$C:$FB,99)</f>
        <v>7956</v>
      </c>
      <c r="L34" s="81">
        <f>VLOOKUP(B34,'OI(Value)'!$A$7:$C$209,3,0)</f>
        <v>198</v>
      </c>
      <c r="M34" s="33">
        <f t="shared" si="0"/>
        <v>2.4886877828054299</v>
      </c>
      <c r="N34" s="5">
        <f>VLOOKUP($B34,'Data Vlaue (Cr)'!$C:$FB,67)</f>
        <v>5465</v>
      </c>
      <c r="O34" s="5">
        <f>VLOOKUP($B34,'Data Vlaue (Cr)'!$C:$FB,68)</f>
        <v>7286</v>
      </c>
      <c r="P34" s="5">
        <f t="shared" si="8"/>
        <v>-33.321134492223237</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Automobile</v>
      </c>
      <c r="B35" s="79" t="str">
        <f>'Data shares'!C30</f>
        <v>BHARATFORG</v>
      </c>
      <c r="C35" s="4">
        <f>VLOOKUP($B35,'Data shares'!$C:$FB,7)</f>
        <v>1234.5999999999999</v>
      </c>
      <c r="D35" s="82">
        <f>VLOOKUP($B35,'Data shares'!$C:$FB,98)</f>
        <v>14504000</v>
      </c>
      <c r="E35" s="165">
        <f>VLOOKUP(B35,'Snapshot (Volume)'!$A$7:$G$168,7,0)</f>
        <v>13895000</v>
      </c>
      <c r="F35" s="165">
        <f t="shared" si="5"/>
        <v>609000</v>
      </c>
      <c r="G35" s="166">
        <f t="shared" si="6"/>
        <v>4.3828715365239294E-2</v>
      </c>
      <c r="H35" s="165">
        <f>VLOOKUP($B35,'Data shares'!$C:$FB,66)</f>
        <v>6182000</v>
      </c>
      <c r="I35" s="165">
        <f>VLOOKUP($B35,'Data shares'!$C:$FB,67)</f>
        <v>4588000</v>
      </c>
      <c r="J35" s="81">
        <f t="shared" si="7"/>
        <v>34.742807323452482</v>
      </c>
      <c r="K35" s="5">
        <f>VLOOKUP($B35,'Data Vlaue (Cr)'!$C:$FB,99)</f>
        <v>1783</v>
      </c>
      <c r="L35" s="81">
        <f>VLOOKUP(B35,'OI(Value)'!$A$7:$C$209,3,0)</f>
        <v>75</v>
      </c>
      <c r="M35" s="33">
        <f t="shared" si="0"/>
        <v>4.2063937184520475</v>
      </c>
      <c r="N35" s="5">
        <f>VLOOKUP($B35,'Data Vlaue (Cr)'!$C:$FB,67)</f>
        <v>760</v>
      </c>
      <c r="O35" s="5">
        <f>VLOOKUP($B35,'Data Vlaue (Cr)'!$C:$FB,68)</f>
        <v>564</v>
      </c>
      <c r="P35" s="5">
        <f t="shared" si="8"/>
        <v>25.789473684210527</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Telecom</v>
      </c>
      <c r="B36" s="79" t="str">
        <f>'Data shares'!C31</f>
        <v>BHARTIARTL</v>
      </c>
      <c r="C36" s="4">
        <f>VLOOKUP($B36,'Data shares'!$C:$FB,7)</f>
        <v>1903.1</v>
      </c>
      <c r="D36" s="82">
        <f>VLOOKUP($B36,'Data shares'!$C:$FB,98)</f>
        <v>62137600</v>
      </c>
      <c r="E36" s="165">
        <f>VLOOKUP(B36,'Snapshot (Volume)'!$A$7:$G$168,7,0)</f>
        <v>61987975</v>
      </c>
      <c r="F36" s="165">
        <f t="shared" si="5"/>
        <v>149625</v>
      </c>
      <c r="G36" s="166">
        <f t="shared" si="6"/>
        <v>2.4137746070911335E-3</v>
      </c>
      <c r="H36" s="165">
        <f>VLOOKUP($B36,'Data shares'!$C:$FB,66)</f>
        <v>23083100</v>
      </c>
      <c r="I36" s="165">
        <f>VLOOKUP($B36,'Data shares'!$C:$FB,67)</f>
        <v>44507025</v>
      </c>
      <c r="J36" s="81">
        <f t="shared" si="7"/>
        <v>-48.136052679324223</v>
      </c>
      <c r="K36" s="5">
        <f>VLOOKUP($B36,'Data Vlaue (Cr)'!$C:$FB,99)</f>
        <v>11882</v>
      </c>
      <c r="L36" s="81">
        <f>VLOOKUP(B36,'OI(Value)'!$A$7:$C$209,3,0)</f>
        <v>29</v>
      </c>
      <c r="M36" s="33">
        <f t="shared" si="0"/>
        <v>0.24406665544521125</v>
      </c>
      <c r="N36" s="5">
        <f>VLOOKUP($B36,'Data Vlaue (Cr)'!$C:$FB,67)</f>
        <v>4414</v>
      </c>
      <c r="O36" s="5">
        <f>VLOOKUP($B36,'Data Vlaue (Cr)'!$C:$FB,68)</f>
        <v>8511</v>
      </c>
      <c r="P36" s="5">
        <f t="shared" si="8"/>
        <v>-92.818305391934757</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Capital_Goods</v>
      </c>
      <c r="B37" s="79" t="str">
        <f>'Data shares'!C32</f>
        <v>BHEL</v>
      </c>
      <c r="C37" s="4">
        <f>VLOOKUP($B37,'Data shares'!$C:$FB,7)</f>
        <v>245.31</v>
      </c>
      <c r="D37" s="82">
        <f>VLOOKUP($B37,'Data shares'!$C:$FB,98)</f>
        <v>91092750</v>
      </c>
      <c r="E37" s="165">
        <f>VLOOKUP(B37,'Snapshot (Volume)'!$A$7:$G$168,7,0)</f>
        <v>89656875</v>
      </c>
      <c r="F37" s="165">
        <f t="shared" ref="F37:F43" si="9">D37-E37</f>
        <v>1435875</v>
      </c>
      <c r="G37" s="166">
        <f t="shared" ref="G37:G43" si="10">F37/E37</f>
        <v>1.6015224710876883E-2</v>
      </c>
      <c r="H37" s="165">
        <f>VLOOKUP($B37,'Data shares'!$C:$FB,66)</f>
        <v>45100125</v>
      </c>
      <c r="I37" s="165">
        <f>VLOOKUP($B37,'Data shares'!$C:$FB,67)</f>
        <v>75817875</v>
      </c>
      <c r="J37" s="81">
        <f t="shared" ref="J37:J43" si="11">(H37-I37)/I37*100</f>
        <v>-40.515181940934113</v>
      </c>
      <c r="K37" s="5">
        <f>VLOOKUP($B37,'Data Vlaue (Cr)'!$C:$FB,99)</f>
        <v>2243</v>
      </c>
      <c r="L37" s="81">
        <f>VLOOKUP(B37,'OI(Value)'!$A$7:$C$209,3,0)</f>
        <v>35</v>
      </c>
      <c r="M37" s="33">
        <f t="shared" ref="M37:M65" si="12">L37/K37*100</f>
        <v>1.5604101649576461</v>
      </c>
      <c r="N37" s="5">
        <f>VLOOKUP($B37,'Data Vlaue (Cr)'!$C:$FB,67)</f>
        <v>1111</v>
      </c>
      <c r="O37" s="5">
        <f>VLOOKUP($B37,'Data Vlaue (Cr)'!$C:$FB,68)</f>
        <v>1867</v>
      </c>
      <c r="P37" s="5">
        <f t="shared" ref="P37:P43" si="13">(N37-O37)/N37*100</f>
        <v>-68.046804680468043</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Pharma</v>
      </c>
      <c r="B38" s="79" t="str">
        <f>'Data shares'!C33</f>
        <v>BIOCON</v>
      </c>
      <c r="C38" s="4">
        <f>VLOOKUP($B38,'Data shares'!$C:$FB,7)</f>
        <v>347.75</v>
      </c>
      <c r="D38" s="82">
        <f>VLOOKUP($B38,'Data shares'!$C:$FB,98)</f>
        <v>60985000</v>
      </c>
      <c r="E38" s="165">
        <f>VLOOKUP(B38,'Snapshot (Volume)'!$A$7:$G$168,7,0)</f>
        <v>58502500</v>
      </c>
      <c r="F38" s="165">
        <f t="shared" si="9"/>
        <v>2482500</v>
      </c>
      <c r="G38" s="166">
        <f t="shared" si="10"/>
        <v>4.2434084013503695E-2</v>
      </c>
      <c r="H38" s="165">
        <f>VLOOKUP($B38,'Data shares'!$C:$FB,66)</f>
        <v>24337500</v>
      </c>
      <c r="I38" s="165">
        <f>VLOOKUP($B38,'Data shares'!$C:$FB,67)</f>
        <v>22055000</v>
      </c>
      <c r="J38" s="81">
        <f t="shared" si="11"/>
        <v>10.349127182044887</v>
      </c>
      <c r="K38" s="5">
        <f>VLOOKUP($B38,'Data Vlaue (Cr)'!$C:$FB,99)</f>
        <v>2131</v>
      </c>
      <c r="L38" s="81">
        <f>VLOOKUP(B38,'OI(Value)'!$A$7:$C$209,3,0)</f>
        <v>87</v>
      </c>
      <c r="M38" s="33">
        <f t="shared" si="12"/>
        <v>4.0825903331769124</v>
      </c>
      <c r="N38" s="5">
        <f>VLOOKUP($B38,'Data Vlaue (Cr)'!$C:$FB,67)</f>
        <v>851</v>
      </c>
      <c r="O38" s="5">
        <f>VLOOKUP($B38,'Data Vlaue (Cr)'!$C:$FB,68)</f>
        <v>771</v>
      </c>
      <c r="P38" s="5">
        <f t="shared" si="13"/>
        <v>9.4007050528789655</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BLUESTARCO</v>
      </c>
      <c r="C39" s="4">
        <f>VLOOKUP($B39,'Data shares'!$C:$FB,7)</f>
        <v>1892.8</v>
      </c>
      <c r="D39" s="82">
        <f>VLOOKUP($B39,'Data shares'!$C:$FB,98)</f>
        <v>2334150</v>
      </c>
      <c r="E39" s="165">
        <f>VLOOKUP(B39,'Snapshot (Volume)'!$A$7:$G$168,7,0)</f>
        <v>2311725</v>
      </c>
      <c r="F39" s="165">
        <f t="shared" si="9"/>
        <v>22425</v>
      </c>
      <c r="G39" s="166">
        <f t="shared" si="10"/>
        <v>9.7005482918599752E-3</v>
      </c>
      <c r="H39" s="165">
        <f>VLOOKUP($B39,'Data shares'!$C:$FB,66)</f>
        <v>568425</v>
      </c>
      <c r="I39" s="165">
        <f>VLOOKUP($B39,'Data shares'!$C:$FB,67)</f>
        <v>557375</v>
      </c>
      <c r="J39" s="81">
        <f t="shared" si="11"/>
        <v>1.9825072886297375</v>
      </c>
      <c r="K39" s="5">
        <f>VLOOKUP($B39,'Data Vlaue (Cr)'!$C:$FB,99)</f>
        <v>444</v>
      </c>
      <c r="L39" s="81">
        <f>VLOOKUP(B39,'OI(Value)'!$A$7:$C$209,3,0)</f>
        <v>4</v>
      </c>
      <c r="M39" s="33">
        <f t="shared" si="12"/>
        <v>0.90090090090090091</v>
      </c>
      <c r="N39" s="5">
        <f>VLOOKUP($B39,'Data Vlaue (Cr)'!$C:$FB,67)</f>
        <v>108</v>
      </c>
      <c r="O39" s="5">
        <f>VLOOKUP($B39,'Data Vlaue (Cr)'!$C:$FB,68)</f>
        <v>106</v>
      </c>
      <c r="P39" s="5">
        <f t="shared" si="13"/>
        <v>1.8518518518518516</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Automobile</v>
      </c>
      <c r="B40" s="79" t="str">
        <f>'Data shares'!C35</f>
        <v>BOSCHLTD</v>
      </c>
      <c r="C40" s="4">
        <f>VLOOKUP($B40,'Data shares'!$C:$FB,7)</f>
        <v>38800</v>
      </c>
      <c r="D40" s="82">
        <f>VLOOKUP($B40,'Data shares'!$C:$FB,98)</f>
        <v>314025</v>
      </c>
      <c r="E40" s="165">
        <f>VLOOKUP(B40,'Snapshot (Volume)'!$A$7:$G$168,7,0)</f>
        <v>308775</v>
      </c>
      <c r="F40" s="165">
        <f t="shared" si="9"/>
        <v>5250</v>
      </c>
      <c r="G40" s="166">
        <f t="shared" si="10"/>
        <v>1.7002671848433324E-2</v>
      </c>
      <c r="H40" s="165">
        <f>VLOOKUP($B40,'Data shares'!$C:$FB,66)</f>
        <v>140925</v>
      </c>
      <c r="I40" s="165">
        <f>VLOOKUP($B40,'Data shares'!$C:$FB,67)</f>
        <v>132075</v>
      </c>
      <c r="J40" s="81">
        <f t="shared" si="11"/>
        <v>6.7007382169222032</v>
      </c>
      <c r="K40" s="5">
        <f>VLOOKUP($B40,'Data Vlaue (Cr)'!$C:$FB,99)</f>
        <v>1226</v>
      </c>
      <c r="L40" s="81">
        <f>VLOOKUP(B40,'OI(Value)'!$A$7:$C$209,3,0)</f>
        <v>20</v>
      </c>
      <c r="M40" s="33">
        <f t="shared" si="12"/>
        <v>1.6313213703099509</v>
      </c>
      <c r="N40" s="5">
        <f>VLOOKUP($B40,'Data Vlaue (Cr)'!$C:$FB,67)</f>
        <v>550</v>
      </c>
      <c r="O40" s="5">
        <f>VLOOKUP($B40,'Data Vlaue (Cr)'!$C:$FB,68)</f>
        <v>515</v>
      </c>
      <c r="P40" s="5">
        <f t="shared" si="13"/>
        <v>6.3636363636363633</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Oil_Gas</v>
      </c>
      <c r="B41" s="79" t="str">
        <f>'Data shares'!C36</f>
        <v>BPCL</v>
      </c>
      <c r="C41" s="4">
        <f>VLOOKUP($B41,'Data shares'!$C:$FB,7)</f>
        <v>343.6</v>
      </c>
      <c r="D41" s="82">
        <f>VLOOKUP($B41,'Data shares'!$C:$FB,98)</f>
        <v>58157825</v>
      </c>
      <c r="E41" s="165">
        <f>VLOOKUP(B41,'Snapshot (Volume)'!$A$7:$G$168,7,0)</f>
        <v>52057050</v>
      </c>
      <c r="F41" s="165">
        <f t="shared" si="9"/>
        <v>6100775</v>
      </c>
      <c r="G41" s="166">
        <f t="shared" si="10"/>
        <v>0.11719402079065179</v>
      </c>
      <c r="H41" s="165">
        <f>VLOOKUP($B41,'Data shares'!$C:$FB,66)</f>
        <v>67250725</v>
      </c>
      <c r="I41" s="165">
        <f>VLOOKUP($B41,'Data shares'!$C:$FB,67)</f>
        <v>34931825</v>
      </c>
      <c r="J41" s="81">
        <f t="shared" si="11"/>
        <v>92.519929892011078</v>
      </c>
      <c r="K41" s="5">
        <f>VLOOKUP($B41,'Data Vlaue (Cr)'!$C:$FB,99)</f>
        <v>2012</v>
      </c>
      <c r="L41" s="81">
        <f>VLOOKUP(B41,'OI(Value)'!$A$7:$C$209,3,0)</f>
        <v>211</v>
      </c>
      <c r="M41" s="33">
        <f t="shared" si="12"/>
        <v>10.487077534791252</v>
      </c>
      <c r="N41" s="5">
        <f>VLOOKUP($B41,'Data Vlaue (Cr)'!$C:$FB,67)</f>
        <v>2326</v>
      </c>
      <c r="O41" s="5">
        <f>VLOOKUP($B41,'Data Vlaue (Cr)'!$C:$FB,68)</f>
        <v>1208</v>
      </c>
      <c r="P41" s="5">
        <f t="shared" si="13"/>
        <v>48.065348237317288</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FMCG</v>
      </c>
      <c r="B42" s="79" t="str">
        <f>'Data shares'!C37</f>
        <v>BRITANNIA</v>
      </c>
      <c r="C42" s="4">
        <f>VLOOKUP($B42,'Data shares'!$C:$FB,7)</f>
        <v>6011</v>
      </c>
      <c r="D42" s="82">
        <f>VLOOKUP($B42,'Data shares'!$C:$FB,98)</f>
        <v>4793500</v>
      </c>
      <c r="E42" s="165">
        <f>VLOOKUP(B42,'Snapshot (Volume)'!$A$7:$G$168,7,0)</f>
        <v>4677500</v>
      </c>
      <c r="F42" s="165">
        <f t="shared" si="9"/>
        <v>116000</v>
      </c>
      <c r="G42" s="166">
        <f t="shared" si="10"/>
        <v>2.4799572421165154E-2</v>
      </c>
      <c r="H42" s="165">
        <f>VLOOKUP($B42,'Data shares'!$C:$FB,66)</f>
        <v>1227250</v>
      </c>
      <c r="I42" s="165">
        <f>VLOOKUP($B42,'Data shares'!$C:$FB,67)</f>
        <v>1040625</v>
      </c>
      <c r="J42" s="81">
        <f t="shared" si="11"/>
        <v>17.933933933933936</v>
      </c>
      <c r="K42" s="5">
        <f>VLOOKUP($B42,'Data Vlaue (Cr)'!$C:$FB,99)</f>
        <v>2892</v>
      </c>
      <c r="L42" s="81">
        <f>VLOOKUP(B42,'OI(Value)'!$A$7:$C$209,3,0)</f>
        <v>70</v>
      </c>
      <c r="M42" s="33">
        <f t="shared" si="12"/>
        <v>2.4204702627939145</v>
      </c>
      <c r="N42" s="5">
        <f>VLOOKUP($B42,'Data Vlaue (Cr)'!$C:$FB,67)</f>
        <v>741</v>
      </c>
      <c r="O42" s="5">
        <f>VLOOKUP($B42,'Data Vlaue (Cr)'!$C:$FB,68)</f>
        <v>628</v>
      </c>
      <c r="P42" s="5">
        <f t="shared" si="13"/>
        <v>15.24966261808367</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Finance</v>
      </c>
      <c r="B43" s="79" t="str">
        <f>'Data shares'!C38</f>
        <v>BSE</v>
      </c>
      <c r="C43" s="4">
        <f>VLOOKUP($B43,'Data shares'!$C:$FB,7)</f>
        <v>2217.9</v>
      </c>
      <c r="D43" s="82">
        <f>VLOOKUP($B43,'Data shares'!$C:$FB,98)</f>
        <v>28260000</v>
      </c>
      <c r="E43" s="165">
        <f>VLOOKUP(B43,'Snapshot (Volume)'!$A$7:$G$168,7,0)</f>
        <v>27536625</v>
      </c>
      <c r="F43" s="165">
        <f t="shared" si="9"/>
        <v>723375</v>
      </c>
      <c r="G43" s="166">
        <f t="shared" si="10"/>
        <v>2.6269559178003839E-2</v>
      </c>
      <c r="H43" s="165">
        <f>VLOOKUP($B43,'Data shares'!$C:$FB,66)</f>
        <v>63988875</v>
      </c>
      <c r="I43" s="165">
        <f>VLOOKUP($B43,'Data shares'!$C:$FB,67)</f>
        <v>17036625</v>
      </c>
      <c r="J43" s="81">
        <f t="shared" si="11"/>
        <v>275.59595870661002</v>
      </c>
      <c r="K43" s="5">
        <f>VLOOKUP($B43,'Data Vlaue (Cr)'!$C:$FB,99)</f>
        <v>6303</v>
      </c>
      <c r="L43" s="81">
        <f>VLOOKUP(B43,'OI(Value)'!$A$7:$C$209,3,0)</f>
        <v>161</v>
      </c>
      <c r="M43" s="33">
        <f t="shared" si="12"/>
        <v>2.5543392035538632</v>
      </c>
      <c r="N43" s="5">
        <f>VLOOKUP($B43,'Data Vlaue (Cr)'!$C:$FB,67)</f>
        <v>14271</v>
      </c>
      <c r="O43" s="5">
        <f>VLOOKUP($B43,'Data Vlaue (Cr)'!$C:$FB,68)</f>
        <v>3800</v>
      </c>
      <c r="P43" s="5">
        <f t="shared" si="13"/>
        <v>73.372573750963483</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CAMS</v>
      </c>
      <c r="C44" s="79">
        <f>VLOOKUP($B44,'Data shares'!$C:$FB,7)</f>
        <v>3825.5</v>
      </c>
      <c r="D44" s="165">
        <f>VLOOKUP($B44,'Data shares'!$C:$FB,98)</f>
        <v>2960850</v>
      </c>
      <c r="E44" s="165">
        <f>VLOOKUP(B44,'Snapshot (Volume)'!$A$7:$G$168,7,0)</f>
        <v>2803200</v>
      </c>
      <c r="F44" s="165">
        <f t="shared" ref="F44:F49" si="14">D44-E44</f>
        <v>157650</v>
      </c>
      <c r="G44" s="166">
        <f t="shared" ref="G44:G49" si="15">F44/E44</f>
        <v>5.6239297945205477E-2</v>
      </c>
      <c r="H44" s="165">
        <f>VLOOKUP($B44,'Data shares'!$C:$FB,66)</f>
        <v>1444050</v>
      </c>
      <c r="I44" s="165">
        <f>VLOOKUP($B44,'Data shares'!$C:$FB,67)</f>
        <v>1255050</v>
      </c>
      <c r="J44" s="81">
        <f t="shared" ref="J44:J49" si="16">(H44-I44)/I44*100</f>
        <v>15.059160989602008</v>
      </c>
      <c r="K44" s="81">
        <f>VLOOKUP($B44,'Data Vlaue (Cr)'!$C:$FB,99)</f>
        <v>1142</v>
      </c>
      <c r="L44" s="81">
        <f>VLOOKUP(B44,'OI(Value)'!$A$7:$C$209,3,0)</f>
        <v>61</v>
      </c>
      <c r="M44" s="81">
        <f t="shared" si="12"/>
        <v>5.3415061295971977</v>
      </c>
      <c r="N44" s="81">
        <f>VLOOKUP($B44,'Data Vlaue (Cr)'!$C:$FB,67)</f>
        <v>557</v>
      </c>
      <c r="O44" s="81">
        <f>VLOOKUP($B44,'Data Vlaue (Cr)'!$C:$FB,68)</f>
        <v>484</v>
      </c>
      <c r="P44" s="81">
        <f t="shared" ref="P44:P49" si="17">(N44-O44)/N44*100</f>
        <v>13.10592459605027</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Banking</v>
      </c>
      <c r="B45" s="79" t="str">
        <f>'Data shares'!C40</f>
        <v>CANBK</v>
      </c>
      <c r="C45" s="4">
        <f>VLOOKUP($B45,'Data shares'!$C:$FB,7)</f>
        <v>126.76</v>
      </c>
      <c r="D45" s="82">
        <f>VLOOKUP($B45,'Data shares'!$C:$FB,98)</f>
        <v>413106750</v>
      </c>
      <c r="E45" s="165">
        <f>VLOOKUP(B45,'Snapshot (Volume)'!$A$7:$G$168,7,0)</f>
        <v>401051250</v>
      </c>
      <c r="F45" s="165">
        <f t="shared" si="14"/>
        <v>12055500</v>
      </c>
      <c r="G45" s="166">
        <f t="shared" si="15"/>
        <v>3.0059749221577042E-2</v>
      </c>
      <c r="H45" s="165">
        <f>VLOOKUP($B45,'Data shares'!$C:$FB,66)</f>
        <v>279105750</v>
      </c>
      <c r="I45" s="165">
        <f>VLOOKUP($B45,'Data shares'!$C:$FB,67)</f>
        <v>357338250</v>
      </c>
      <c r="J45" s="81">
        <f t="shared" si="16"/>
        <v>-21.89312227280455</v>
      </c>
      <c r="K45" s="5">
        <f>VLOOKUP($B45,'Data Vlaue (Cr)'!$C:$FB,99)</f>
        <v>5264</v>
      </c>
      <c r="L45" s="81">
        <f>VLOOKUP(B45,'OI(Value)'!$A$7:$C$209,3,0)</f>
        <v>154</v>
      </c>
      <c r="M45" s="33">
        <f t="shared" si="12"/>
        <v>2.9255319148936172</v>
      </c>
      <c r="N45" s="5">
        <f>VLOOKUP($B45,'Data Vlaue (Cr)'!$C:$FB,67)</f>
        <v>3556</v>
      </c>
      <c r="O45" s="5">
        <f>VLOOKUP($B45,'Data Vlaue (Cr)'!$C:$FB,68)</f>
        <v>4553</v>
      </c>
      <c r="P45" s="5">
        <f t="shared" si="17"/>
        <v>-28.037120359955004</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CDSL</v>
      </c>
      <c r="C46" s="4">
        <f>VLOOKUP($B46,'Data shares'!$C:$FB,7)</f>
        <v>1524.9</v>
      </c>
      <c r="D46" s="82">
        <f>VLOOKUP($B46,'Data shares'!$C:$FB,98)</f>
        <v>16349975</v>
      </c>
      <c r="E46" s="165">
        <f>VLOOKUP(B46,'Snapshot (Volume)'!$A$7:$G$168,7,0)</f>
        <v>15795175</v>
      </c>
      <c r="F46" s="165">
        <f t="shared" si="14"/>
        <v>554800</v>
      </c>
      <c r="G46" s="166">
        <f t="shared" si="15"/>
        <v>3.5124650407482035E-2</v>
      </c>
      <c r="H46" s="165">
        <f>VLOOKUP($B46,'Data shares'!$C:$FB,66)</f>
        <v>18374425</v>
      </c>
      <c r="I46" s="165">
        <f>VLOOKUP($B46,'Data shares'!$C:$FB,67)</f>
        <v>7883100</v>
      </c>
      <c r="J46" s="81">
        <f t="shared" si="16"/>
        <v>133.08628585201254</v>
      </c>
      <c r="K46" s="5">
        <f>VLOOKUP($B46,'Data Vlaue (Cr)'!$C:$FB,99)</f>
        <v>2500</v>
      </c>
      <c r="L46" s="81">
        <f>VLOOKUP(B46,'OI(Value)'!$A$7:$C$209,3,0)</f>
        <v>85</v>
      </c>
      <c r="M46" s="33">
        <f t="shared" si="12"/>
        <v>3.4000000000000004</v>
      </c>
      <c r="N46" s="5">
        <f>VLOOKUP($B46,'Data Vlaue (Cr)'!$C:$FB,67)</f>
        <v>2810</v>
      </c>
      <c r="O46" s="5">
        <f>VLOOKUP($B46,'Data Vlaue (Cr)'!$C:$FB,68)</f>
        <v>1206</v>
      </c>
      <c r="P46" s="5">
        <f t="shared" si="17"/>
        <v>57.081850533807831</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Power</v>
      </c>
      <c r="B47" s="79" t="str">
        <f>'Data shares'!C42</f>
        <v>CGPOWER</v>
      </c>
      <c r="C47" s="4">
        <f>VLOOKUP($B47,'Data shares'!$C:$FB,7)</f>
        <v>745.4</v>
      </c>
      <c r="D47" s="82">
        <f>VLOOKUP($B47,'Data shares'!$C:$FB,98)</f>
        <v>24307450</v>
      </c>
      <c r="E47" s="165">
        <f>VLOOKUP(B47,'Snapshot (Volume)'!$A$7:$G$168,7,0)</f>
        <v>23689500</v>
      </c>
      <c r="F47" s="165">
        <f t="shared" si="14"/>
        <v>617950</v>
      </c>
      <c r="G47" s="166">
        <f t="shared" si="15"/>
        <v>2.6085396483674202E-2</v>
      </c>
      <c r="H47" s="165">
        <f>VLOOKUP($B47,'Data shares'!$C:$FB,66)</f>
        <v>5378800</v>
      </c>
      <c r="I47" s="165">
        <f>VLOOKUP($B47,'Data shares'!$C:$FB,67)</f>
        <v>6229650</v>
      </c>
      <c r="J47" s="81">
        <f t="shared" si="16"/>
        <v>-13.658070678127984</v>
      </c>
      <c r="K47" s="5">
        <f>VLOOKUP($B47,'Data Vlaue (Cr)'!$C:$FB,99)</f>
        <v>1823</v>
      </c>
      <c r="L47" s="81">
        <f>VLOOKUP(B47,'OI(Value)'!$A$7:$C$209,3,0)</f>
        <v>46</v>
      </c>
      <c r="M47" s="33">
        <f t="shared" si="12"/>
        <v>2.5233132199670871</v>
      </c>
      <c r="N47" s="5">
        <f>VLOOKUP($B47,'Data Vlaue (Cr)'!$C:$FB,67)</f>
        <v>403</v>
      </c>
      <c r="O47" s="5">
        <f>VLOOKUP($B47,'Data Vlaue (Cr)'!$C:$FB,68)</f>
        <v>467</v>
      </c>
      <c r="P47" s="5">
        <f t="shared" si="17"/>
        <v>-15.88089330024814</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CHOLAFIN</v>
      </c>
      <c r="C48" s="4">
        <f>VLOOKUP($B48,'Data shares'!$C:$FB,7)</f>
        <v>1634.1</v>
      </c>
      <c r="D48" s="82">
        <f>VLOOKUP($B48,'Data shares'!$C:$FB,98)</f>
        <v>18148750</v>
      </c>
      <c r="E48" s="165">
        <f>VLOOKUP(B48,'Snapshot (Volume)'!$A$7:$G$168,7,0)</f>
        <v>18015000</v>
      </c>
      <c r="F48" s="165">
        <f t="shared" si="14"/>
        <v>133750</v>
      </c>
      <c r="G48" s="166">
        <f t="shared" si="15"/>
        <v>7.424368581737441E-3</v>
      </c>
      <c r="H48" s="165">
        <f>VLOOKUP($B48,'Data shares'!$C:$FB,66)</f>
        <v>14715625</v>
      </c>
      <c r="I48" s="165">
        <f>VLOOKUP($B48,'Data shares'!$C:$FB,67)</f>
        <v>9516250</v>
      </c>
      <c r="J48" s="81">
        <f t="shared" si="16"/>
        <v>54.636805464337314</v>
      </c>
      <c r="K48" s="5">
        <f>VLOOKUP($B48,'Data Vlaue (Cr)'!$C:$FB,99)</f>
        <v>2941</v>
      </c>
      <c r="L48" s="81">
        <f>VLOOKUP(B48,'OI(Value)'!$A$7:$C$209,3,0)</f>
        <v>22</v>
      </c>
      <c r="M48" s="33">
        <f t="shared" si="12"/>
        <v>0.74804488269296154</v>
      </c>
      <c r="N48" s="5">
        <f>VLOOKUP($B48,'Data Vlaue (Cr)'!$C:$FB,67)</f>
        <v>2385</v>
      </c>
      <c r="O48" s="5">
        <f>VLOOKUP($B48,'Data Vlaue (Cr)'!$C:$FB,68)</f>
        <v>1542</v>
      </c>
      <c r="P48" s="5">
        <f t="shared" si="17"/>
        <v>35.345911949685529</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Pharma</v>
      </c>
      <c r="B49" s="79" t="str">
        <f>'Data shares'!C44</f>
        <v>CIPLA</v>
      </c>
      <c r="C49" s="4">
        <f>VLOOKUP($B49,'Data shares'!$C:$FB,7)</f>
        <v>1513.1</v>
      </c>
      <c r="D49" s="82">
        <f>VLOOKUP($B49,'Data shares'!$C:$FB,98)</f>
        <v>15394875</v>
      </c>
      <c r="E49" s="165">
        <f>VLOOKUP(B49,'Snapshot (Volume)'!$A$7:$G$168,7,0)</f>
        <v>14830500</v>
      </c>
      <c r="F49" s="165">
        <f t="shared" si="14"/>
        <v>564375</v>
      </c>
      <c r="G49" s="166">
        <f t="shared" si="15"/>
        <v>3.8055021745726711E-2</v>
      </c>
      <c r="H49" s="165">
        <f>VLOOKUP($B49,'Data shares'!$C:$FB,66)</f>
        <v>4946250</v>
      </c>
      <c r="I49" s="165">
        <f>VLOOKUP($B49,'Data shares'!$C:$FB,67)</f>
        <v>4588875</v>
      </c>
      <c r="J49" s="81">
        <f t="shared" si="16"/>
        <v>7.7878565007763338</v>
      </c>
      <c r="K49" s="5">
        <f>VLOOKUP($B49,'Data Vlaue (Cr)'!$C:$FB,99)</f>
        <v>2343</v>
      </c>
      <c r="L49" s="81">
        <f>VLOOKUP(B49,'OI(Value)'!$A$7:$C$209,3,0)</f>
        <v>86</v>
      </c>
      <c r="M49" s="33">
        <f t="shared" si="12"/>
        <v>3.6705078958600081</v>
      </c>
      <c r="N49" s="5">
        <f>VLOOKUP($B49,'Data Vlaue (Cr)'!$C:$FB,67)</f>
        <v>753</v>
      </c>
      <c r="O49" s="5">
        <f>VLOOKUP($B49,'Data Vlaue (Cr)'!$C:$FB,68)</f>
        <v>698</v>
      </c>
      <c r="P49" s="5">
        <f t="shared" si="17"/>
        <v>7.3041168658698545</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Metals</v>
      </c>
      <c r="B50" s="79" t="str">
        <f>'Data shares'!C45</f>
        <v>COALINDIA</v>
      </c>
      <c r="C50" s="4">
        <f>VLOOKUP($B50,'Data shares'!$C:$FB,7)</f>
        <v>381.9</v>
      </c>
      <c r="D50" s="82">
        <f>VLOOKUP($B50,'Data shares'!$C:$FB,98)</f>
        <v>112428000</v>
      </c>
      <c r="E50" s="165">
        <f>VLOOKUP(B50,'Snapshot (Volume)'!$A$7:$G$168,7,0)</f>
        <v>107796150</v>
      </c>
      <c r="F50" s="165">
        <f>D50-E50</f>
        <v>4631850</v>
      </c>
      <c r="G50" s="166">
        <f>F50/E50</f>
        <v>4.2968603238612881E-2</v>
      </c>
      <c r="H50" s="165">
        <f>VLOOKUP($B50,'Data shares'!$C:$FB,66)</f>
        <v>34678800</v>
      </c>
      <c r="I50" s="165">
        <f>VLOOKUP($B50,'Data shares'!$C:$FB,67)</f>
        <v>60710850</v>
      </c>
      <c r="J50" s="81">
        <f>(H50-I50)/I50*100</f>
        <v>-42.878744079517908</v>
      </c>
      <c r="K50" s="5">
        <f>VLOOKUP($B50,'Data Vlaue (Cr)'!$C:$FB,99)</f>
        <v>4319</v>
      </c>
      <c r="L50" s="81">
        <f>VLOOKUP(B50,'OI(Value)'!$A$7:$C$209,3,0)</f>
        <v>178</v>
      </c>
      <c r="M50" s="33">
        <f t="shared" si="12"/>
        <v>4.1213243806436681</v>
      </c>
      <c r="N50" s="5">
        <f>VLOOKUP($B50,'Data Vlaue (Cr)'!$C:$FB,67)</f>
        <v>1332</v>
      </c>
      <c r="O50" s="5">
        <f>VLOOKUP($B50,'Data Vlaue (Cr)'!$C:$FB,68)</f>
        <v>2333</v>
      </c>
      <c r="P50" s="5">
        <f>(N50-O50)/N50*100</f>
        <v>-75.150150150150154</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Technology</v>
      </c>
      <c r="B51" s="79" t="str">
        <f>'Data shares'!C46</f>
        <v>COFORGE</v>
      </c>
      <c r="C51" s="4">
        <f>VLOOKUP($B51,'Data shares'!$C:$FB,7)</f>
        <v>1662.4</v>
      </c>
      <c r="D51" s="82">
        <f>VLOOKUP($B51,'Data shares'!$C:$FB,98)</f>
        <v>19674000</v>
      </c>
      <c r="E51" s="165">
        <f>VLOOKUP(B51,'Snapshot (Volume)'!$A$7:$G$168,7,0)</f>
        <v>19698000</v>
      </c>
      <c r="F51" s="165">
        <f>D51-E51</f>
        <v>-24000</v>
      </c>
      <c r="G51" s="166">
        <f>F51/E51</f>
        <v>-1.2183978068839476E-3</v>
      </c>
      <c r="H51" s="165">
        <f>VLOOKUP($B51,'Data shares'!$C:$FB,66)</f>
        <v>15207375</v>
      </c>
      <c r="I51" s="165">
        <f>VLOOKUP($B51,'Data shares'!$C:$FB,67)</f>
        <v>7171875</v>
      </c>
      <c r="J51" s="81">
        <f>(H51-I51)/I51*100</f>
        <v>112.04183006535948</v>
      </c>
      <c r="K51" s="5">
        <f>VLOOKUP($B51,'Data Vlaue (Cr)'!$C:$FB,99)</f>
        <v>3283</v>
      </c>
      <c r="L51" s="81">
        <f>VLOOKUP(B51,'OI(Value)'!$A$7:$C$209,3,0)</f>
        <v>-4</v>
      </c>
      <c r="M51" s="33">
        <f t="shared" si="12"/>
        <v>-0.12183978068839477</v>
      </c>
      <c r="N51" s="5">
        <f>VLOOKUP($B51,'Data Vlaue (Cr)'!$C:$FB,67)</f>
        <v>2537</v>
      </c>
      <c r="O51" s="5">
        <f>VLOOKUP($B51,'Data Vlaue (Cr)'!$C:$FB,68)</f>
        <v>1197</v>
      </c>
      <c r="P51" s="5">
        <f>(N51-O51)/N51*100</f>
        <v>52.818289318092241</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FMCG</v>
      </c>
      <c r="B52" s="79" t="str">
        <f>'Data shares'!C47</f>
        <v>COLPAL</v>
      </c>
      <c r="C52" s="79">
        <f>VLOOKUP($B52,'Data shares'!$C:$FB,7)</f>
        <v>2228.8000000000002</v>
      </c>
      <c r="D52" s="80">
        <f>VLOOKUP($B52,'Data shares'!$C:$FB,98)</f>
        <v>7889625</v>
      </c>
      <c r="E52" s="165">
        <f>VLOOKUP(B52,'Snapshot (Volume)'!$A$7:$G$168,7,0)</f>
        <v>7876350</v>
      </c>
      <c r="F52" s="165">
        <f t="shared" ref="F52:F68" si="18">D52-E52</f>
        <v>13275</v>
      </c>
      <c r="G52" s="166">
        <f t="shared" ref="G52:G68" si="19">F52/E52</f>
        <v>1.6854253556533166E-3</v>
      </c>
      <c r="H52" s="165">
        <f>VLOOKUP($B52,'Data shares'!$C:$FB,66)</f>
        <v>2433375</v>
      </c>
      <c r="I52" s="165">
        <f>VLOOKUP($B52,'Data shares'!$C:$FB,67)</f>
        <v>2793375</v>
      </c>
      <c r="J52" s="81">
        <f t="shared" ref="J52:J68" si="20">(H52-I52)/I52*100</f>
        <v>-12.88763592428514</v>
      </c>
      <c r="K52" s="81">
        <f>VLOOKUP($B52,'Data Vlaue (Cr)'!$C:$FB,99)</f>
        <v>1770</v>
      </c>
      <c r="L52" s="81">
        <f>VLOOKUP(B52,'OI(Value)'!$A$7:$C$209,3,0)</f>
        <v>3</v>
      </c>
      <c r="M52" s="81">
        <f t="shared" si="12"/>
        <v>0.16949152542372881</v>
      </c>
      <c r="N52" s="81">
        <f>VLOOKUP($B52,'Data Vlaue (Cr)'!$C:$FB,67)</f>
        <v>546</v>
      </c>
      <c r="O52" s="81">
        <f>VLOOKUP($B52,'Data Vlaue (Cr)'!$C:$FB,68)</f>
        <v>627</v>
      </c>
      <c r="P52" s="81">
        <f t="shared" ref="P52:P68" si="21">(N52-O52)/N52*100</f>
        <v>-14.835164835164836</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CONCOR</v>
      </c>
      <c r="C53" s="4">
        <f>VLOOKUP($B53,'Data shares'!$C:$FB,7)</f>
        <v>532.15</v>
      </c>
      <c r="D53" s="82">
        <f>VLOOKUP($B53,'Data shares'!$C:$FB,98)</f>
        <v>39386250</v>
      </c>
      <c r="E53" s="165">
        <f>VLOOKUP(B53,'Snapshot (Volume)'!$A$7:$G$168,7,0)</f>
        <v>37810000</v>
      </c>
      <c r="F53" s="165">
        <f t="shared" si="18"/>
        <v>1576250</v>
      </c>
      <c r="G53" s="166">
        <f t="shared" si="19"/>
        <v>4.1688706691351496E-2</v>
      </c>
      <c r="H53" s="165">
        <f>VLOOKUP($B53,'Data shares'!$C:$FB,66)</f>
        <v>9037500</v>
      </c>
      <c r="I53" s="165">
        <f>VLOOKUP($B53,'Data shares'!$C:$FB,67)</f>
        <v>13155000</v>
      </c>
      <c r="J53" s="81">
        <f t="shared" si="20"/>
        <v>-31.299885974914481</v>
      </c>
      <c r="K53" s="5">
        <f>VLOOKUP($B53,'Data Vlaue (Cr)'!$C:$FB,99)</f>
        <v>2103</v>
      </c>
      <c r="L53" s="81">
        <f>VLOOKUP(B53,'OI(Value)'!$A$7:$C$209,3,0)</f>
        <v>84</v>
      </c>
      <c r="M53" s="33">
        <f t="shared" si="12"/>
        <v>3.9942938659058487</v>
      </c>
      <c r="N53" s="5">
        <f>VLOOKUP($B53,'Data Vlaue (Cr)'!$C:$FB,67)</f>
        <v>483</v>
      </c>
      <c r="O53" s="5">
        <f>VLOOKUP($B53,'Data Vlaue (Cr)'!$C:$FB,68)</f>
        <v>702</v>
      </c>
      <c r="P53" s="5">
        <f t="shared" si="21"/>
        <v>-45.341614906832298</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Capital_Goods</v>
      </c>
      <c r="B54" s="79" t="str">
        <f>'Data shares'!C49</f>
        <v>CROMPTON</v>
      </c>
      <c r="C54" s="4">
        <f>VLOOKUP($B54,'Data shares'!$C:$FB,7)</f>
        <v>289.05</v>
      </c>
      <c r="D54" s="82">
        <f>VLOOKUP($B54,'Data shares'!$C:$FB,98)</f>
        <v>69708600</v>
      </c>
      <c r="E54" s="165">
        <f>VLOOKUP(B54,'Snapshot (Volume)'!$A$7:$G$168,7,0)</f>
        <v>65073600</v>
      </c>
      <c r="F54" s="165">
        <f t="shared" si="18"/>
        <v>4635000</v>
      </c>
      <c r="G54" s="166">
        <f t="shared" si="19"/>
        <v>7.1227041380836464E-2</v>
      </c>
      <c r="H54" s="165">
        <f>VLOOKUP($B54,'Data shares'!$C:$FB,66)</f>
        <v>21603600</v>
      </c>
      <c r="I54" s="165">
        <f>VLOOKUP($B54,'Data shares'!$C:$FB,67)</f>
        <v>9624600</v>
      </c>
      <c r="J54" s="81">
        <f t="shared" si="20"/>
        <v>124.46231531700019</v>
      </c>
      <c r="K54" s="5">
        <f>VLOOKUP($B54,'Data Vlaue (Cr)'!$C:$FB,99)</f>
        <v>2027</v>
      </c>
      <c r="L54" s="81">
        <f>VLOOKUP(B54,'OI(Value)'!$A$7:$C$209,3,0)</f>
        <v>135</v>
      </c>
      <c r="M54" s="33">
        <f t="shared" si="12"/>
        <v>6.6600888011840169</v>
      </c>
      <c r="N54" s="5">
        <f>VLOOKUP($B54,'Data Vlaue (Cr)'!$C:$FB,67)</f>
        <v>628</v>
      </c>
      <c r="O54" s="5">
        <f>VLOOKUP($B54,'Data Vlaue (Cr)'!$C:$FB,68)</f>
        <v>280</v>
      </c>
      <c r="P54" s="5">
        <f t="shared" si="21"/>
        <v>55.414012738853501</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CUMMINSIND</v>
      </c>
      <c r="C55" s="4">
        <f>VLOOKUP($B55,'Data shares'!$C:$FB,7)</f>
        <v>3943</v>
      </c>
      <c r="D55" s="82">
        <f>VLOOKUP($B55,'Data shares'!$C:$FB,98)</f>
        <v>4047200</v>
      </c>
      <c r="E55" s="165">
        <f>VLOOKUP(B55,'Snapshot (Volume)'!$A$7:$G$168,7,0)</f>
        <v>3975400</v>
      </c>
      <c r="F55" s="165">
        <f t="shared" si="18"/>
        <v>71800</v>
      </c>
      <c r="G55" s="166">
        <f t="shared" si="19"/>
        <v>1.8061075615032448E-2</v>
      </c>
      <c r="H55" s="165">
        <f>VLOOKUP($B55,'Data shares'!$C:$FB,66)</f>
        <v>1508800</v>
      </c>
      <c r="I55" s="165">
        <f>VLOOKUP($B55,'Data shares'!$C:$FB,67)</f>
        <v>1943800</v>
      </c>
      <c r="J55" s="81">
        <f t="shared" si="20"/>
        <v>-22.378845560242823</v>
      </c>
      <c r="K55" s="5">
        <f>VLOOKUP($B55,'Data Vlaue (Cr)'!$C:$FB,99)</f>
        <v>1605</v>
      </c>
      <c r="L55" s="81">
        <f>VLOOKUP(B55,'OI(Value)'!$A$7:$C$209,3,0)</f>
        <v>28</v>
      </c>
      <c r="M55" s="33">
        <f t="shared" si="12"/>
        <v>1.7445482866043613</v>
      </c>
      <c r="N55" s="5">
        <f>VLOOKUP($B55,'Data Vlaue (Cr)'!$C:$FB,67)</f>
        <v>598</v>
      </c>
      <c r="O55" s="5">
        <f>VLOOKUP($B55,'Data Vlaue (Cr)'!$C:$FB,68)</f>
        <v>771</v>
      </c>
      <c r="P55" s="5">
        <f t="shared" si="21"/>
        <v>-28.929765886287623</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Technology</v>
      </c>
      <c r="B56" s="79" t="str">
        <f>'Data shares'!C51</f>
        <v>CYIENT</v>
      </c>
      <c r="C56" s="4">
        <f>VLOOKUP($B56,'Data shares'!$C:$FB,7)</f>
        <v>1180.5999999999999</v>
      </c>
      <c r="D56" s="82">
        <f>VLOOKUP($B56,'Data shares'!$C:$FB,98)</f>
        <v>5790200</v>
      </c>
      <c r="E56" s="165">
        <f>VLOOKUP(B56,'Snapshot (Volume)'!$A$7:$G$168,7,0)</f>
        <v>5286150</v>
      </c>
      <c r="F56" s="165">
        <f t="shared" si="18"/>
        <v>504050</v>
      </c>
      <c r="G56" s="166">
        <f t="shared" si="19"/>
        <v>9.5352950635150341E-2</v>
      </c>
      <c r="H56" s="165">
        <f>VLOOKUP($B56,'Data shares'!$C:$FB,66)</f>
        <v>3958450</v>
      </c>
      <c r="I56" s="165">
        <f>VLOOKUP($B56,'Data shares'!$C:$FB,67)</f>
        <v>2015775</v>
      </c>
      <c r="J56" s="81">
        <f t="shared" si="20"/>
        <v>96.373603204722741</v>
      </c>
      <c r="K56" s="5">
        <f>VLOOKUP($B56,'Data Vlaue (Cr)'!$C:$FB,99)</f>
        <v>686</v>
      </c>
      <c r="L56" s="81">
        <f>VLOOKUP(B56,'OI(Value)'!$A$7:$C$209,3,0)</f>
        <v>60</v>
      </c>
      <c r="M56" s="33">
        <f t="shared" si="12"/>
        <v>8.7463556851311957</v>
      </c>
      <c r="N56" s="5">
        <f>VLOOKUP($B56,'Data Vlaue (Cr)'!$C:$FB,67)</f>
        <v>469</v>
      </c>
      <c r="O56" s="5">
        <f>VLOOKUP($B56,'Data Vlaue (Cr)'!$C:$FB,68)</f>
        <v>239</v>
      </c>
      <c r="P56" s="5">
        <f t="shared" si="21"/>
        <v>49.040511727078886</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493.35</v>
      </c>
      <c r="D57" s="82">
        <f>VLOOKUP($B57,'Data shares'!$C:$FB,98)</f>
        <v>44995000</v>
      </c>
      <c r="E57" s="165">
        <f>VLOOKUP(B57,'Snapshot (Volume)'!$A$7:$G$168,7,0)</f>
        <v>43092500</v>
      </c>
      <c r="F57" s="165">
        <f t="shared" si="18"/>
        <v>1902500</v>
      </c>
      <c r="G57" s="166">
        <f t="shared" si="19"/>
        <v>4.4149213900330685E-2</v>
      </c>
      <c r="H57" s="165">
        <f>VLOOKUP($B57,'Data shares'!$C:$FB,66)</f>
        <v>13187500</v>
      </c>
      <c r="I57" s="165">
        <f>VLOOKUP($B57,'Data shares'!$C:$FB,67)</f>
        <v>15616250</v>
      </c>
      <c r="J57" s="81">
        <f t="shared" si="20"/>
        <v>-15.552709517329705</v>
      </c>
      <c r="K57" s="5">
        <f>VLOOKUP($B57,'Data Vlaue (Cr)'!$C:$FB,99)</f>
        <v>2233</v>
      </c>
      <c r="L57" s="81">
        <f>VLOOKUP(B57,'OI(Value)'!$A$7:$C$209,3,0)</f>
        <v>94</v>
      </c>
      <c r="M57" s="33">
        <f t="shared" si="12"/>
        <v>4.2095835199283478</v>
      </c>
      <c r="N57" s="5">
        <f>VLOOKUP($B57,'Data Vlaue (Cr)'!$C:$FB,67)</f>
        <v>655</v>
      </c>
      <c r="O57" s="5">
        <f>VLOOKUP($B57,'Data Vlaue (Cr)'!$C:$FB,68)</f>
        <v>775</v>
      </c>
      <c r="P57" s="5">
        <f t="shared" si="21"/>
        <v>-18.320610687022899</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2251.1999999999998</v>
      </c>
      <c r="D58" s="82">
        <f>VLOOKUP($B58,'Data shares'!$C:$FB,98)</f>
        <v>2843750</v>
      </c>
      <c r="E58" s="165">
        <f>VLOOKUP(B58,'Snapshot (Volume)'!$A$7:$G$168,7,0)</f>
        <v>2787200</v>
      </c>
      <c r="F58" s="165">
        <f t="shared" si="18"/>
        <v>56550</v>
      </c>
      <c r="G58" s="166">
        <f t="shared" si="19"/>
        <v>2.0289179104477612E-2</v>
      </c>
      <c r="H58" s="165">
        <f>VLOOKUP($B58,'Data shares'!$C:$FB,66)</f>
        <v>665275</v>
      </c>
      <c r="I58" s="165">
        <f>VLOOKUP($B58,'Data shares'!$C:$FB,67)</f>
        <v>1411475</v>
      </c>
      <c r="J58" s="81">
        <f t="shared" si="20"/>
        <v>-52.866682017038912</v>
      </c>
      <c r="K58" s="5">
        <f>VLOOKUP($B58,'Data Vlaue (Cr)'!$C:$FB,99)</f>
        <v>644</v>
      </c>
      <c r="L58" s="81">
        <f>VLOOKUP(B58,'OI(Value)'!$A$7:$C$209,3,0)</f>
        <v>13</v>
      </c>
      <c r="M58" s="33">
        <f t="shared" si="12"/>
        <v>2.018633540372671</v>
      </c>
      <c r="N58" s="5">
        <f>VLOOKUP($B58,'Data Vlaue (Cr)'!$C:$FB,67)</f>
        <v>151</v>
      </c>
      <c r="O58" s="5">
        <f>VLOOKUP($B58,'Data Vlaue (Cr)'!$C:$FB,68)</f>
        <v>320</v>
      </c>
      <c r="P58" s="5">
        <f t="shared" si="21"/>
        <v>-111.92052980132449</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462.6</v>
      </c>
      <c r="D59" s="82">
        <f>VLOOKUP($B59,'Data shares'!$C:$FB,98)</f>
        <v>29303150</v>
      </c>
      <c r="E59" s="165">
        <f>VLOOKUP(B59,'Snapshot (Volume)'!$A$7:$G$168,7,0)</f>
        <v>25460250</v>
      </c>
      <c r="F59" s="165">
        <f t="shared" si="18"/>
        <v>3842900</v>
      </c>
      <c r="G59" s="166">
        <f t="shared" si="19"/>
        <v>0.15093724531377342</v>
      </c>
      <c r="H59" s="165">
        <f>VLOOKUP($B59,'Data shares'!$C:$FB,66)</f>
        <v>68860950</v>
      </c>
      <c r="I59" s="165">
        <f>VLOOKUP($B59,'Data shares'!$C:$FB,67)</f>
        <v>34088100</v>
      </c>
      <c r="J59" s="81">
        <f t="shared" si="20"/>
        <v>102.00876552227905</v>
      </c>
      <c r="K59" s="5">
        <f>VLOOKUP($B59,'Data Vlaue (Cr)'!$C:$FB,99)</f>
        <v>1363</v>
      </c>
      <c r="L59" s="81">
        <f>VLOOKUP(B59,'OI(Value)'!$A$7:$C$209,3,0)</f>
        <v>179</v>
      </c>
      <c r="M59" s="33">
        <f t="shared" si="12"/>
        <v>13.132795304475422</v>
      </c>
      <c r="N59" s="5">
        <f>VLOOKUP($B59,'Data Vlaue (Cr)'!$C:$FB,67)</f>
        <v>3203</v>
      </c>
      <c r="O59" s="5">
        <f>VLOOKUP($B59,'Data Vlaue (Cr)'!$C:$FB,68)</f>
        <v>1585</v>
      </c>
      <c r="P59" s="5">
        <f t="shared" si="21"/>
        <v>50.515142054324066</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5826.5</v>
      </c>
      <c r="D60" s="82">
        <f>VLOOKUP($B60,'Data shares'!$C:$FB,98)</f>
        <v>3929400</v>
      </c>
      <c r="E60" s="165">
        <f>VLOOKUP(B60,'Snapshot (Volume)'!$A$7:$G$168,7,0)</f>
        <v>3877100</v>
      </c>
      <c r="F60" s="165">
        <f t="shared" si="18"/>
        <v>52300</v>
      </c>
      <c r="G60" s="166">
        <f t="shared" si="19"/>
        <v>1.3489463774470609E-2</v>
      </c>
      <c r="H60" s="165">
        <f>VLOOKUP($B60,'Data shares'!$C:$FB,66)</f>
        <v>1278100</v>
      </c>
      <c r="I60" s="165">
        <f>VLOOKUP($B60,'Data shares'!$C:$FB,67)</f>
        <v>2705200</v>
      </c>
      <c r="J60" s="81">
        <f t="shared" si="20"/>
        <v>-52.753955345260984</v>
      </c>
      <c r="K60" s="5">
        <f>VLOOKUP($B60,'Data Vlaue (Cr)'!$C:$FB,99)</f>
        <v>2300</v>
      </c>
      <c r="L60" s="81">
        <f>VLOOKUP(B60,'OI(Value)'!$A$7:$C$209,3,0)</f>
        <v>31</v>
      </c>
      <c r="M60" s="33">
        <f t="shared" si="12"/>
        <v>1.3478260869565217</v>
      </c>
      <c r="N60" s="5">
        <f>VLOOKUP($B60,'Data Vlaue (Cr)'!$C:$FB,67)</f>
        <v>748</v>
      </c>
      <c r="O60" s="5">
        <f>VLOOKUP($B60,'Data Vlaue (Cr)'!$C:$FB,68)</f>
        <v>1583</v>
      </c>
      <c r="P60" s="5">
        <f t="shared" si="21"/>
        <v>-111.63101604278074</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17041</v>
      </c>
      <c r="D61" s="82">
        <f>VLOOKUP($B61,'Data shares'!$C:$FB,98)</f>
        <v>3183200</v>
      </c>
      <c r="E61" s="165">
        <f>VLOOKUP(B61,'Snapshot (Volume)'!$A$7:$G$168,7,0)</f>
        <v>3277100</v>
      </c>
      <c r="F61" s="165">
        <f t="shared" si="18"/>
        <v>-93900</v>
      </c>
      <c r="G61" s="166">
        <f t="shared" si="19"/>
        <v>-2.8653382563852185E-2</v>
      </c>
      <c r="H61" s="165">
        <f>VLOOKUP($B61,'Data shares'!$C:$FB,66)</f>
        <v>4594450</v>
      </c>
      <c r="I61" s="165">
        <f>VLOOKUP($B61,'Data shares'!$C:$FB,67)</f>
        <v>2090500</v>
      </c>
      <c r="J61" s="81">
        <f t="shared" si="20"/>
        <v>119.77756517579527</v>
      </c>
      <c r="K61" s="5">
        <f>VLOOKUP($B61,'Data Vlaue (Cr)'!$C:$FB,99)</f>
        <v>5449</v>
      </c>
      <c r="L61" s="81">
        <f>VLOOKUP(B61,'OI(Value)'!$A$7:$C$209,3,0)</f>
        <v>-161</v>
      </c>
      <c r="M61" s="33">
        <f t="shared" si="12"/>
        <v>-2.9546705817581209</v>
      </c>
      <c r="N61" s="5">
        <f>VLOOKUP($B61,'Data Vlaue (Cr)'!$C:$FB,67)</f>
        <v>7865</v>
      </c>
      <c r="O61" s="5">
        <f>VLOOKUP($B61,'Data Vlaue (Cr)'!$C:$FB,68)</f>
        <v>3579</v>
      </c>
      <c r="P61" s="5">
        <f t="shared" si="21"/>
        <v>54.494596312778128</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735.25</v>
      </c>
      <c r="D62" s="82">
        <f>VLOOKUP($B62,'Data shares'!$C:$FB,98)</f>
        <v>68841300</v>
      </c>
      <c r="E62" s="165">
        <f>VLOOKUP(B62,'Snapshot (Volume)'!$A$7:$G$168,7,0)</f>
        <v>68121075</v>
      </c>
      <c r="F62" s="165">
        <f t="shared" si="18"/>
        <v>720225</v>
      </c>
      <c r="G62" s="166"/>
      <c r="H62" s="165">
        <f>VLOOKUP($B62,'Data shares'!$C:$FB,66)</f>
        <v>22562925</v>
      </c>
      <c r="I62" s="165">
        <f>VLOOKUP($B62,'Data shares'!$C:$FB,67)</f>
        <v>24471975</v>
      </c>
      <c r="J62" s="81"/>
      <c r="K62" s="5">
        <f>VLOOKUP($B62,'Data Vlaue (Cr)'!$C:$FB,99)</f>
        <v>5078</v>
      </c>
      <c r="L62" s="81">
        <f>VLOOKUP(B62,'OI(Value)'!$A$7:$C$209,3,0)</f>
        <v>53</v>
      </c>
      <c r="M62" s="33"/>
      <c r="N62" s="5">
        <f>VLOOKUP($B62,'Data Vlaue (Cr)'!$C:$FB,67)</f>
        <v>1664</v>
      </c>
      <c r="O62" s="5">
        <f>VLOOKUP($B62,'Data Vlaue (Cr)'!$C:$FB,68)</f>
        <v>1805</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4301.6000000000004</v>
      </c>
      <c r="D63" s="82">
        <f>VLOOKUP($B63,'Data shares'!$C:$FB,98)</f>
        <v>8674650</v>
      </c>
      <c r="E63" s="165">
        <f>VLOOKUP(B63,'Snapshot (Volume)'!$A$7:$G$168,7,0)</f>
        <v>7776150</v>
      </c>
      <c r="F63" s="165">
        <f t="shared" si="18"/>
        <v>898500</v>
      </c>
      <c r="G63" s="166">
        <f t="shared" si="19"/>
        <v>0.11554561061707914</v>
      </c>
      <c r="H63" s="165">
        <f>VLOOKUP($B63,'Data shares'!$C:$FB,66)</f>
        <v>9982350</v>
      </c>
      <c r="I63" s="165">
        <f>VLOOKUP($B63,'Data shares'!$C:$FB,67)</f>
        <v>3330900</v>
      </c>
      <c r="J63" s="81">
        <f t="shared" si="20"/>
        <v>199.68927316941367</v>
      </c>
      <c r="K63" s="5">
        <f>VLOOKUP($B63,'Data Vlaue (Cr)'!$C:$FB,99)</f>
        <v>3741</v>
      </c>
      <c r="L63" s="81">
        <f>VLOOKUP(B63,'OI(Value)'!$A$7:$C$209,3,0)</f>
        <v>387</v>
      </c>
      <c r="M63" s="33">
        <f t="shared" si="12"/>
        <v>10.344827586206897</v>
      </c>
      <c r="N63" s="5">
        <f>VLOOKUP($B63,'Data Vlaue (Cr)'!$C:$FB,67)</f>
        <v>4305</v>
      </c>
      <c r="O63" s="5">
        <f>VLOOKUP($B63,'Data Vlaue (Cr)'!$C:$FB,68)</f>
        <v>1437</v>
      </c>
      <c r="P63" s="5">
        <f t="shared" si="21"/>
        <v>66.620209059233446</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1248.5999999999999</v>
      </c>
      <c r="D64" s="82">
        <f>VLOOKUP($B64,'Data shares'!$C:$FB,98)</f>
        <v>18621250</v>
      </c>
      <c r="E64" s="165">
        <f>VLOOKUP(B64,'Snapshot (Volume)'!$A$7:$G$168,7,0)</f>
        <v>17700625</v>
      </c>
      <c r="F64" s="165">
        <f t="shared" si="18"/>
        <v>920625</v>
      </c>
      <c r="G64" s="166">
        <f t="shared" si="19"/>
        <v>5.2010875322199078E-2</v>
      </c>
      <c r="H64" s="165">
        <f>VLOOKUP($B64,'Data shares'!$C:$FB,66)</f>
        <v>6703750</v>
      </c>
      <c r="I64" s="165">
        <f>VLOOKUP($B64,'Data shares'!$C:$FB,67)</f>
        <v>6994375</v>
      </c>
      <c r="J64" s="81">
        <f t="shared" si="20"/>
        <v>-4.1551246537396125</v>
      </c>
      <c r="K64" s="5">
        <f>VLOOKUP($B64,'Data Vlaue (Cr)'!$C:$FB,99)</f>
        <v>2337</v>
      </c>
      <c r="L64" s="81">
        <f>VLOOKUP(B64,'OI(Value)'!$A$7:$C$209,3,0)</f>
        <v>116</v>
      </c>
      <c r="M64" s="33">
        <f t="shared" si="12"/>
        <v>4.9636285836542573</v>
      </c>
      <c r="N64" s="5">
        <f>VLOOKUP($B64,'Data Vlaue (Cr)'!$C:$FB,67)</f>
        <v>841</v>
      </c>
      <c r="O64" s="5">
        <f>VLOOKUP($B64,'Data Vlaue (Cr)'!$C:$FB,68)</f>
        <v>878</v>
      </c>
      <c r="P64" s="5">
        <f t="shared" si="21"/>
        <v>-4.3995243757431624</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6880</v>
      </c>
      <c r="D65" s="82">
        <f>VLOOKUP($B65,'Data shares'!$C:$FB,98)</f>
        <v>6787900</v>
      </c>
      <c r="E65" s="165">
        <f>VLOOKUP(B65,'Snapshot (Volume)'!$A$7:$G$168,7,0)</f>
        <v>6830775</v>
      </c>
      <c r="F65" s="165">
        <f t="shared" si="18"/>
        <v>-42875</v>
      </c>
      <c r="G65" s="166">
        <f t="shared" si="19"/>
        <v>-6.2767401941946554E-3</v>
      </c>
      <c r="H65" s="165">
        <f>VLOOKUP($B65,'Data shares'!$C:$FB,66)</f>
        <v>3963400</v>
      </c>
      <c r="I65" s="165">
        <f>VLOOKUP($B65,'Data shares'!$C:$FB,67)</f>
        <v>9595775</v>
      </c>
      <c r="J65" s="81">
        <f t="shared" si="20"/>
        <v>-58.69640544927325</v>
      </c>
      <c r="K65" s="5">
        <f>VLOOKUP($B65,'Data Vlaue (Cr)'!$C:$FB,99)</f>
        <v>4697</v>
      </c>
      <c r="L65" s="81">
        <f>VLOOKUP(B65,'OI(Value)'!$A$7:$C$209,3,0)</f>
        <v>-30</v>
      </c>
      <c r="M65" s="33">
        <f t="shared" si="12"/>
        <v>-0.63870555673834362</v>
      </c>
      <c r="N65" s="5">
        <f>VLOOKUP($B65,'Data Vlaue (Cr)'!$C:$FB,67)</f>
        <v>2742</v>
      </c>
      <c r="O65" s="5">
        <f>VLOOKUP($B65,'Data Vlaue (Cr)'!$C:$FB,68)</f>
        <v>6640</v>
      </c>
      <c r="P65" s="5">
        <f t="shared" si="21"/>
        <v>-142.15900802334062</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335.1</v>
      </c>
      <c r="D66" s="82">
        <f>VLOOKUP($B66,'Data shares'!$C:$FB,98)</f>
        <v>337758850</v>
      </c>
      <c r="E66" s="165">
        <f>VLOOKUP(B66,'Snapshot (Volume)'!$A$7:$G$168,7,0)</f>
        <v>335527850</v>
      </c>
      <c r="F66" s="165">
        <f t="shared" si="18"/>
        <v>2231000</v>
      </c>
      <c r="G66" s="166">
        <f t="shared" si="19"/>
        <v>6.6492244980558245E-3</v>
      </c>
      <c r="H66" s="165">
        <f>VLOOKUP($B66,'Data shares'!$C:$FB,66)</f>
        <v>113230525</v>
      </c>
      <c r="I66" s="165">
        <f>VLOOKUP($B66,'Data shares'!$C:$FB,67)</f>
        <v>92867800</v>
      </c>
      <c r="J66" s="81">
        <f t="shared" si="20"/>
        <v>21.926571965740546</v>
      </c>
      <c r="K66" s="5">
        <f>VLOOKUP($B66,'Data Vlaue (Cr)'!$C:$FB,99)</f>
        <v>11388</v>
      </c>
      <c r="L66" s="81">
        <f>VLOOKUP(B66,'OI(Value)'!$A$7:$C$209,3,0)</f>
        <v>75</v>
      </c>
      <c r="M66" s="33">
        <f t="shared" ref="M66:M93" si="22">L66/K66*100</f>
        <v>0.6585879873551107</v>
      </c>
      <c r="N66" s="5">
        <f>VLOOKUP($B66,'Data Vlaue (Cr)'!$C:$FB,67)</f>
        <v>3818</v>
      </c>
      <c r="O66" s="5">
        <f>VLOOKUP($B66,'Data Vlaue (Cr)'!$C:$FB,68)</f>
        <v>3131</v>
      </c>
      <c r="P66" s="5">
        <f t="shared" si="21"/>
        <v>17.993713986380303</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399.95</v>
      </c>
      <c r="D67" s="82">
        <f>VLOOKUP($B67,'Data shares'!$C:$FB,98)</f>
        <v>45925200</v>
      </c>
      <c r="E67" s="165">
        <f>VLOOKUP(B67,'Snapshot (Volume)'!$A$7:$G$168,7,0)</f>
        <v>45433800</v>
      </c>
      <c r="F67" s="165">
        <f t="shared" si="18"/>
        <v>491400</v>
      </c>
      <c r="G67" s="166">
        <f t="shared" si="19"/>
        <v>1.0815736302048256E-2</v>
      </c>
      <c r="H67" s="165">
        <f>VLOOKUP($B67,'Data shares'!$C:$FB,66)</f>
        <v>11318400</v>
      </c>
      <c r="I67" s="165">
        <f>VLOOKUP($B67,'Data shares'!$C:$FB,67)</f>
        <v>13231800</v>
      </c>
      <c r="J67" s="81">
        <f t="shared" si="20"/>
        <v>-14.460617603047204</v>
      </c>
      <c r="K67" s="5">
        <f>VLOOKUP($B67,'Data Vlaue (Cr)'!$C:$FB,99)</f>
        <v>1844</v>
      </c>
      <c r="L67" s="81">
        <f>VLOOKUP(B67,'OI(Value)'!$A$7:$C$209,3,0)</f>
        <v>20</v>
      </c>
      <c r="M67" s="33">
        <f t="shared" si="22"/>
        <v>1.0845986984815619</v>
      </c>
      <c r="N67" s="5">
        <f>VLOOKUP($B67,'Data Vlaue (Cr)'!$C:$FB,67)</f>
        <v>454</v>
      </c>
      <c r="O67" s="5">
        <f>VLOOKUP($B67,'Data Vlaue (Cr)'!$C:$FB,68)</f>
        <v>531</v>
      </c>
      <c r="P67" s="5">
        <f t="shared" si="21"/>
        <v>-16.960352422907491</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193.66</v>
      </c>
      <c r="D68" s="82">
        <f>VLOOKUP($B68,'Data shares'!$C:$FB,98)</f>
        <v>164080000</v>
      </c>
      <c r="E68" s="165">
        <f>VLOOKUP(B68,'Snapshot (Volume)'!$A$7:$G$168,7,0)</f>
        <v>146030000</v>
      </c>
      <c r="F68" s="165">
        <f t="shared" si="18"/>
        <v>18050000</v>
      </c>
      <c r="G68" s="166">
        <f t="shared" si="19"/>
        <v>0.12360473875231116</v>
      </c>
      <c r="H68" s="165">
        <f>VLOOKUP($B68,'Data shares'!$C:$FB,66)</f>
        <v>126445000</v>
      </c>
      <c r="I68" s="165">
        <f>VLOOKUP($B68,'Data shares'!$C:$FB,67)</f>
        <v>61935000</v>
      </c>
      <c r="J68" s="81">
        <f t="shared" si="20"/>
        <v>104.15758456446274</v>
      </c>
      <c r="K68" s="5">
        <f>VLOOKUP($B68,'Data Vlaue (Cr)'!$C:$FB,99)</f>
        <v>3195</v>
      </c>
      <c r="L68" s="81">
        <f>VLOOKUP(B68,'OI(Value)'!$A$7:$C$209,3,0)</f>
        <v>351</v>
      </c>
      <c r="M68" s="33">
        <f t="shared" si="22"/>
        <v>10.985915492957748</v>
      </c>
      <c r="N68" s="5">
        <f>VLOOKUP($B68,'Data Vlaue (Cr)'!$C:$FB,67)</f>
        <v>2462</v>
      </c>
      <c r="O68" s="5">
        <f>VLOOKUP($B68,'Data Vlaue (Cr)'!$C:$FB,68)</f>
        <v>1206</v>
      </c>
      <c r="P68" s="5">
        <f t="shared" si="21"/>
        <v>51.015434606011375</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26712.05</v>
      </c>
      <c r="D69" s="165">
        <f>VLOOKUP($B69,'Data shares'!$C:$FB,98)</f>
        <v>1306890</v>
      </c>
      <c r="E69" s="165">
        <f>VLOOKUP(B69,'Snapshot (Volume)'!$A$7:$G$168,7,0)</f>
        <v>655265</v>
      </c>
      <c r="F69" s="165">
        <f t="shared" ref="F69:F85" si="23">D69-E69</f>
        <v>651625</v>
      </c>
      <c r="G69" s="166">
        <f t="shared" ref="G69:G85" si="24">F69/E69</f>
        <v>0.99444499553615717</v>
      </c>
      <c r="H69" s="165">
        <f>VLOOKUP($B69,'Data shares'!$C:$FB,66)</f>
        <v>3838770</v>
      </c>
      <c r="I69" s="165">
        <f>VLOOKUP($B69,'Data shares'!$C:$FB,67)</f>
        <v>2280395</v>
      </c>
      <c r="J69" s="81">
        <f t="shared" ref="J69:J85" si="25">(H69-I69)/I69*100</f>
        <v>68.337941453125453</v>
      </c>
      <c r="K69" s="81">
        <f>VLOOKUP($B69,'Data Vlaue (Cr)'!$C:$FB,99)</f>
        <v>3502</v>
      </c>
      <c r="L69" s="81">
        <f>VLOOKUP(B69,'OI(Value)'!$A$7:$C$209,3,0)</f>
        <v>1746</v>
      </c>
      <c r="M69" s="81">
        <f t="shared" si="22"/>
        <v>49.857224443175326</v>
      </c>
      <c r="N69" s="81">
        <f>VLOOKUP($B69,'Data Vlaue (Cr)'!$C:$FB,67)</f>
        <v>10287</v>
      </c>
      <c r="O69" s="81">
        <f>VLOOKUP($B69,'Data Vlaue (Cr)'!$C:$FB,68)</f>
        <v>6111</v>
      </c>
      <c r="P69" s="81">
        <f t="shared" ref="P69:P85" si="26">(N69-O69)/N69*100</f>
        <v>40.594925634295713</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1053.9000000000001</v>
      </c>
      <c r="D70" s="165">
        <f>VLOOKUP($B70,'Data shares'!$C:$FB,98)</f>
        <v>15906875</v>
      </c>
      <c r="E70" s="165">
        <f>VLOOKUP(B70,'Snapshot (Volume)'!$A$7:$G$168,7,0)</f>
        <v>10568675</v>
      </c>
      <c r="F70" s="165">
        <f t="shared" si="23"/>
        <v>5338200</v>
      </c>
      <c r="G70" s="166">
        <f t="shared" si="24"/>
        <v>0.50509642883332106</v>
      </c>
      <c r="H70" s="165">
        <f>VLOOKUP($B70,'Data shares'!$C:$FB,66)</f>
        <v>79029850</v>
      </c>
      <c r="I70" s="165">
        <f>VLOOKUP($B70,'Data shares'!$C:$FB,67)</f>
        <v>8546700</v>
      </c>
      <c r="J70" s="81">
        <f t="shared" si="25"/>
        <v>824.68262604280017</v>
      </c>
      <c r="K70" s="81">
        <f>VLOOKUP($B70,'Data Vlaue (Cr)'!$C:$FB,99)</f>
        <v>1682</v>
      </c>
      <c r="L70" s="81">
        <f>VLOOKUP(B70,'OI(Value)'!$A$7:$C$209,3,0)</f>
        <v>564</v>
      </c>
      <c r="M70" s="81">
        <f t="shared" si="22"/>
        <v>33.531510107015457</v>
      </c>
      <c r="N70" s="81">
        <f>VLOOKUP($B70,'Data Vlaue (Cr)'!$C:$FB,67)</f>
        <v>8357</v>
      </c>
      <c r="O70" s="81">
        <f>VLOOKUP($B70,'Data Vlaue (Cr)'!$C:$FB,68)</f>
        <v>904</v>
      </c>
      <c r="P70" s="81">
        <f t="shared" si="26"/>
        <v>89.182721072155076</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176.62</v>
      </c>
      <c r="D71" s="82">
        <f>VLOOKUP($B71,'Data shares'!$C:$FB,98)</f>
        <v>161834400</v>
      </c>
      <c r="E71" s="165">
        <f>VLOOKUP(B71,'Snapshot (Volume)'!$A$7:$G$168,7,0)</f>
        <v>155269800</v>
      </c>
      <c r="F71" s="165">
        <f t="shared" si="23"/>
        <v>6564600</v>
      </c>
      <c r="G71" s="166">
        <f t="shared" si="24"/>
        <v>4.2278665909275336E-2</v>
      </c>
      <c r="H71" s="165">
        <f>VLOOKUP($B71,'Data shares'!$C:$FB,66)</f>
        <v>47064150</v>
      </c>
      <c r="I71" s="165">
        <f>VLOOKUP($B71,'Data shares'!$C:$FB,67)</f>
        <v>41680800</v>
      </c>
      <c r="J71" s="81">
        <f t="shared" si="25"/>
        <v>12.915659008464328</v>
      </c>
      <c r="K71" s="5">
        <f>VLOOKUP($B71,'Data Vlaue (Cr)'!$C:$FB,99)</f>
        <v>2875</v>
      </c>
      <c r="L71" s="81">
        <f>VLOOKUP(B71,'OI(Value)'!$A$7:$C$209,3,0)</f>
        <v>117</v>
      </c>
      <c r="M71" s="33">
        <f t="shared" si="22"/>
        <v>4.0695652173913039</v>
      </c>
      <c r="N71" s="5">
        <f>VLOOKUP($B71,'Data Vlaue (Cr)'!$C:$FB,67)</f>
        <v>836</v>
      </c>
      <c r="O71" s="5">
        <f>VLOOKUP($B71,'Data Vlaue (Cr)'!$C:$FB,68)</f>
        <v>740</v>
      </c>
      <c r="P71" s="5">
        <f t="shared" si="26"/>
        <v>11.483253588516746</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1971.2</v>
      </c>
      <c r="D72" s="82">
        <f>VLOOKUP($B72,'Data shares'!$C:$FB,98)</f>
        <v>9644625</v>
      </c>
      <c r="E72" s="165">
        <f>VLOOKUP(B72,'Snapshot (Volume)'!$A$7:$G$168,7,0)</f>
        <v>9603750</v>
      </c>
      <c r="F72" s="165">
        <f t="shared" si="23"/>
        <v>40875</v>
      </c>
      <c r="G72" s="166">
        <f t="shared" si="24"/>
        <v>4.256149941429129E-3</v>
      </c>
      <c r="H72" s="165">
        <f>VLOOKUP($B72,'Data shares'!$C:$FB,66)</f>
        <v>1925625</v>
      </c>
      <c r="I72" s="165">
        <f>VLOOKUP($B72,'Data shares'!$C:$FB,67)</f>
        <v>2830500</v>
      </c>
      <c r="J72" s="81">
        <f t="shared" si="25"/>
        <v>-31.968733439321674</v>
      </c>
      <c r="K72" s="5">
        <f>VLOOKUP($B72,'Data Vlaue (Cr)'!$C:$FB,99)</f>
        <v>1908</v>
      </c>
      <c r="L72" s="81">
        <f>VLOOKUP(B72,'OI(Value)'!$A$7:$C$209,3,0)</f>
        <v>8</v>
      </c>
      <c r="M72" s="33">
        <f t="shared" si="22"/>
        <v>0.41928721174004197</v>
      </c>
      <c r="N72" s="5">
        <f>VLOOKUP($B72,'Data Vlaue (Cr)'!$C:$FB,67)</f>
        <v>381</v>
      </c>
      <c r="O72" s="5">
        <f>VLOOKUP($B72,'Data Vlaue (Cr)'!$C:$FB,68)</f>
        <v>560</v>
      </c>
      <c r="P72" s="5">
        <f t="shared" si="26"/>
        <v>-46.981627296587924</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88.7</v>
      </c>
      <c r="D73" s="82">
        <f>VLOOKUP($B73,'Data shares'!$C:$FB,98)</f>
        <v>302966100</v>
      </c>
      <c r="E73" s="165">
        <f>VLOOKUP(B73,'Snapshot (Volume)'!$A$7:$G$168,7,0)</f>
        <v>296130600</v>
      </c>
      <c r="F73" s="165">
        <f t="shared" si="23"/>
        <v>6835500</v>
      </c>
      <c r="G73" s="166">
        <f t="shared" si="24"/>
        <v>2.3082720934614661E-2</v>
      </c>
      <c r="H73" s="165">
        <f>VLOOKUP($B73,'Data shares'!$C:$FB,66)</f>
        <v>79277850</v>
      </c>
      <c r="I73" s="165">
        <f>VLOOKUP($B73,'Data shares'!$C:$FB,67)</f>
        <v>58638825</v>
      </c>
      <c r="J73" s="81">
        <f t="shared" si="25"/>
        <v>35.196859759724042</v>
      </c>
      <c r="K73" s="5">
        <f>VLOOKUP($B73,'Data Vlaue (Cr)'!$C:$FB,99)</f>
        <v>2696</v>
      </c>
      <c r="L73" s="81">
        <f>VLOOKUP(B73,'OI(Value)'!$A$7:$C$209,3,0)</f>
        <v>61</v>
      </c>
      <c r="M73" s="33">
        <f t="shared" si="22"/>
        <v>2.2626112759643919</v>
      </c>
      <c r="N73" s="5">
        <f>VLOOKUP($B73,'Data Vlaue (Cr)'!$C:$FB,67)</f>
        <v>706</v>
      </c>
      <c r="O73" s="5">
        <f>VLOOKUP($B73,'Data Vlaue (Cr)'!$C:$FB,68)</f>
        <v>522</v>
      </c>
      <c r="P73" s="5">
        <f t="shared" si="26"/>
        <v>26.062322946175637</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1147.5999999999999</v>
      </c>
      <c r="D74" s="82">
        <f>VLOOKUP($B74,'Data shares'!$C:$FB,98)</f>
        <v>15561500</v>
      </c>
      <c r="E74" s="165">
        <f>VLOOKUP(B74,'Snapshot (Volume)'!$A$7:$G$168,7,0)</f>
        <v>15094500</v>
      </c>
      <c r="F74" s="165">
        <f t="shared" si="23"/>
        <v>467000</v>
      </c>
      <c r="G74" s="166">
        <f t="shared" si="24"/>
        <v>3.0938421279273907E-2</v>
      </c>
      <c r="H74" s="165">
        <f>VLOOKUP($B74,'Data shares'!$C:$FB,66)</f>
        <v>4380000</v>
      </c>
      <c r="I74" s="165">
        <f>VLOOKUP($B74,'Data shares'!$C:$FB,67)</f>
        <v>3147500</v>
      </c>
      <c r="J74" s="81">
        <f t="shared" si="25"/>
        <v>39.158061953931693</v>
      </c>
      <c r="K74" s="5">
        <f>VLOOKUP($B74,'Data Vlaue (Cr)'!$C:$FB,99)</f>
        <v>1790</v>
      </c>
      <c r="L74" s="81">
        <f>VLOOKUP(B74,'OI(Value)'!$A$7:$C$209,3,0)</f>
        <v>54</v>
      </c>
      <c r="M74" s="33">
        <f t="shared" si="22"/>
        <v>3.016759776536313</v>
      </c>
      <c r="N74" s="5">
        <f>VLOOKUP($B74,'Data Vlaue (Cr)'!$C:$FB,67)</f>
        <v>504</v>
      </c>
      <c r="O74" s="5">
        <f>VLOOKUP($B74,'Data Vlaue (Cr)'!$C:$FB,68)</f>
        <v>362</v>
      </c>
      <c r="P74" s="5">
        <f t="shared" si="26"/>
        <v>28.174603174603174</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2056.5</v>
      </c>
      <c r="D75" s="82">
        <f>VLOOKUP($B75,'Data shares'!$C:$FB,98)</f>
        <v>13890525</v>
      </c>
      <c r="E75" s="165">
        <f>VLOOKUP(B75,'Snapshot (Volume)'!$A$7:$G$168,7,0)</f>
        <v>13821775</v>
      </c>
      <c r="F75" s="165">
        <f t="shared" si="23"/>
        <v>68750</v>
      </c>
      <c r="G75" s="166">
        <f t="shared" si="24"/>
        <v>4.9740355345098582E-3</v>
      </c>
      <c r="H75" s="165">
        <f>VLOOKUP($B75,'Data shares'!$C:$FB,66)</f>
        <v>3096225</v>
      </c>
      <c r="I75" s="165">
        <f>VLOOKUP($B75,'Data shares'!$C:$FB,67)</f>
        <v>3177350</v>
      </c>
      <c r="J75" s="81">
        <f t="shared" si="25"/>
        <v>-2.553228319196815</v>
      </c>
      <c r="K75" s="5">
        <f>VLOOKUP($B75,'Data Vlaue (Cr)'!$C:$FB,99)</f>
        <v>2868</v>
      </c>
      <c r="L75" s="81">
        <f>VLOOKUP(B75,'OI(Value)'!$A$7:$C$209,3,0)</f>
        <v>14</v>
      </c>
      <c r="M75" s="33">
        <f t="shared" si="22"/>
        <v>0.48814504881450488</v>
      </c>
      <c r="N75" s="5">
        <f>VLOOKUP($B75,'Data Vlaue (Cr)'!$C:$FB,67)</f>
        <v>639</v>
      </c>
      <c r="O75" s="5">
        <f>VLOOKUP($B75,'Data Vlaue (Cr)'!$C:$FB,68)</f>
        <v>656</v>
      </c>
      <c r="P75" s="5">
        <f t="shared" si="26"/>
        <v>-2.6604068857589982</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2807.4</v>
      </c>
      <c r="D76" s="82">
        <f>VLOOKUP($B76,'Data shares'!$C:$FB,98)</f>
        <v>16453500</v>
      </c>
      <c r="E76" s="165">
        <f>VLOOKUP(B76,'Snapshot (Volume)'!$A$7:$G$168,7,0)</f>
        <v>16250750</v>
      </c>
      <c r="F76" s="165">
        <f t="shared" si="23"/>
        <v>202750</v>
      </c>
      <c r="G76" s="166">
        <f t="shared" si="24"/>
        <v>1.2476347245511745E-2</v>
      </c>
      <c r="H76" s="165">
        <f>VLOOKUP($B76,'Data shares'!$C:$FB,66)</f>
        <v>3454250</v>
      </c>
      <c r="I76" s="165">
        <f>VLOOKUP($B76,'Data shares'!$C:$FB,67)</f>
        <v>4650500</v>
      </c>
      <c r="J76" s="81">
        <f t="shared" si="25"/>
        <v>-25.723040533275991</v>
      </c>
      <c r="K76" s="5">
        <f>VLOOKUP($B76,'Data Vlaue (Cr)'!$C:$FB,99)</f>
        <v>4646</v>
      </c>
      <c r="L76" s="81">
        <f>VLOOKUP(B76,'OI(Value)'!$A$7:$C$209,3,0)</f>
        <v>57</v>
      </c>
      <c r="M76" s="33">
        <f t="shared" si="22"/>
        <v>1.2268618166164442</v>
      </c>
      <c r="N76" s="5">
        <f>VLOOKUP($B76,'Data Vlaue (Cr)'!$C:$FB,67)</f>
        <v>975</v>
      </c>
      <c r="O76" s="5">
        <f>VLOOKUP($B76,'Data Vlaue (Cr)'!$C:$FB,68)</f>
        <v>1313</v>
      </c>
      <c r="P76" s="5">
        <f t="shared" si="26"/>
        <v>-34.666666666666671</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4845.2</v>
      </c>
      <c r="D77" s="82">
        <f>VLOOKUP($B77,'Data shares'!$C:$FB,98)</f>
        <v>14685600</v>
      </c>
      <c r="E77" s="165">
        <f>VLOOKUP(B77,'Snapshot (Volume)'!$A$7:$G$168,7,0)</f>
        <v>14056350</v>
      </c>
      <c r="F77" s="165">
        <f t="shared" si="23"/>
        <v>629250</v>
      </c>
      <c r="G77" s="166">
        <f t="shared" si="24"/>
        <v>4.4766244437567361E-2</v>
      </c>
      <c r="H77" s="165">
        <f>VLOOKUP($B77,'Data shares'!$C:$FB,66)</f>
        <v>7653750</v>
      </c>
      <c r="I77" s="165">
        <f>VLOOKUP($B77,'Data shares'!$C:$FB,67)</f>
        <v>10336500</v>
      </c>
      <c r="J77" s="81">
        <f t="shared" si="25"/>
        <v>-25.954143085183574</v>
      </c>
      <c r="K77" s="5">
        <f>VLOOKUP($B77,'Data Vlaue (Cr)'!$C:$FB,99)</f>
        <v>7158</v>
      </c>
      <c r="L77" s="81">
        <f>VLOOKUP(B77,'OI(Value)'!$A$7:$C$209,3,0)</f>
        <v>307</v>
      </c>
      <c r="M77" s="33">
        <f t="shared" si="22"/>
        <v>4.2889075160659402</v>
      </c>
      <c r="N77" s="5">
        <f>VLOOKUP($B77,'Data Vlaue (Cr)'!$C:$FB,67)</f>
        <v>3731</v>
      </c>
      <c r="O77" s="5">
        <f>VLOOKUP($B77,'Data Vlaue (Cr)'!$C:$FB,68)</f>
        <v>5038</v>
      </c>
      <c r="P77" s="5">
        <f t="shared" si="26"/>
        <v>-35.030822835700889</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1497.7</v>
      </c>
      <c r="D78" s="82">
        <f>VLOOKUP($B78,'Data shares'!$C:$FB,98)</f>
        <v>14513000</v>
      </c>
      <c r="E78" s="165">
        <f>VLOOKUP(B78,'Snapshot (Volume)'!$A$7:$G$168,7,0)</f>
        <v>14064000</v>
      </c>
      <c r="F78" s="165">
        <f t="shared" si="23"/>
        <v>449000</v>
      </c>
      <c r="G78" s="166">
        <f t="shared" si="24"/>
        <v>3.1925483503981798E-2</v>
      </c>
      <c r="H78" s="165">
        <f>VLOOKUP($B78,'Data shares'!$C:$FB,66)</f>
        <v>3719000</v>
      </c>
      <c r="I78" s="165">
        <f>VLOOKUP($B78,'Data shares'!$C:$FB,67)</f>
        <v>5722000</v>
      </c>
      <c r="J78" s="81">
        <f t="shared" si="25"/>
        <v>-35.005242922055224</v>
      </c>
      <c r="K78" s="5">
        <f>VLOOKUP($B78,'Data Vlaue (Cr)'!$C:$FB,99)</f>
        <v>2181</v>
      </c>
      <c r="L78" s="81">
        <f>VLOOKUP(B78,'OI(Value)'!$A$7:$C$209,3,0)</f>
        <v>67</v>
      </c>
      <c r="M78" s="33">
        <f t="shared" si="22"/>
        <v>3.0719853278312703</v>
      </c>
      <c r="N78" s="5">
        <f>VLOOKUP($B78,'Data Vlaue (Cr)'!$C:$FB,67)</f>
        <v>559</v>
      </c>
      <c r="O78" s="5">
        <f>VLOOKUP($B78,'Data Vlaue (Cr)'!$C:$FB,68)</f>
        <v>860</v>
      </c>
      <c r="P78" s="5">
        <f t="shared" si="26"/>
        <v>-53.846153846153847</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1417.7</v>
      </c>
      <c r="D79" s="82">
        <f>VLOOKUP($B79,'Data shares'!$C:$FB,98)</f>
        <v>29956500</v>
      </c>
      <c r="E79" s="165">
        <f>VLOOKUP(B79,'Snapshot (Volume)'!$A$7:$G$168,7,0)</f>
        <v>29268750</v>
      </c>
      <c r="F79" s="165">
        <f t="shared" si="23"/>
        <v>687750</v>
      </c>
      <c r="G79" s="166">
        <f t="shared" si="24"/>
        <v>2.3497757847533631E-2</v>
      </c>
      <c r="H79" s="165">
        <f>VLOOKUP($B79,'Data shares'!$C:$FB,66)</f>
        <v>14502250</v>
      </c>
      <c r="I79" s="165">
        <f>VLOOKUP($B79,'Data shares'!$C:$FB,67)</f>
        <v>8318800</v>
      </c>
      <c r="J79" s="81">
        <f t="shared" si="25"/>
        <v>74.331033322113768</v>
      </c>
      <c r="K79" s="5">
        <f>VLOOKUP($B79,'Data Vlaue (Cr)'!$C:$FB,99)</f>
        <v>4236</v>
      </c>
      <c r="L79" s="81">
        <f>VLOOKUP(B79,'OI(Value)'!$A$7:$C$209,3,0)</f>
        <v>97</v>
      </c>
      <c r="M79" s="33">
        <f t="shared" si="22"/>
        <v>2.2898961284230404</v>
      </c>
      <c r="N79" s="5">
        <f>VLOOKUP($B79,'Data Vlaue (Cr)'!$C:$FB,67)</f>
        <v>2051</v>
      </c>
      <c r="O79" s="5">
        <f>VLOOKUP($B79,'Data Vlaue (Cr)'!$C:$FB,68)</f>
        <v>1176</v>
      </c>
      <c r="P79" s="5">
        <f t="shared" si="26"/>
        <v>42.662116040955631</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5661</v>
      </c>
      <c r="D80" s="82">
        <f>VLOOKUP($B80,'Data shares'!$C:$FB,98)</f>
        <v>3019650</v>
      </c>
      <c r="E80" s="165">
        <f>VLOOKUP(B80,'Snapshot (Volume)'!$A$7:$G$168,7,0)</f>
        <v>2953800</v>
      </c>
      <c r="F80" s="165">
        <f t="shared" si="23"/>
        <v>65850</v>
      </c>
      <c r="G80" s="166">
        <f t="shared" si="24"/>
        <v>2.2293317083079422E-2</v>
      </c>
      <c r="H80" s="165">
        <f>VLOOKUP($B80,'Data shares'!$C:$FB,66)</f>
        <v>1455750</v>
      </c>
      <c r="I80" s="165">
        <f>VLOOKUP($B80,'Data shares'!$C:$FB,67)</f>
        <v>1173900</v>
      </c>
      <c r="J80" s="81">
        <f t="shared" si="25"/>
        <v>24.009711219013543</v>
      </c>
      <c r="K80" s="5">
        <f>VLOOKUP($B80,'Data Vlaue (Cr)'!$C:$FB,99)</f>
        <v>1719</v>
      </c>
      <c r="L80" s="81">
        <f>VLOOKUP(B80,'OI(Value)'!$A$7:$C$209,3,0)</f>
        <v>37</v>
      </c>
      <c r="M80" s="33">
        <f t="shared" si="22"/>
        <v>2.1524141942990109</v>
      </c>
      <c r="N80" s="5">
        <f>VLOOKUP($B80,'Data Vlaue (Cr)'!$C:$FB,67)</f>
        <v>829</v>
      </c>
      <c r="O80" s="5">
        <f>VLOOKUP($B80,'Data Vlaue (Cr)'!$C:$FB,68)</f>
        <v>668</v>
      </c>
      <c r="P80" s="5">
        <f t="shared" si="26"/>
        <v>19.420989143546443</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973.45</v>
      </c>
      <c r="D81" s="82">
        <f>VLOOKUP($B81,'Data shares'!$C:$FB,98)</f>
        <v>267776300</v>
      </c>
      <c r="E81" s="165">
        <f>VLOOKUP(B81,'Snapshot (Volume)'!$A$7:$G$168,7,0)</f>
        <v>270602200</v>
      </c>
      <c r="F81" s="165">
        <f t="shared" si="23"/>
        <v>-2825900</v>
      </c>
      <c r="G81" s="166">
        <f t="shared" si="24"/>
        <v>-1.0443004528418467E-2</v>
      </c>
      <c r="H81" s="165">
        <f>VLOOKUP($B81,'Data shares'!$C:$FB,66)</f>
        <v>134278100</v>
      </c>
      <c r="I81" s="165">
        <f>VLOOKUP($B81,'Data shares'!$C:$FB,67)</f>
        <v>118817600</v>
      </c>
      <c r="J81" s="81">
        <f t="shared" si="25"/>
        <v>13.011961190934676</v>
      </c>
      <c r="K81" s="5">
        <f>VLOOKUP($B81,'Data Vlaue (Cr)'!$C:$FB,99)</f>
        <v>26151</v>
      </c>
      <c r="L81" s="81">
        <f>VLOOKUP(B81,'OI(Value)'!$A$7:$C$209,3,0)</f>
        <v>-276</v>
      </c>
      <c r="M81" s="33">
        <f t="shared" si="22"/>
        <v>-1.0554089709762533</v>
      </c>
      <c r="N81" s="5">
        <f>VLOOKUP($B81,'Data Vlaue (Cr)'!$C:$FB,67)</f>
        <v>13114</v>
      </c>
      <c r="O81" s="5">
        <f>VLOOKUP($B81,'Data Vlaue (Cr)'!$C:$FB,68)</f>
        <v>11604</v>
      </c>
      <c r="P81" s="5">
        <f t="shared" si="26"/>
        <v>11.514412078694525</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763.05</v>
      </c>
      <c r="D82" s="82">
        <f>VLOOKUP($B82,'Data shares'!$C:$FB,98)</f>
        <v>38756300</v>
      </c>
      <c r="E82" s="165">
        <f>VLOOKUP(B82,'Snapshot (Volume)'!$A$7:$G$168,7,0)</f>
        <v>37352700</v>
      </c>
      <c r="F82" s="165">
        <f t="shared" si="23"/>
        <v>1403600</v>
      </c>
      <c r="G82" s="166">
        <f t="shared" si="24"/>
        <v>3.757693553611921E-2</v>
      </c>
      <c r="H82" s="165">
        <f>VLOOKUP($B82,'Data shares'!$C:$FB,66)</f>
        <v>10257500</v>
      </c>
      <c r="I82" s="165">
        <f>VLOOKUP($B82,'Data shares'!$C:$FB,67)</f>
        <v>11100100</v>
      </c>
      <c r="J82" s="81">
        <f t="shared" si="25"/>
        <v>-7.5909226043008617</v>
      </c>
      <c r="K82" s="5">
        <f>VLOOKUP($B82,'Data Vlaue (Cr)'!$C:$FB,99)</f>
        <v>2962</v>
      </c>
      <c r="L82" s="81">
        <f>VLOOKUP(B82,'OI(Value)'!$A$7:$C$209,3,0)</f>
        <v>107</v>
      </c>
      <c r="M82" s="33">
        <f t="shared" si="22"/>
        <v>3.6124240378122887</v>
      </c>
      <c r="N82" s="5">
        <f>VLOOKUP($B82,'Data Vlaue (Cr)'!$C:$FB,67)</f>
        <v>784</v>
      </c>
      <c r="O82" s="5">
        <f>VLOOKUP($B82,'Data Vlaue (Cr)'!$C:$FB,68)</f>
        <v>848</v>
      </c>
      <c r="P82" s="5">
        <f t="shared" si="26"/>
        <v>-8.1632653061224492</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5581.5</v>
      </c>
      <c r="D83" s="82">
        <f>VLOOKUP($B83,'Data shares'!$C:$FB,98)</f>
        <v>8661600</v>
      </c>
      <c r="E83" s="165">
        <f>VLOOKUP(B83,'Snapshot (Volume)'!$A$7:$G$168,7,0)</f>
        <v>8698650</v>
      </c>
      <c r="F83" s="165">
        <f t="shared" si="23"/>
        <v>-37050</v>
      </c>
      <c r="G83" s="166">
        <f t="shared" si="24"/>
        <v>-4.2592816126640343E-3</v>
      </c>
      <c r="H83" s="165">
        <f>VLOOKUP($B83,'Data shares'!$C:$FB,66)</f>
        <v>7271550</v>
      </c>
      <c r="I83" s="165">
        <f>VLOOKUP($B83,'Data shares'!$C:$FB,67)</f>
        <v>22976550</v>
      </c>
      <c r="J83" s="81">
        <f t="shared" si="25"/>
        <v>-68.352298321549583</v>
      </c>
      <c r="K83" s="5">
        <f>VLOOKUP($B83,'Data Vlaue (Cr)'!$C:$FB,99)</f>
        <v>4862</v>
      </c>
      <c r="L83" s="81">
        <f>VLOOKUP(B83,'OI(Value)'!$A$7:$C$209,3,0)</f>
        <v>-21</v>
      </c>
      <c r="M83" s="33">
        <f t="shared" si="22"/>
        <v>-0.43192102015631423</v>
      </c>
      <c r="N83" s="5">
        <f>VLOOKUP($B83,'Data Vlaue (Cr)'!$C:$FB,67)</f>
        <v>4082</v>
      </c>
      <c r="O83" s="5">
        <f>VLOOKUP($B83,'Data Vlaue (Cr)'!$C:$FB,68)</f>
        <v>12897</v>
      </c>
      <c r="P83" s="5">
        <f t="shared" si="26"/>
        <v>-215.94806467417934</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Technology</v>
      </c>
      <c r="B84" s="79" t="str">
        <f>'Data shares'!C79</f>
        <v>HFCL</v>
      </c>
      <c r="C84" s="4">
        <f>VLOOKUP($B84,'Data shares'!$C:$FB,7)</f>
        <v>74.44</v>
      </c>
      <c r="D84" s="82">
        <f>VLOOKUP($B84,'Data shares'!$C:$FB,98)</f>
        <v>170860500</v>
      </c>
      <c r="E84" s="165">
        <f>VLOOKUP(B84,'Snapshot (Volume)'!$A$7:$G$168,7,0)</f>
        <v>159805200</v>
      </c>
      <c r="F84" s="165">
        <f t="shared" si="23"/>
        <v>11055300</v>
      </c>
      <c r="G84" s="166">
        <f t="shared" si="24"/>
        <v>6.9179851469163708E-2</v>
      </c>
      <c r="H84" s="165">
        <f>VLOOKUP($B84,'Data shares'!$C:$FB,66)</f>
        <v>62552100</v>
      </c>
      <c r="I84" s="165">
        <f>VLOOKUP($B84,'Data shares'!$C:$FB,67)</f>
        <v>133843950</v>
      </c>
      <c r="J84" s="81">
        <f t="shared" si="25"/>
        <v>-53.264902896245971</v>
      </c>
      <c r="K84" s="5">
        <f>VLOOKUP($B84,'Data Vlaue (Cr)'!$C:$FB,99)</f>
        <v>1276</v>
      </c>
      <c r="L84" s="81">
        <f>VLOOKUP(B84,'OI(Value)'!$A$7:$C$209,3,0)</f>
        <v>83</v>
      </c>
      <c r="M84" s="33">
        <f t="shared" si="22"/>
        <v>6.5047021943573675</v>
      </c>
      <c r="N84" s="5">
        <f>VLOOKUP($B84,'Data Vlaue (Cr)'!$C:$FB,67)</f>
        <v>467</v>
      </c>
      <c r="O84" s="5">
        <f>VLOOKUP($B84,'Data Vlaue (Cr)'!$C:$FB,68)</f>
        <v>1000</v>
      </c>
      <c r="P84" s="5">
        <f t="shared" si="26"/>
        <v>-114.13276231263383</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Metals</v>
      </c>
      <c r="B85" s="79" t="str">
        <f>'Data shares'!C80</f>
        <v>HINDALCO</v>
      </c>
      <c r="C85" s="4">
        <f>VLOOKUP($B85,'Data shares'!$C:$FB,7)</f>
        <v>776.7</v>
      </c>
      <c r="D85" s="82">
        <f>VLOOKUP($B85,'Data shares'!$C:$FB,98)</f>
        <v>86485000</v>
      </c>
      <c r="E85" s="165">
        <f>VLOOKUP(B85,'Snapshot (Volume)'!$A$7:$G$168,7,0)</f>
        <v>84966000</v>
      </c>
      <c r="F85" s="165">
        <f t="shared" si="23"/>
        <v>1519000</v>
      </c>
      <c r="G85" s="166">
        <f t="shared" si="24"/>
        <v>1.7877739331026529E-2</v>
      </c>
      <c r="H85" s="165">
        <f>VLOOKUP($B85,'Data shares'!$C:$FB,66)</f>
        <v>35292600</v>
      </c>
      <c r="I85" s="165">
        <f>VLOOKUP($B85,'Data shares'!$C:$FB,67)</f>
        <v>106615600</v>
      </c>
      <c r="J85" s="81">
        <f t="shared" si="25"/>
        <v>-66.897339601334139</v>
      </c>
      <c r="K85" s="5">
        <f>VLOOKUP($B85,'Data Vlaue (Cr)'!$C:$FB,99)</f>
        <v>6757</v>
      </c>
      <c r="L85" s="81">
        <f>VLOOKUP(B85,'OI(Value)'!$A$7:$C$209,3,0)</f>
        <v>119</v>
      </c>
      <c r="M85" s="33">
        <f t="shared" si="22"/>
        <v>1.761136599082433</v>
      </c>
      <c r="N85" s="5">
        <f>VLOOKUP($B85,'Data Vlaue (Cr)'!$C:$FB,67)</f>
        <v>2757</v>
      </c>
      <c r="O85" s="5">
        <f>VLOOKUP($B85,'Data Vlaue (Cr)'!$C:$FB,68)</f>
        <v>8329</v>
      </c>
      <c r="P85" s="5">
        <f t="shared" si="26"/>
        <v>-202.10373594486759</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Oil_Gas</v>
      </c>
      <c r="B86" s="79" t="str">
        <f>'Data shares'!C81</f>
        <v>HINDPETRO</v>
      </c>
      <c r="C86" s="4">
        <f>VLOOKUP($B86,'Data shares'!$C:$FB,7)</f>
        <v>456.3</v>
      </c>
      <c r="D86" s="82">
        <f>VLOOKUP($B86,'Data shares'!$C:$FB,98)</f>
        <v>76553100</v>
      </c>
      <c r="E86" s="165">
        <f>VLOOKUP(B86,'Snapshot (Volume)'!$A$7:$G$168,7,0)</f>
        <v>73179450</v>
      </c>
      <c r="F86" s="165">
        <f t="shared" ref="F86:F96" si="27">D86-E86</f>
        <v>3373650</v>
      </c>
      <c r="G86" s="166">
        <f t="shared" ref="G86:G96" si="28">F86/E86</f>
        <v>4.6101057059051417E-2</v>
      </c>
      <c r="H86" s="165">
        <f>VLOOKUP($B86,'Data shares'!$C:$FB,66)</f>
        <v>77057325</v>
      </c>
      <c r="I86" s="165">
        <f>VLOOKUP($B86,'Data shares'!$C:$FB,67)</f>
        <v>54089775</v>
      </c>
      <c r="J86" s="81">
        <f t="shared" ref="J86:J96" si="29">(H86-I86)/I86*100</f>
        <v>42.461907079480369</v>
      </c>
      <c r="K86" s="5">
        <f>VLOOKUP($B86,'Data Vlaue (Cr)'!$C:$FB,99)</f>
        <v>3509</v>
      </c>
      <c r="L86" s="81">
        <f>VLOOKUP(B86,'OI(Value)'!$A$7:$C$209,3,0)</f>
        <v>155</v>
      </c>
      <c r="M86" s="33">
        <f t="shared" si="22"/>
        <v>4.4172128811627243</v>
      </c>
      <c r="N86" s="5">
        <f>VLOOKUP($B86,'Data Vlaue (Cr)'!$C:$FB,67)</f>
        <v>3532</v>
      </c>
      <c r="O86" s="5">
        <f>VLOOKUP($B86,'Data Vlaue (Cr)'!$C:$FB,68)</f>
        <v>2479</v>
      </c>
      <c r="P86" s="5">
        <f t="shared" ref="P86:P96" si="30">(N86-O86)/N86*100</f>
        <v>29.813137032842583</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FMCG</v>
      </c>
      <c r="B87" s="79" t="str">
        <f>'Data shares'!C82</f>
        <v>HINDUNILVR</v>
      </c>
      <c r="C87" s="4">
        <f>VLOOKUP($B87,'Data shares'!$C:$FB,7)</f>
        <v>2541.8000000000002</v>
      </c>
      <c r="D87" s="82">
        <f>VLOOKUP($B87,'Data shares'!$C:$FB,98)</f>
        <v>20557200</v>
      </c>
      <c r="E87" s="165">
        <f>VLOOKUP(B87,'Snapshot (Volume)'!$A$7:$G$168,7,0)</f>
        <v>20930700</v>
      </c>
      <c r="F87" s="165">
        <f t="shared" si="27"/>
        <v>-373500</v>
      </c>
      <c r="G87" s="166">
        <f t="shared" si="28"/>
        <v>-1.7844601470567156E-2</v>
      </c>
      <c r="H87" s="165">
        <f>VLOOKUP($B87,'Data shares'!$C:$FB,66)</f>
        <v>6858000</v>
      </c>
      <c r="I87" s="165">
        <f>VLOOKUP($B87,'Data shares'!$C:$FB,67)</f>
        <v>8716500</v>
      </c>
      <c r="J87" s="81">
        <f t="shared" si="29"/>
        <v>-21.321631388745484</v>
      </c>
      <c r="K87" s="5">
        <f>VLOOKUP($B87,'Data Vlaue (Cr)'!$C:$FB,99)</f>
        <v>5255</v>
      </c>
      <c r="L87" s="81">
        <f>VLOOKUP(B87,'OI(Value)'!$A$7:$C$209,3,0)</f>
        <v>-95</v>
      </c>
      <c r="M87" s="33">
        <f t="shared" si="22"/>
        <v>-1.8078020932445291</v>
      </c>
      <c r="N87" s="5">
        <f>VLOOKUP($B87,'Data Vlaue (Cr)'!$C:$FB,67)</f>
        <v>1753</v>
      </c>
      <c r="O87" s="5">
        <f>VLOOKUP($B87,'Data Vlaue (Cr)'!$C:$FB,68)</f>
        <v>2228</v>
      </c>
      <c r="P87" s="5">
        <f t="shared" si="30"/>
        <v>-27.096406160867087</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HINDZINC</v>
      </c>
      <c r="C88" s="4">
        <f>VLOOKUP($B88,'Data shares'!$C:$FB,7)</f>
        <v>491.5</v>
      </c>
      <c r="D88" s="82">
        <f>VLOOKUP($B88,'Data shares'!$C:$FB,98)</f>
        <v>57174425</v>
      </c>
      <c r="E88" s="165">
        <f>VLOOKUP(B88,'Snapshot (Volume)'!$A$7:$G$168,7,0)</f>
        <v>54453700</v>
      </c>
      <c r="F88" s="165">
        <f t="shared" si="27"/>
        <v>2720725</v>
      </c>
      <c r="G88" s="166">
        <f t="shared" si="28"/>
        <v>4.9964006118959778E-2</v>
      </c>
      <c r="H88" s="165">
        <f>VLOOKUP($B88,'Data shares'!$C:$FB,66)</f>
        <v>30986375</v>
      </c>
      <c r="I88" s="165">
        <f>VLOOKUP($B88,'Data shares'!$C:$FB,67)</f>
        <v>73503675</v>
      </c>
      <c r="J88" s="81">
        <f t="shared" si="29"/>
        <v>-57.843774477942766</v>
      </c>
      <c r="K88" s="5">
        <f>VLOOKUP($B88,'Data Vlaue (Cr)'!$C:$FB,99)</f>
        <v>2820</v>
      </c>
      <c r="L88" s="81">
        <f>VLOOKUP(B88,'OI(Value)'!$A$7:$C$209,3,0)</f>
        <v>134</v>
      </c>
      <c r="M88" s="33">
        <f t="shared" si="22"/>
        <v>4.75177304964539</v>
      </c>
      <c r="N88" s="5">
        <f>VLOOKUP($B88,'Data Vlaue (Cr)'!$C:$FB,67)</f>
        <v>1529</v>
      </c>
      <c r="O88" s="5">
        <f>VLOOKUP($B88,'Data Vlaue (Cr)'!$C:$FB,68)</f>
        <v>3626</v>
      </c>
      <c r="P88" s="5">
        <f t="shared" si="30"/>
        <v>-137.14846304774363</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Realty</v>
      </c>
      <c r="B89" s="79" t="str">
        <f>'Data shares'!C84</f>
        <v>HUDCO</v>
      </c>
      <c r="C89" s="4">
        <f>VLOOKUP($B89,'Data shares'!$C:$FB,7)</f>
        <v>230.91</v>
      </c>
      <c r="D89" s="82">
        <f>VLOOKUP($B89,'Data shares'!$C:$FB,98)</f>
        <v>47957550</v>
      </c>
      <c r="E89" s="165">
        <f>VLOOKUP(B89,'Snapshot (Volume)'!$A$7:$G$168,7,0)</f>
        <v>44882850</v>
      </c>
      <c r="F89" s="165">
        <f t="shared" si="27"/>
        <v>3074700</v>
      </c>
      <c r="G89" s="166">
        <f t="shared" si="28"/>
        <v>6.85050080375912E-2</v>
      </c>
      <c r="H89" s="165">
        <f>VLOOKUP($B89,'Data shares'!$C:$FB,66)</f>
        <v>21794850</v>
      </c>
      <c r="I89" s="165">
        <f>VLOOKUP($B89,'Data shares'!$C:$FB,67)</f>
        <v>35547750</v>
      </c>
      <c r="J89" s="81">
        <f t="shared" si="29"/>
        <v>-38.688524590163937</v>
      </c>
      <c r="K89" s="5">
        <f>VLOOKUP($B89,'Data Vlaue (Cr)'!$C:$FB,99)</f>
        <v>1114</v>
      </c>
      <c r="L89" s="81">
        <f>VLOOKUP(B89,'OI(Value)'!$A$7:$C$209,3,0)</f>
        <v>71</v>
      </c>
      <c r="M89" s="33">
        <f t="shared" si="22"/>
        <v>6.3734290843806107</v>
      </c>
      <c r="N89" s="5">
        <f>VLOOKUP($B89,'Data Vlaue (Cr)'!$C:$FB,67)</f>
        <v>506</v>
      </c>
      <c r="O89" s="5">
        <f>VLOOKUP($B89,'Data Vlaue (Cr)'!$C:$FB,68)</f>
        <v>826</v>
      </c>
      <c r="P89" s="5">
        <f t="shared" si="30"/>
        <v>-63.241106719367593</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Banking</v>
      </c>
      <c r="B90" s="79" t="str">
        <f>'Data shares'!C85</f>
        <v>ICICIBANK</v>
      </c>
      <c r="C90" s="4">
        <f>VLOOKUP($B90,'Data shares'!$C:$FB,7)</f>
        <v>1363.4</v>
      </c>
      <c r="D90" s="82">
        <f>VLOOKUP($B90,'Data shares'!$C:$FB,98)</f>
        <v>159332600</v>
      </c>
      <c r="E90" s="165">
        <f>VLOOKUP(B90,'Snapshot (Volume)'!$A$7:$G$168,7,0)</f>
        <v>152950700</v>
      </c>
      <c r="F90" s="165">
        <f t="shared" si="27"/>
        <v>6381900</v>
      </c>
      <c r="G90" s="166">
        <f t="shared" si="28"/>
        <v>4.1725209495608713E-2</v>
      </c>
      <c r="H90" s="165">
        <f>VLOOKUP($B90,'Data shares'!$C:$FB,66)</f>
        <v>67213300</v>
      </c>
      <c r="I90" s="165">
        <f>VLOOKUP($B90,'Data shares'!$C:$FB,67)</f>
        <v>55589800</v>
      </c>
      <c r="J90" s="81">
        <f t="shared" si="29"/>
        <v>20.909411438789132</v>
      </c>
      <c r="K90" s="5">
        <f>VLOOKUP($B90,'Data Vlaue (Cr)'!$C:$FB,99)</f>
        <v>21801</v>
      </c>
      <c r="L90" s="81">
        <f>VLOOKUP(B90,'OI(Value)'!$A$7:$C$209,3,0)</f>
        <v>873</v>
      </c>
      <c r="M90" s="33">
        <f t="shared" si="22"/>
        <v>4.004403467730838</v>
      </c>
      <c r="N90" s="5">
        <f>VLOOKUP($B90,'Data Vlaue (Cr)'!$C:$FB,67)</f>
        <v>9197</v>
      </c>
      <c r="O90" s="5">
        <f>VLOOKUP($B90,'Data Vlaue (Cr)'!$C:$FB,68)</f>
        <v>7606</v>
      </c>
      <c r="P90" s="5">
        <f t="shared" si="30"/>
        <v>17.299119278025444</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ICICIGI</v>
      </c>
      <c r="C91" s="4">
        <f>VLOOKUP($B91,'Data shares'!$C:$FB,7)</f>
        <v>1925.8</v>
      </c>
      <c r="D91" s="82">
        <f>VLOOKUP($B91,'Data shares'!$C:$FB,98)</f>
        <v>6464250</v>
      </c>
      <c r="E91" s="165">
        <f>VLOOKUP(B91,'Snapshot (Volume)'!$A$7:$G$168,7,0)</f>
        <v>6377475</v>
      </c>
      <c r="F91" s="165">
        <f t="shared" si="27"/>
        <v>86775</v>
      </c>
      <c r="G91" s="166">
        <f t="shared" si="28"/>
        <v>1.3606482189267697E-2</v>
      </c>
      <c r="H91" s="165">
        <f>VLOOKUP($B91,'Data shares'!$C:$FB,66)</f>
        <v>1468675</v>
      </c>
      <c r="I91" s="165">
        <f>VLOOKUP($B91,'Data shares'!$C:$FB,67)</f>
        <v>1435525</v>
      </c>
      <c r="J91" s="81">
        <f t="shared" si="29"/>
        <v>2.3092596785148292</v>
      </c>
      <c r="K91" s="5">
        <f>VLOOKUP($B91,'Data Vlaue (Cr)'!$C:$FB,99)</f>
        <v>1249</v>
      </c>
      <c r="L91" s="81">
        <f>VLOOKUP(B91,'OI(Value)'!$A$7:$C$209,3,0)</f>
        <v>17</v>
      </c>
      <c r="M91" s="33">
        <f t="shared" si="22"/>
        <v>1.3610888710968776</v>
      </c>
      <c r="N91" s="5">
        <f>VLOOKUP($B91,'Data Vlaue (Cr)'!$C:$FB,67)</f>
        <v>284</v>
      </c>
      <c r="O91" s="5">
        <f>VLOOKUP($B91,'Data Vlaue (Cr)'!$C:$FB,68)</f>
        <v>277</v>
      </c>
      <c r="P91" s="5">
        <f t="shared" si="30"/>
        <v>2.464788732394366</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Finance</v>
      </c>
      <c r="B92" s="79" t="str">
        <f>'Data shares'!C87</f>
        <v>ICICIPRULI</v>
      </c>
      <c r="C92" s="4">
        <f>VLOOKUP($B92,'Data shares'!$C:$FB,7)</f>
        <v>600.45000000000005</v>
      </c>
      <c r="D92" s="82">
        <f>VLOOKUP($B92,'Data shares'!$C:$FB,98)</f>
        <v>15778650</v>
      </c>
      <c r="E92" s="165">
        <f>VLOOKUP(B92,'Snapshot (Volume)'!$A$7:$G$168,7,0)</f>
        <v>15628800</v>
      </c>
      <c r="F92" s="165">
        <f t="shared" si="27"/>
        <v>149850</v>
      </c>
      <c r="G92" s="166">
        <f t="shared" si="28"/>
        <v>9.588068181818182E-3</v>
      </c>
      <c r="H92" s="165">
        <f>VLOOKUP($B92,'Data shares'!$C:$FB,66)</f>
        <v>2876750</v>
      </c>
      <c r="I92" s="165">
        <f>VLOOKUP($B92,'Data shares'!$C:$FB,67)</f>
        <v>3755500</v>
      </c>
      <c r="J92" s="81">
        <f t="shared" si="29"/>
        <v>-23.399014778325121</v>
      </c>
      <c r="K92" s="5">
        <f>VLOOKUP($B92,'Data Vlaue (Cr)'!$C:$FB,99)</f>
        <v>953</v>
      </c>
      <c r="L92" s="81">
        <f>VLOOKUP(B92,'OI(Value)'!$A$7:$C$209,3,0)</f>
        <v>9</v>
      </c>
      <c r="M92" s="33">
        <f t="shared" si="22"/>
        <v>0.94438614900314799</v>
      </c>
      <c r="N92" s="5">
        <f>VLOOKUP($B92,'Data Vlaue (Cr)'!$C:$FB,67)</f>
        <v>174</v>
      </c>
      <c r="O92" s="5">
        <f>VLOOKUP($B92,'Data Vlaue (Cr)'!$C:$FB,68)</f>
        <v>227</v>
      </c>
      <c r="P92" s="5">
        <f t="shared" si="30"/>
        <v>-30.459770114942529</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Telecom</v>
      </c>
      <c r="B93" s="79" t="str">
        <f>'Data shares'!C88</f>
        <v>IDEA</v>
      </c>
      <c r="C93" s="4">
        <f>VLOOKUP($B93,'Data shares'!$C:$FB,7)</f>
        <v>8.4700000000000006</v>
      </c>
      <c r="D93" s="82">
        <f>VLOOKUP($B93,'Data shares'!$C:$FB,98)</f>
        <v>9245934525</v>
      </c>
      <c r="E93" s="165">
        <f>VLOOKUP(B93,'Snapshot (Volume)'!$A$7:$G$168,7,0)</f>
        <v>8525466525</v>
      </c>
      <c r="F93" s="165">
        <f t="shared" si="27"/>
        <v>720468000</v>
      </c>
      <c r="G93" s="166">
        <f t="shared" si="28"/>
        <v>8.4507750735670156E-2</v>
      </c>
      <c r="H93" s="165">
        <f>VLOOKUP($B93,'Data shares'!$C:$FB,66)</f>
        <v>6536960550</v>
      </c>
      <c r="I93" s="165">
        <f>VLOOKUP($B93,'Data shares'!$C:$FB,67)</f>
        <v>2803035075</v>
      </c>
      <c r="J93" s="81">
        <f t="shared" si="29"/>
        <v>133.21008746207002</v>
      </c>
      <c r="K93" s="5">
        <f>VLOOKUP($B93,'Data Vlaue (Cr)'!$C:$FB,99)</f>
        <v>7868</v>
      </c>
      <c r="L93" s="81">
        <f>VLOOKUP(B93,'OI(Value)'!$A$7:$C$209,3,0)</f>
        <v>613</v>
      </c>
      <c r="M93" s="33">
        <f t="shared" si="22"/>
        <v>7.7910523640061013</v>
      </c>
      <c r="N93" s="5">
        <f>VLOOKUP($B93,'Data Vlaue (Cr)'!$C:$FB,67)</f>
        <v>5563</v>
      </c>
      <c r="O93" s="5">
        <f>VLOOKUP($B93,'Data Vlaue (Cr)'!$C:$FB,68)</f>
        <v>2385</v>
      </c>
      <c r="P93" s="5">
        <f t="shared" si="30"/>
        <v>57.127449218047822</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Banking</v>
      </c>
      <c r="B94" s="79" t="str">
        <f>'Data shares'!C89</f>
        <v>IDFCFIRSTB</v>
      </c>
      <c r="C94" s="4">
        <f>VLOOKUP($B94,'Data shares'!$C:$FB,7)</f>
        <v>71.09</v>
      </c>
      <c r="D94" s="82">
        <f>VLOOKUP($B94,'Data shares'!$C:$FB,98)</f>
        <v>604229150</v>
      </c>
      <c r="E94" s="165">
        <f>VLOOKUP(B94,'Snapshot (Volume)'!$A$7:$G$168,7,0)</f>
        <v>603106875</v>
      </c>
      <c r="F94" s="165">
        <f t="shared" si="27"/>
        <v>1122275</v>
      </c>
      <c r="G94" s="166">
        <f t="shared" si="28"/>
        <v>1.8608227604767398E-3</v>
      </c>
      <c r="H94" s="165">
        <f>VLOOKUP($B94,'Data shares'!$C:$FB,66)</f>
        <v>339418625</v>
      </c>
      <c r="I94" s="165">
        <f>VLOOKUP($B94,'Data shares'!$C:$FB,67)</f>
        <v>136481625</v>
      </c>
      <c r="J94" s="81">
        <f t="shared" si="29"/>
        <v>148.69181107713217</v>
      </c>
      <c r="K94" s="5">
        <f>VLOOKUP($B94,'Data Vlaue (Cr)'!$C:$FB,99)</f>
        <v>4318</v>
      </c>
      <c r="L94" s="81">
        <f>VLOOKUP(B94,'OI(Value)'!$A$7:$C$209,3,0)</f>
        <v>8</v>
      </c>
      <c r="M94" s="33">
        <f t="shared" ref="M94:M122" si="31">L94/K94*100</f>
        <v>0.18527095877721167</v>
      </c>
      <c r="N94" s="5">
        <f>VLOOKUP($B94,'Data Vlaue (Cr)'!$C:$FB,67)</f>
        <v>2426</v>
      </c>
      <c r="O94" s="5">
        <f>VLOOKUP($B94,'Data Vlaue (Cr)'!$C:$FB,68)</f>
        <v>975</v>
      </c>
      <c r="P94" s="5">
        <f t="shared" si="30"/>
        <v>59.810387469084915</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Power</v>
      </c>
      <c r="B95" s="79" t="str">
        <f>'Data shares'!C90</f>
        <v>IEX</v>
      </c>
      <c r="C95" s="4">
        <f>VLOOKUP($B95,'Data shares'!$C:$FB,7)</f>
        <v>142.55000000000001</v>
      </c>
      <c r="D95" s="82">
        <f>VLOOKUP($B95,'Data shares'!$C:$FB,98)</f>
        <v>93491250</v>
      </c>
      <c r="E95" s="165">
        <f>VLOOKUP(B95,'Snapshot (Volume)'!$A$7:$G$168,7,0)</f>
        <v>90225000</v>
      </c>
      <c r="F95" s="165">
        <f t="shared" si="27"/>
        <v>3266250</v>
      </c>
      <c r="G95" s="166">
        <f t="shared" si="28"/>
        <v>3.6201163757273482E-2</v>
      </c>
      <c r="H95" s="165">
        <f>VLOOKUP($B95,'Data shares'!$C:$FB,66)</f>
        <v>29970000</v>
      </c>
      <c r="I95" s="165">
        <f>VLOOKUP($B95,'Data shares'!$C:$FB,67)</f>
        <v>67256250</v>
      </c>
      <c r="J95" s="81">
        <f t="shared" si="29"/>
        <v>-55.439085586841372</v>
      </c>
      <c r="K95" s="5">
        <f>VLOOKUP($B95,'Data Vlaue (Cr)'!$C:$FB,99)</f>
        <v>1340</v>
      </c>
      <c r="L95" s="81">
        <f>VLOOKUP(B95,'OI(Value)'!$A$7:$C$209,3,0)</f>
        <v>47</v>
      </c>
      <c r="M95" s="33">
        <f t="shared" si="31"/>
        <v>3.5074626865671643</v>
      </c>
      <c r="N95" s="5">
        <f>VLOOKUP($B95,'Data Vlaue (Cr)'!$C:$FB,67)</f>
        <v>430</v>
      </c>
      <c r="O95" s="5">
        <f>VLOOKUP($B95,'Data Vlaue (Cr)'!$C:$FB,68)</f>
        <v>964</v>
      </c>
      <c r="P95" s="5">
        <f t="shared" si="30"/>
        <v>-124.18604651162791</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Oil_Gas</v>
      </c>
      <c r="B96" s="79" t="str">
        <f>'Data shares'!C91</f>
        <v>IGL</v>
      </c>
      <c r="C96" s="4">
        <f>VLOOKUP($B96,'Data shares'!$C:$FB,7)</f>
        <v>208.06</v>
      </c>
      <c r="D96" s="82">
        <f>VLOOKUP($B96,'Data shares'!$C:$FB,98)</f>
        <v>27797000</v>
      </c>
      <c r="E96" s="165">
        <f>VLOOKUP(B96,'Snapshot (Volume)'!$A$7:$G$168,7,0)</f>
        <v>25833500</v>
      </c>
      <c r="F96" s="165">
        <f t="shared" si="27"/>
        <v>1963500</v>
      </c>
      <c r="G96" s="166">
        <f t="shared" si="28"/>
        <v>7.6005961251862889E-2</v>
      </c>
      <c r="H96" s="165">
        <f>VLOOKUP($B96,'Data shares'!$C:$FB,66)</f>
        <v>9432500</v>
      </c>
      <c r="I96" s="165">
        <f>VLOOKUP($B96,'Data shares'!$C:$FB,67)</f>
        <v>14085500</v>
      </c>
      <c r="J96" s="81">
        <f t="shared" si="29"/>
        <v>-33.033971105037097</v>
      </c>
      <c r="K96" s="5">
        <f>VLOOKUP($B96,'Data Vlaue (Cr)'!$C:$FB,99)</f>
        <v>582</v>
      </c>
      <c r="L96" s="81">
        <f>VLOOKUP(B96,'OI(Value)'!$A$7:$C$209,3,0)</f>
        <v>41</v>
      </c>
      <c r="M96" s="33">
        <f t="shared" si="31"/>
        <v>7.0446735395189002</v>
      </c>
      <c r="N96" s="5">
        <f>VLOOKUP($B96,'Data Vlaue (Cr)'!$C:$FB,67)</f>
        <v>197</v>
      </c>
      <c r="O96" s="5">
        <f>VLOOKUP($B96,'Data Vlaue (Cr)'!$C:$FB,68)</f>
        <v>295</v>
      </c>
      <c r="P96" s="5">
        <f t="shared" si="30"/>
        <v>-49.746192893401016</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Finance</v>
      </c>
      <c r="B97" s="79" t="str">
        <f>'Data shares'!C92</f>
        <v>IIFL</v>
      </c>
      <c r="C97" s="4">
        <f>VLOOKUP($B97,'Data shares'!$C:$FB,7)</f>
        <v>469.5</v>
      </c>
      <c r="D97" s="82">
        <f>VLOOKUP($B97,'Data shares'!$C:$FB,98)</f>
        <v>21233850</v>
      </c>
      <c r="E97" s="165">
        <f>VLOOKUP(B97,'Snapshot (Volume)'!$A$7:$G$168,7,0)</f>
        <v>20496300</v>
      </c>
      <c r="F97" s="165">
        <f t="shared" ref="F97:F105" si="32">D97-E97</f>
        <v>737550</v>
      </c>
      <c r="G97" s="166">
        <f t="shared" ref="G97:G105" si="33">F97/E97</f>
        <v>3.5984543551763004E-2</v>
      </c>
      <c r="H97" s="165">
        <f>VLOOKUP($B97,'Data shares'!$C:$FB,66)</f>
        <v>15866400</v>
      </c>
      <c r="I97" s="165">
        <f>VLOOKUP($B97,'Data shares'!$C:$FB,67)</f>
        <v>26495700</v>
      </c>
      <c r="J97" s="81">
        <f t="shared" ref="J97:J105" si="34">(H97-I97)/I97*100</f>
        <v>-40.117075600946563</v>
      </c>
      <c r="K97" s="5">
        <f>VLOOKUP($B97,'Data Vlaue (Cr)'!$C:$FB,99)</f>
        <v>1004</v>
      </c>
      <c r="L97" s="81">
        <f>VLOOKUP(B97,'OI(Value)'!$A$7:$C$209,3,0)</f>
        <v>35</v>
      </c>
      <c r="M97" s="33">
        <f t="shared" si="31"/>
        <v>3.4860557768924298</v>
      </c>
      <c r="N97" s="5">
        <f>VLOOKUP($B97,'Data Vlaue (Cr)'!$C:$FB,67)</f>
        <v>750</v>
      </c>
      <c r="O97" s="5">
        <f>VLOOKUP($B97,'Data Vlaue (Cr)'!$C:$FB,68)</f>
        <v>1252</v>
      </c>
      <c r="P97" s="5">
        <f t="shared" ref="P97:P105" si="35">(N97-O97)/N97*100</f>
        <v>-66.933333333333337</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Realty</v>
      </c>
      <c r="B98" s="79" t="str">
        <f>'Data shares'!C93</f>
        <v>INDHOTEL</v>
      </c>
      <c r="C98" s="4">
        <f>VLOOKUP($B98,'Data shares'!$C:$FB,7)</f>
        <v>723.55</v>
      </c>
      <c r="D98" s="82">
        <f>VLOOKUP($B98,'Data shares'!$C:$FB,98)</f>
        <v>45219000</v>
      </c>
      <c r="E98" s="165">
        <f>VLOOKUP(B98,'Snapshot (Volume)'!$A$7:$G$168,7,0)</f>
        <v>43099000</v>
      </c>
      <c r="F98" s="165">
        <f t="shared" si="32"/>
        <v>2120000</v>
      </c>
      <c r="G98" s="166">
        <f t="shared" si="33"/>
        <v>4.9189076312675467E-2</v>
      </c>
      <c r="H98" s="165">
        <f>VLOOKUP($B98,'Data shares'!$C:$FB,66)</f>
        <v>10861000</v>
      </c>
      <c r="I98" s="165">
        <f>VLOOKUP($B98,'Data shares'!$C:$FB,67)</f>
        <v>9507000</v>
      </c>
      <c r="J98" s="81">
        <f t="shared" si="34"/>
        <v>14.242137372462397</v>
      </c>
      <c r="K98" s="5">
        <f>VLOOKUP($B98,'Data Vlaue (Cr)'!$C:$FB,99)</f>
        <v>3291</v>
      </c>
      <c r="L98" s="81">
        <f>VLOOKUP(B98,'OI(Value)'!$A$7:$C$209,3,0)</f>
        <v>154</v>
      </c>
      <c r="M98" s="33">
        <f t="shared" si="31"/>
        <v>4.6794287450622907</v>
      </c>
      <c r="N98" s="5">
        <f>VLOOKUP($B98,'Data Vlaue (Cr)'!$C:$FB,67)</f>
        <v>790</v>
      </c>
      <c r="O98" s="5">
        <f>VLOOKUP($B98,'Data Vlaue (Cr)'!$C:$FB,68)</f>
        <v>692</v>
      </c>
      <c r="P98" s="5">
        <f t="shared" si="35"/>
        <v>12.405063291139239</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Banking</v>
      </c>
      <c r="B99" s="79" t="str">
        <f>'Data shares'!C94</f>
        <v>INDIANB</v>
      </c>
      <c r="C99" s="4">
        <f>VLOOKUP($B99,'Data shares'!$C:$FB,7)</f>
        <v>758.05</v>
      </c>
      <c r="D99" s="82">
        <f>VLOOKUP($B99,'Data shares'!$C:$FB,98)</f>
        <v>12722000</v>
      </c>
      <c r="E99" s="165">
        <f>VLOOKUP(B99,'Snapshot (Volume)'!$A$7:$G$168,7,0)</f>
        <v>12316000</v>
      </c>
      <c r="F99" s="165">
        <f t="shared" si="32"/>
        <v>406000</v>
      </c>
      <c r="G99" s="166">
        <f t="shared" si="33"/>
        <v>3.2965248457291325E-2</v>
      </c>
      <c r="H99" s="165">
        <f>VLOOKUP($B99,'Data shares'!$C:$FB,66)</f>
        <v>10663000</v>
      </c>
      <c r="I99" s="165">
        <f>VLOOKUP($B99,'Data shares'!$C:$FB,67)</f>
        <v>17400000</v>
      </c>
      <c r="J99" s="81">
        <f t="shared" si="34"/>
        <v>-38.718390804597703</v>
      </c>
      <c r="K99" s="5">
        <f>VLOOKUP($B99,'Data Vlaue (Cr)'!$C:$FB,99)</f>
        <v>966</v>
      </c>
      <c r="L99" s="81">
        <f>VLOOKUP(B99,'OI(Value)'!$A$7:$C$209,3,0)</f>
        <v>31</v>
      </c>
      <c r="M99" s="33">
        <f t="shared" si="31"/>
        <v>3.2091097308488616</v>
      </c>
      <c r="N99" s="5">
        <f>VLOOKUP($B99,'Data Vlaue (Cr)'!$C:$FB,67)</f>
        <v>810</v>
      </c>
      <c r="O99" s="5">
        <f>VLOOKUP($B99,'Data Vlaue (Cr)'!$C:$FB,68)</f>
        <v>1321</v>
      </c>
      <c r="P99" s="5">
        <f t="shared" si="35"/>
        <v>-63.086419753086417</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Index</v>
      </c>
      <c r="B100" s="79" t="str">
        <f>'Data shares'!C95</f>
        <v>INDIAVIX</v>
      </c>
      <c r="C100" s="4">
        <f>VLOOKUP($B100,'Data shares'!$C:$FB,7)</f>
        <v>10.19</v>
      </c>
      <c r="D100" s="82">
        <f>VLOOKUP($B100,'Data shares'!$C:$FB,98)</f>
        <v>0</v>
      </c>
      <c r="E100" s="165">
        <f>VLOOKUP(B100,'Snapshot (Volume)'!$A$7:$G$168,7,0)</f>
        <v>0</v>
      </c>
      <c r="F100" s="165">
        <f t="shared" si="32"/>
        <v>0</v>
      </c>
      <c r="G100" s="166" t="e">
        <f t="shared" si="33"/>
        <v>#DIV/0!</v>
      </c>
      <c r="H100" s="165">
        <f>VLOOKUP($B100,'Data shares'!$C:$FB,66)</f>
        <v>0</v>
      </c>
      <c r="I100" s="165">
        <f>VLOOKUP($B100,'Data shares'!$C:$FB,67)</f>
        <v>0</v>
      </c>
      <c r="J100" s="81" t="e">
        <f t="shared" si="34"/>
        <v>#DIV/0!</v>
      </c>
      <c r="K100" s="5">
        <f>VLOOKUP($B100,'Data Vlaue (Cr)'!$C:$FB,99)</f>
        <v>0</v>
      </c>
      <c r="L100" s="81">
        <f>VLOOKUP(B100,'OI(Value)'!$A$7:$C$209,3,0)</f>
        <v>0</v>
      </c>
      <c r="M100" s="33" t="e">
        <f t="shared" si="31"/>
        <v>#DIV/0!</v>
      </c>
      <c r="N100" s="5">
        <f>VLOOKUP($B100,'Data Vlaue (Cr)'!$C:$FB,67)</f>
        <v>0</v>
      </c>
      <c r="O100" s="5">
        <f>VLOOKUP($B100,'Data Vlaue (Cr)'!$C:$FB,68)</f>
        <v>0</v>
      </c>
      <c r="P100" s="5" t="e">
        <f t="shared" si="35"/>
        <v>#DIV/0!</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Infrastructure</v>
      </c>
      <c r="B101" s="79" t="str">
        <f>'Data shares'!C96</f>
        <v>INDIGO</v>
      </c>
      <c r="C101" s="4">
        <f>VLOOKUP($B101,'Data shares'!$C:$FB,7)</f>
        <v>5694.5</v>
      </c>
      <c r="D101" s="82">
        <f>VLOOKUP($B101,'Data shares'!$C:$FB,98)</f>
        <v>11128650</v>
      </c>
      <c r="E101" s="165">
        <f>VLOOKUP(B101,'Snapshot (Volume)'!$A$7:$G$168,7,0)</f>
        <v>11130450</v>
      </c>
      <c r="F101" s="165">
        <f t="shared" si="32"/>
        <v>-1800</v>
      </c>
      <c r="G101" s="166">
        <f t="shared" si="33"/>
        <v>-1.6171852890044876E-4</v>
      </c>
      <c r="H101" s="165">
        <f>VLOOKUP($B101,'Data shares'!$C:$FB,66)</f>
        <v>3575850</v>
      </c>
      <c r="I101" s="165">
        <f>VLOOKUP($B101,'Data shares'!$C:$FB,67)</f>
        <v>4359150</v>
      </c>
      <c r="J101" s="81">
        <f t="shared" si="34"/>
        <v>-17.96909948040329</v>
      </c>
      <c r="K101" s="5">
        <f>VLOOKUP($B101,'Data Vlaue (Cr)'!$C:$FB,99)</f>
        <v>6360</v>
      </c>
      <c r="L101" s="81">
        <f>VLOOKUP(B101,'OI(Value)'!$A$7:$C$209,3,0)</f>
        <v>-1</v>
      </c>
      <c r="M101" s="33">
        <f t="shared" si="31"/>
        <v>-1.5723270440251572E-2</v>
      </c>
      <c r="N101" s="5">
        <f>VLOOKUP($B101,'Data Vlaue (Cr)'!$C:$FB,67)</f>
        <v>2044</v>
      </c>
      <c r="O101" s="5">
        <f>VLOOKUP($B101,'Data Vlaue (Cr)'!$C:$FB,68)</f>
        <v>2491</v>
      </c>
      <c r="P101" s="5">
        <f t="shared" si="35"/>
        <v>-21.868884540117417</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Banking</v>
      </c>
      <c r="B102" s="79" t="str">
        <f>'Data shares'!C97</f>
        <v>INDUSINDBK</v>
      </c>
      <c r="C102" s="4">
        <f>VLOOKUP($B102,'Data shares'!$C:$FB,7)</f>
        <v>739.3</v>
      </c>
      <c r="D102" s="82">
        <f>VLOOKUP($B102,'Data shares'!$C:$FB,98)</f>
        <v>75327000</v>
      </c>
      <c r="E102" s="165">
        <f>VLOOKUP(B102,'Snapshot (Volume)'!$A$7:$G$168,7,0)</f>
        <v>74026400</v>
      </c>
      <c r="F102" s="165">
        <f t="shared" si="32"/>
        <v>1300600</v>
      </c>
      <c r="G102" s="166">
        <f t="shared" si="33"/>
        <v>1.7569407670776912E-2</v>
      </c>
      <c r="H102" s="165">
        <f>VLOOKUP($B102,'Data shares'!$C:$FB,66)</f>
        <v>34100500</v>
      </c>
      <c r="I102" s="165">
        <f>VLOOKUP($B102,'Data shares'!$C:$FB,67)</f>
        <v>25890200</v>
      </c>
      <c r="J102" s="81">
        <f t="shared" si="34"/>
        <v>31.711999134807765</v>
      </c>
      <c r="K102" s="5">
        <f>VLOOKUP($B102,'Data Vlaue (Cr)'!$C:$FB,99)</f>
        <v>5603</v>
      </c>
      <c r="L102" s="81">
        <f>VLOOKUP(B102,'OI(Value)'!$A$7:$C$209,3,0)</f>
        <v>97</v>
      </c>
      <c r="M102" s="33">
        <f t="shared" si="31"/>
        <v>1.7312154203105481</v>
      </c>
      <c r="N102" s="5">
        <f>VLOOKUP($B102,'Data Vlaue (Cr)'!$C:$FB,67)</f>
        <v>2536</v>
      </c>
      <c r="O102" s="5">
        <f>VLOOKUP($B102,'Data Vlaue (Cr)'!$C:$FB,68)</f>
        <v>1926</v>
      </c>
      <c r="P102" s="5">
        <f t="shared" si="35"/>
        <v>24.053627760252365</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Telecom</v>
      </c>
      <c r="B103" s="79" t="str">
        <f>'Data shares'!C98</f>
        <v>INDUSTOWER</v>
      </c>
      <c r="C103" s="4">
        <f>VLOOKUP($B103,'Data shares'!$C:$FB,7)</f>
        <v>353.65</v>
      </c>
      <c r="D103" s="82">
        <f>VLOOKUP($B103,'Data shares'!$C:$FB,98)</f>
        <v>114903000</v>
      </c>
      <c r="E103" s="165">
        <f>VLOOKUP(B103,'Snapshot (Volume)'!$A$7:$G$168,7,0)</f>
        <v>113352600</v>
      </c>
      <c r="F103" s="165">
        <f t="shared" si="32"/>
        <v>1550400</v>
      </c>
      <c r="G103" s="166">
        <f t="shared" si="33"/>
        <v>1.3677674795284802E-2</v>
      </c>
      <c r="H103" s="165">
        <f>VLOOKUP($B103,'Data shares'!$C:$FB,66)</f>
        <v>43785200</v>
      </c>
      <c r="I103" s="165">
        <f>VLOOKUP($B103,'Data shares'!$C:$FB,67)</f>
        <v>27245900</v>
      </c>
      <c r="J103" s="81">
        <f t="shared" si="34"/>
        <v>60.703812316715542</v>
      </c>
      <c r="K103" s="5">
        <f>VLOOKUP($B103,'Data Vlaue (Cr)'!$C:$FB,99)</f>
        <v>4083</v>
      </c>
      <c r="L103" s="81">
        <f>VLOOKUP(B103,'OI(Value)'!$A$7:$C$209,3,0)</f>
        <v>55</v>
      </c>
      <c r="M103" s="33">
        <f t="shared" si="31"/>
        <v>1.3470487386725447</v>
      </c>
      <c r="N103" s="5">
        <f>VLOOKUP($B103,'Data Vlaue (Cr)'!$C:$FB,67)</f>
        <v>1556</v>
      </c>
      <c r="O103" s="5">
        <f>VLOOKUP($B103,'Data Vlaue (Cr)'!$C:$FB,68)</f>
        <v>968</v>
      </c>
      <c r="P103" s="5">
        <f t="shared" si="35"/>
        <v>37.789203084832906</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Technology</v>
      </c>
      <c r="B104" s="79" t="str">
        <f>'Data shares'!C99</f>
        <v>INFY</v>
      </c>
      <c r="C104" s="4">
        <f>VLOOKUP($B104,'Data shares'!$C:$FB,7)</f>
        <v>1476</v>
      </c>
      <c r="D104" s="82">
        <f>VLOOKUP($B104,'Data shares'!$C:$FB,98)</f>
        <v>93449200</v>
      </c>
      <c r="E104" s="165">
        <f>VLOOKUP(B104,'Snapshot (Volume)'!$A$7:$G$168,7,0)</f>
        <v>93399600</v>
      </c>
      <c r="F104" s="165">
        <f t="shared" si="32"/>
        <v>49600</v>
      </c>
      <c r="G104" s="166">
        <f t="shared" si="33"/>
        <v>5.3105152484593087E-4</v>
      </c>
      <c r="H104" s="165">
        <f>VLOOKUP($B104,'Data shares'!$C:$FB,66)</f>
        <v>52367200</v>
      </c>
      <c r="I104" s="165">
        <f>VLOOKUP($B104,'Data shares'!$C:$FB,67)</f>
        <v>28882000</v>
      </c>
      <c r="J104" s="81">
        <f t="shared" si="34"/>
        <v>81.314313413198533</v>
      </c>
      <c r="K104" s="5">
        <f>VLOOKUP($B104,'Data Vlaue (Cr)'!$C:$FB,99)</f>
        <v>13747</v>
      </c>
      <c r="L104" s="81">
        <f>VLOOKUP(B104,'OI(Value)'!$A$7:$C$209,3,0)</f>
        <v>7</v>
      </c>
      <c r="M104" s="33">
        <f t="shared" si="31"/>
        <v>5.0920200771077326E-2</v>
      </c>
      <c r="N104" s="5">
        <f>VLOOKUP($B104,'Data Vlaue (Cr)'!$C:$FB,67)</f>
        <v>7704</v>
      </c>
      <c r="O104" s="5">
        <f>VLOOKUP($B104,'Data Vlaue (Cr)'!$C:$FB,68)</f>
        <v>4249</v>
      </c>
      <c r="P104" s="5">
        <f t="shared" si="35"/>
        <v>44.846832814122536</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Power</v>
      </c>
      <c r="B105" s="79" t="str">
        <f>'Data shares'!C100</f>
        <v>INOXWIND</v>
      </c>
      <c r="C105" s="4">
        <f>VLOOKUP($B105,'Data shares'!$C:$FB,7)</f>
        <v>139.38</v>
      </c>
      <c r="D105" s="82">
        <f>VLOOKUP($B105,'Data shares'!$C:$FB,98)</f>
        <v>69922640</v>
      </c>
      <c r="E105" s="165">
        <f>VLOOKUP(B105,'Snapshot (Volume)'!$A$7:$G$168,7,0)</f>
        <v>66375792</v>
      </c>
      <c r="F105" s="165">
        <f t="shared" si="32"/>
        <v>3546848</v>
      </c>
      <c r="G105" s="166">
        <f t="shared" si="33"/>
        <v>5.3435867100463372E-2</v>
      </c>
      <c r="H105" s="165">
        <f>VLOOKUP($B105,'Data shares'!$C:$FB,66)</f>
        <v>12770616</v>
      </c>
      <c r="I105" s="165">
        <f>VLOOKUP($B105,'Data shares'!$C:$FB,67)</f>
        <v>12760800</v>
      </c>
      <c r="J105" s="81">
        <f t="shared" si="34"/>
        <v>7.6923076923076927E-2</v>
      </c>
      <c r="K105" s="5">
        <f>VLOOKUP($B105,'Data Vlaue (Cr)'!$C:$FB,99)</f>
        <v>980</v>
      </c>
      <c r="L105" s="81">
        <f>VLOOKUP(B105,'OI(Value)'!$A$7:$C$209,3,0)</f>
        <v>50</v>
      </c>
      <c r="M105" s="33">
        <f t="shared" si="31"/>
        <v>5.1020408163265305</v>
      </c>
      <c r="N105" s="5">
        <f>VLOOKUP($B105,'Data Vlaue (Cr)'!$C:$FB,67)</f>
        <v>179</v>
      </c>
      <c r="O105" s="5">
        <f>VLOOKUP($B105,'Data Vlaue (Cr)'!$C:$FB,68)</f>
        <v>179</v>
      </c>
      <c r="P105" s="5">
        <f t="shared" si="35"/>
        <v>0</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Oil_Gas</v>
      </c>
      <c r="B106" s="79" t="str">
        <f>'Data shares'!C101</f>
        <v>IOC</v>
      </c>
      <c r="C106" s="79">
        <f>VLOOKUP($B106,'Data shares'!$C:$FB,7)</f>
        <v>154.84</v>
      </c>
      <c r="D106" s="80">
        <f>VLOOKUP($B106,'Data shares'!$C:$FB,98)</f>
        <v>144631500</v>
      </c>
      <c r="E106" s="165">
        <f>VLOOKUP(B106,'Snapshot (Volume)'!$A$7:$G$168,7,0)</f>
        <v>134047875</v>
      </c>
      <c r="F106" s="165">
        <f t="shared" ref="F106:F114" si="36">D106-E106</f>
        <v>10583625</v>
      </c>
      <c r="G106" s="166">
        <f t="shared" ref="G106:G114" si="37">F106/E106</f>
        <v>7.8954067716478157E-2</v>
      </c>
      <c r="H106" s="165">
        <f>VLOOKUP($B106,'Data shares'!$C:$FB,66)</f>
        <v>158705625</v>
      </c>
      <c r="I106" s="165">
        <f>VLOOKUP($B106,'Data shares'!$C:$FB,67)</f>
        <v>63838125</v>
      </c>
      <c r="J106" s="81">
        <f t="shared" ref="J106:J114" si="38">(H106-I106)/I106*100</f>
        <v>148.60633829705995</v>
      </c>
      <c r="K106" s="81">
        <f>VLOOKUP($B106,'Data Vlaue (Cr)'!$C:$FB,99)</f>
        <v>2252</v>
      </c>
      <c r="L106" s="81">
        <f>VLOOKUP(B106,'OI(Value)'!$A$7:$C$209,3,0)</f>
        <v>165</v>
      </c>
      <c r="M106" s="81">
        <f t="shared" si="31"/>
        <v>7.3268206039076382</v>
      </c>
      <c r="N106" s="81">
        <f>VLOOKUP($B106,'Data Vlaue (Cr)'!$C:$FB,67)</f>
        <v>2471</v>
      </c>
      <c r="O106" s="81">
        <f>VLOOKUP($B106,'Data Vlaue (Cr)'!$C:$FB,68)</f>
        <v>994</v>
      </c>
      <c r="P106" s="81">
        <f t="shared" ref="P106:P114" si="39">(N106-O106)/N106*100</f>
        <v>59.773371104815865</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Infrastructure</v>
      </c>
      <c r="B107" s="79" t="str">
        <f>'Data shares'!C102</f>
        <v>IRCTC</v>
      </c>
      <c r="C107" s="79">
        <f>VLOOKUP($B107,'Data shares'!$C:$FB,7)</f>
        <v>710.25</v>
      </c>
      <c r="D107" s="80">
        <f>VLOOKUP($B107,'Data shares'!$C:$FB,98)</f>
        <v>24981250</v>
      </c>
      <c r="E107" s="165">
        <f>VLOOKUP(B107,'Snapshot (Volume)'!$A$7:$G$168,7,0)</f>
        <v>24184125</v>
      </c>
      <c r="F107" s="165">
        <f t="shared" si="36"/>
        <v>797125</v>
      </c>
      <c r="G107" s="166">
        <f t="shared" si="37"/>
        <v>3.2960671514888386E-2</v>
      </c>
      <c r="H107" s="165">
        <f>VLOOKUP($B107,'Data shares'!$C:$FB,66)</f>
        <v>5265750</v>
      </c>
      <c r="I107" s="165">
        <f>VLOOKUP($B107,'Data shares'!$C:$FB,67)</f>
        <v>5360250</v>
      </c>
      <c r="J107" s="81">
        <f t="shared" si="38"/>
        <v>-1.762977473065622</v>
      </c>
      <c r="K107" s="81">
        <f>VLOOKUP($B107,'Data Vlaue (Cr)'!$C:$FB,99)</f>
        <v>1784</v>
      </c>
      <c r="L107" s="81">
        <f>VLOOKUP(B107,'OI(Value)'!$A$7:$C$209,3,0)</f>
        <v>57</v>
      </c>
      <c r="M107" s="81">
        <f t="shared" si="31"/>
        <v>3.195067264573991</v>
      </c>
      <c r="N107" s="81">
        <f>VLOOKUP($B107,'Data Vlaue (Cr)'!$C:$FB,67)</f>
        <v>376</v>
      </c>
      <c r="O107" s="81">
        <f>VLOOKUP($B107,'Data Vlaue (Cr)'!$C:$FB,68)</f>
        <v>383</v>
      </c>
      <c r="P107" s="81">
        <f t="shared" si="39"/>
        <v>-1.8617021276595744</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Finance</v>
      </c>
      <c r="B108" s="79" t="str">
        <f>'Data shares'!C103</f>
        <v>IREDA</v>
      </c>
      <c r="C108" s="4">
        <f>VLOOKUP($B108,'Data shares'!$C:$FB,7)</f>
        <v>151.16</v>
      </c>
      <c r="D108" s="82">
        <f>VLOOKUP($B108,'Data shares'!$C:$FB,98)</f>
        <v>82406700</v>
      </c>
      <c r="E108" s="165">
        <f>VLOOKUP(B108,'Snapshot (Volume)'!$A$7:$G$168,7,0)</f>
        <v>72543150</v>
      </c>
      <c r="F108" s="165">
        <f t="shared" si="36"/>
        <v>9863550</v>
      </c>
      <c r="G108" s="166">
        <f t="shared" si="37"/>
        <v>0.13596804109002711</v>
      </c>
      <c r="H108" s="165">
        <f>VLOOKUP($B108,'Data shares'!$C:$FB,66)</f>
        <v>48003300</v>
      </c>
      <c r="I108" s="165">
        <f>VLOOKUP($B108,'Data shares'!$C:$FB,67)</f>
        <v>71604750</v>
      </c>
      <c r="J108" s="81">
        <f t="shared" si="38"/>
        <v>-32.960732353649725</v>
      </c>
      <c r="K108" s="5">
        <f>VLOOKUP($B108,'Data Vlaue (Cr)'!$C:$FB,99)</f>
        <v>1244</v>
      </c>
      <c r="L108" s="81">
        <f>VLOOKUP(B108,'OI(Value)'!$A$7:$C$209,3,0)</f>
        <v>149</v>
      </c>
      <c r="M108" s="33">
        <f t="shared" si="31"/>
        <v>11.97749196141479</v>
      </c>
      <c r="N108" s="5">
        <f>VLOOKUP($B108,'Data Vlaue (Cr)'!$C:$FB,67)</f>
        <v>725</v>
      </c>
      <c r="O108" s="5">
        <f>VLOOKUP($B108,'Data Vlaue (Cr)'!$C:$FB,68)</f>
        <v>1081</v>
      </c>
      <c r="P108" s="5">
        <f t="shared" si="39"/>
        <v>-49.103448275862071</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Infrastructure</v>
      </c>
      <c r="B109" s="79" t="str">
        <f>'Data shares'!C104</f>
        <v>IRFC</v>
      </c>
      <c r="C109" s="4">
        <f>VLOOKUP($B109,'Data shares'!$C:$FB,7)</f>
        <v>125.24</v>
      </c>
      <c r="D109" s="82">
        <f>VLOOKUP($B109,'Data shares'!$C:$FB,98)</f>
        <v>67868250</v>
      </c>
      <c r="E109" s="165">
        <f>VLOOKUP(B109,'Snapshot (Volume)'!$A$7:$G$168,7,0)</f>
        <v>65314000</v>
      </c>
      <c r="F109" s="165">
        <f t="shared" si="36"/>
        <v>2554250</v>
      </c>
      <c r="G109" s="166">
        <f t="shared" si="37"/>
        <v>3.9107235814679855E-2</v>
      </c>
      <c r="H109" s="165">
        <f>VLOOKUP($B109,'Data shares'!$C:$FB,66)</f>
        <v>14717750</v>
      </c>
      <c r="I109" s="165">
        <f>VLOOKUP($B109,'Data shares'!$C:$FB,67)</f>
        <v>16553750</v>
      </c>
      <c r="J109" s="81">
        <f t="shared" si="38"/>
        <v>-11.091142490372272</v>
      </c>
      <c r="K109" s="5">
        <f>VLOOKUP($B109,'Data Vlaue (Cr)'!$C:$FB,99)</f>
        <v>855</v>
      </c>
      <c r="L109" s="81">
        <f>VLOOKUP(B109,'OI(Value)'!$A$7:$C$209,3,0)</f>
        <v>32</v>
      </c>
      <c r="M109" s="33">
        <f t="shared" si="31"/>
        <v>3.7426900584795324</v>
      </c>
      <c r="N109" s="5">
        <f>VLOOKUP($B109,'Data Vlaue (Cr)'!$C:$FB,67)</f>
        <v>185</v>
      </c>
      <c r="O109" s="5">
        <f>VLOOKUP($B109,'Data Vlaue (Cr)'!$C:$FB,68)</f>
        <v>209</v>
      </c>
      <c r="P109" s="5">
        <f t="shared" si="39"/>
        <v>-12.972972972972974</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FMCG</v>
      </c>
      <c r="B110" s="79" t="str">
        <f>'Data shares'!C105</f>
        <v>ITC</v>
      </c>
      <c r="C110" s="4">
        <f>VLOOKUP($B110,'Data shares'!$C:$FB,7)</f>
        <v>400.75</v>
      </c>
      <c r="D110" s="82">
        <f>VLOOKUP($B110,'Data shares'!$C:$FB,98)</f>
        <v>183708800</v>
      </c>
      <c r="E110" s="165">
        <f>VLOOKUP(B110,'Snapshot (Volume)'!$A$7:$G$168,7,0)</f>
        <v>170132800</v>
      </c>
      <c r="F110" s="165">
        <f t="shared" si="36"/>
        <v>13576000</v>
      </c>
      <c r="G110" s="166">
        <f t="shared" si="37"/>
        <v>7.9796488390245737E-2</v>
      </c>
      <c r="H110" s="165">
        <f>VLOOKUP($B110,'Data shares'!$C:$FB,66)</f>
        <v>72412800</v>
      </c>
      <c r="I110" s="165">
        <f>VLOOKUP($B110,'Data shares'!$C:$FB,67)</f>
        <v>75769600</v>
      </c>
      <c r="J110" s="81">
        <f t="shared" si="38"/>
        <v>-4.430272827096883</v>
      </c>
      <c r="K110" s="5">
        <f>VLOOKUP($B110,'Data Vlaue (Cr)'!$C:$FB,99)</f>
        <v>7406</v>
      </c>
      <c r="L110" s="81">
        <f>VLOOKUP(B110,'OI(Value)'!$A$7:$C$209,3,0)</f>
        <v>547</v>
      </c>
      <c r="M110" s="33">
        <f t="shared" si="31"/>
        <v>7.3859033216311101</v>
      </c>
      <c r="N110" s="5">
        <f>VLOOKUP($B110,'Data Vlaue (Cr)'!$C:$FB,67)</f>
        <v>2919</v>
      </c>
      <c r="O110" s="5">
        <f>VLOOKUP($B110,'Data Vlaue (Cr)'!$C:$FB,68)</f>
        <v>3055</v>
      </c>
      <c r="P110" s="5">
        <f t="shared" si="39"/>
        <v>-4.6591298389859546</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Metals</v>
      </c>
      <c r="B111" s="79" t="str">
        <f>'Data shares'!C106</f>
        <v>JINDALSTEL</v>
      </c>
      <c r="C111" s="4">
        <f>VLOOKUP($B111,'Data shares'!$C:$FB,7)</f>
        <v>1055.9000000000001</v>
      </c>
      <c r="D111" s="82">
        <f>VLOOKUP($B111,'Data shares'!$C:$FB,98)</f>
        <v>19403125</v>
      </c>
      <c r="E111" s="165">
        <f>VLOOKUP(B111,'Snapshot (Volume)'!$A$7:$G$168,7,0)</f>
        <v>18050625</v>
      </c>
      <c r="F111" s="165">
        <f t="shared" si="36"/>
        <v>1352500</v>
      </c>
      <c r="G111" s="166">
        <f t="shared" si="37"/>
        <v>7.4928153457290259E-2</v>
      </c>
      <c r="H111" s="165">
        <f>VLOOKUP($B111,'Data shares'!$C:$FB,66)</f>
        <v>21130625</v>
      </c>
      <c r="I111" s="165">
        <f>VLOOKUP($B111,'Data shares'!$C:$FB,67)</f>
        <v>20881875</v>
      </c>
      <c r="J111" s="81">
        <f t="shared" si="38"/>
        <v>1.1912244470384006</v>
      </c>
      <c r="K111" s="5">
        <f>VLOOKUP($B111,'Data Vlaue (Cr)'!$C:$FB,99)</f>
        <v>2055</v>
      </c>
      <c r="L111" s="81">
        <f>VLOOKUP(B111,'OI(Value)'!$A$7:$C$209,3,0)</f>
        <v>143</v>
      </c>
      <c r="M111" s="33">
        <f t="shared" si="31"/>
        <v>6.9586374695863746</v>
      </c>
      <c r="N111" s="5">
        <f>VLOOKUP($B111,'Data Vlaue (Cr)'!$C:$FB,67)</f>
        <v>2238</v>
      </c>
      <c r="O111" s="5">
        <f>VLOOKUP($B111,'Data Vlaue (Cr)'!$C:$FB,68)</f>
        <v>2212</v>
      </c>
      <c r="P111" s="5">
        <f t="shared" si="39"/>
        <v>1.161751563896336</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Finance</v>
      </c>
      <c r="B112" s="79" t="str">
        <f>'Data shares'!C107</f>
        <v>JIOFIN</v>
      </c>
      <c r="C112" s="4">
        <f>VLOOKUP($B112,'Data shares'!$C:$FB,7)</f>
        <v>306.25</v>
      </c>
      <c r="D112" s="82">
        <f>VLOOKUP($B112,'Data shares'!$C:$FB,98)</f>
        <v>221069200</v>
      </c>
      <c r="E112" s="165">
        <f>VLOOKUP(B112,'Snapshot (Volume)'!$A$7:$G$168,7,0)</f>
        <v>221532150</v>
      </c>
      <c r="F112" s="165">
        <f t="shared" si="36"/>
        <v>-462950</v>
      </c>
      <c r="G112" s="166">
        <f t="shared" si="37"/>
        <v>-2.0897643976280642E-3</v>
      </c>
      <c r="H112" s="165">
        <f>VLOOKUP($B112,'Data shares'!$C:$FB,66)</f>
        <v>97513250</v>
      </c>
      <c r="I112" s="165">
        <f>VLOOKUP($B112,'Data shares'!$C:$FB,67)</f>
        <v>65682500</v>
      </c>
      <c r="J112" s="81">
        <f t="shared" si="38"/>
        <v>48.46153846153846</v>
      </c>
      <c r="K112" s="5">
        <f>VLOOKUP($B112,'Data Vlaue (Cr)'!$C:$FB,99)</f>
        <v>6810</v>
      </c>
      <c r="L112" s="81">
        <f>VLOOKUP(B112,'OI(Value)'!$A$7:$C$209,3,0)</f>
        <v>-14</v>
      </c>
      <c r="M112" s="33">
        <f t="shared" si="31"/>
        <v>-0.20558002936857561</v>
      </c>
      <c r="N112" s="5">
        <f>VLOOKUP($B112,'Data Vlaue (Cr)'!$C:$FB,67)</f>
        <v>3004</v>
      </c>
      <c r="O112" s="5">
        <f>VLOOKUP($B112,'Data Vlaue (Cr)'!$C:$FB,68)</f>
        <v>2023</v>
      </c>
      <c r="P112" s="5">
        <f t="shared" si="39"/>
        <v>32.656458055925427</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Power</v>
      </c>
      <c r="B113" s="79" t="str">
        <f>'Data shares'!C108</f>
        <v>JSWENERGY</v>
      </c>
      <c r="C113" s="4">
        <f>VLOOKUP($B113,'Data shares'!$C:$FB,7)</f>
        <v>541</v>
      </c>
      <c r="D113" s="82">
        <f>VLOOKUP($B113,'Data shares'!$C:$FB,98)</f>
        <v>47020000</v>
      </c>
      <c r="E113" s="165">
        <f>VLOOKUP(B113,'Snapshot (Volume)'!$A$7:$G$168,7,0)</f>
        <v>46291000</v>
      </c>
      <c r="F113" s="165">
        <f t="shared" si="36"/>
        <v>729000</v>
      </c>
      <c r="G113" s="166">
        <f t="shared" si="37"/>
        <v>1.5748201594262382E-2</v>
      </c>
      <c r="H113" s="165">
        <f>VLOOKUP($B113,'Data shares'!$C:$FB,66)</f>
        <v>7958000</v>
      </c>
      <c r="I113" s="165">
        <f>VLOOKUP($B113,'Data shares'!$C:$FB,67)</f>
        <v>8148000</v>
      </c>
      <c r="J113" s="81">
        <f t="shared" si="38"/>
        <v>-2.3318605792832598</v>
      </c>
      <c r="K113" s="5">
        <f>VLOOKUP($B113,'Data Vlaue (Cr)'!$C:$FB,99)</f>
        <v>2555</v>
      </c>
      <c r="L113" s="81">
        <f>VLOOKUP(B113,'OI(Value)'!$A$7:$C$209,3,0)</f>
        <v>40</v>
      </c>
      <c r="M113" s="33">
        <f t="shared" si="31"/>
        <v>1.5655577299412915</v>
      </c>
      <c r="N113" s="5">
        <f>VLOOKUP($B113,'Data Vlaue (Cr)'!$C:$FB,67)</f>
        <v>432</v>
      </c>
      <c r="O113" s="5">
        <f>VLOOKUP($B113,'Data Vlaue (Cr)'!$C:$FB,68)</f>
        <v>443</v>
      </c>
      <c r="P113" s="5">
        <f t="shared" si="39"/>
        <v>-2.5462962962962963</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Metals</v>
      </c>
      <c r="B114" s="79" t="str">
        <f>'Data shares'!C109</f>
        <v>JSWSTEEL</v>
      </c>
      <c r="C114" s="4">
        <f>VLOOKUP($B114,'Data shares'!$C:$FB,7)</f>
        <v>1159.9000000000001</v>
      </c>
      <c r="D114" s="82">
        <f>VLOOKUP($B114,'Data shares'!$C:$FB,98)</f>
        <v>52947675</v>
      </c>
      <c r="E114" s="165">
        <f>VLOOKUP(B114,'Snapshot (Volume)'!$A$7:$G$168,7,0)</f>
        <v>52647300</v>
      </c>
      <c r="F114" s="165">
        <f t="shared" si="36"/>
        <v>300375</v>
      </c>
      <c r="G114" s="166">
        <f t="shared" si="37"/>
        <v>5.705420790809785E-3</v>
      </c>
      <c r="H114" s="165">
        <f>VLOOKUP($B114,'Data shares'!$C:$FB,66)</f>
        <v>11414925</v>
      </c>
      <c r="I114" s="165">
        <f>VLOOKUP($B114,'Data shares'!$C:$FB,67)</f>
        <v>27618975</v>
      </c>
      <c r="J114" s="81">
        <f t="shared" si="38"/>
        <v>-58.669990468509425</v>
      </c>
      <c r="K114" s="5">
        <f>VLOOKUP($B114,'Data Vlaue (Cr)'!$C:$FB,99)</f>
        <v>6182</v>
      </c>
      <c r="L114" s="81">
        <f>VLOOKUP(B114,'OI(Value)'!$A$7:$C$209,3,0)</f>
        <v>35</v>
      </c>
      <c r="M114" s="33">
        <f t="shared" si="31"/>
        <v>0.56615981882885791</v>
      </c>
      <c r="N114" s="5">
        <f>VLOOKUP($B114,'Data Vlaue (Cr)'!$C:$FB,67)</f>
        <v>1333</v>
      </c>
      <c r="O114" s="5">
        <f>VLOOKUP($B114,'Data Vlaue (Cr)'!$C:$FB,68)</f>
        <v>3225</v>
      </c>
      <c r="P114" s="5">
        <f t="shared" si="39"/>
        <v>-141.93548387096774</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JUBLFOOD</v>
      </c>
      <c r="C115" s="79">
        <f>VLOOKUP($B115,'Data shares'!$C:$FB,7)</f>
        <v>623.35</v>
      </c>
      <c r="D115" s="80">
        <f>VLOOKUP($B115,'Data shares'!$C:$FB,98)</f>
        <v>28470000</v>
      </c>
      <c r="E115" s="165">
        <f>VLOOKUP(B115,'Snapshot (Volume)'!$A$7:$G$168,7,0)</f>
        <v>26786250</v>
      </c>
      <c r="F115" s="165">
        <f t="shared" ref="F115:F126" si="40">D115-E115</f>
        <v>1683750</v>
      </c>
      <c r="G115" s="166">
        <f t="shared" ref="G115:G126" si="41">F115/E115</f>
        <v>6.285874282514349E-2</v>
      </c>
      <c r="H115" s="165">
        <f>VLOOKUP($B115,'Data shares'!$C:$FB,66)</f>
        <v>16103750</v>
      </c>
      <c r="I115" s="165">
        <f>VLOOKUP($B115,'Data shares'!$C:$FB,67)</f>
        <v>7862500</v>
      </c>
      <c r="J115" s="81">
        <f t="shared" ref="J115:J126" si="42">(H115-I115)/I115*100</f>
        <v>104.81717011128775</v>
      </c>
      <c r="K115" s="81">
        <f>VLOOKUP($B115,'Data Vlaue (Cr)'!$C:$FB,99)</f>
        <v>1784</v>
      </c>
      <c r="L115" s="81">
        <f>VLOOKUP(B115,'OI(Value)'!$A$7:$C$209,3,0)</f>
        <v>106</v>
      </c>
      <c r="M115" s="81">
        <f t="shared" si="31"/>
        <v>5.9417040358744391</v>
      </c>
      <c r="N115" s="81">
        <f>VLOOKUP($B115,'Data Vlaue (Cr)'!$C:$FB,67)</f>
        <v>1009</v>
      </c>
      <c r="O115" s="81">
        <f>VLOOKUP($B115,'Data Vlaue (Cr)'!$C:$FB,68)</f>
        <v>493</v>
      </c>
      <c r="P115" s="81">
        <f t="shared" ref="P115:P126" si="43">(N115-O115)/N115*100</f>
        <v>51.139742319127848</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FMCG</v>
      </c>
      <c r="B116" s="79" t="str">
        <f>'Data shares'!C111</f>
        <v>KALYANKJIL</v>
      </c>
      <c r="C116" s="4">
        <f>VLOOKUP($B116,'Data shares'!$C:$FB,7)</f>
        <v>485.35</v>
      </c>
      <c r="D116" s="82">
        <f>VLOOKUP($B116,'Data shares'!$C:$FB,98)</f>
        <v>49922225</v>
      </c>
      <c r="E116" s="165">
        <f>VLOOKUP(B116,'Snapshot (Volume)'!$A$7:$G$168,7,0)</f>
        <v>47696775</v>
      </c>
      <c r="F116" s="165">
        <f t="shared" si="40"/>
        <v>2225450</v>
      </c>
      <c r="G116" s="166">
        <f t="shared" si="41"/>
        <v>4.6658290838321875E-2</v>
      </c>
      <c r="H116" s="165">
        <f>VLOOKUP($B116,'Data shares'!$C:$FB,66)</f>
        <v>36806875</v>
      </c>
      <c r="I116" s="165">
        <f>VLOOKUP($B116,'Data shares'!$C:$FB,67)</f>
        <v>76889650</v>
      </c>
      <c r="J116" s="81">
        <f t="shared" si="42"/>
        <v>-52.130260704789265</v>
      </c>
      <c r="K116" s="5">
        <f>VLOOKUP($B116,'Data Vlaue (Cr)'!$C:$FB,99)</f>
        <v>2432</v>
      </c>
      <c r="L116" s="81">
        <f>VLOOKUP(B116,'OI(Value)'!$A$7:$C$209,3,0)</f>
        <v>108</v>
      </c>
      <c r="M116" s="33">
        <f t="shared" si="31"/>
        <v>4.4407894736842106</v>
      </c>
      <c r="N116" s="5">
        <f>VLOOKUP($B116,'Data Vlaue (Cr)'!$C:$FB,67)</f>
        <v>1793</v>
      </c>
      <c r="O116" s="5">
        <f>VLOOKUP($B116,'Data Vlaue (Cr)'!$C:$FB,68)</f>
        <v>3745</v>
      </c>
      <c r="P116" s="5">
        <f t="shared" si="43"/>
        <v>-108.86781929726715</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Capital_Goods</v>
      </c>
      <c r="B117" s="79" t="str">
        <f>'Data shares'!C112</f>
        <v>KAYNES</v>
      </c>
      <c r="C117" s="4">
        <f>VLOOKUP($B117,'Data shares'!$C:$FB,7)</f>
        <v>7466.5</v>
      </c>
      <c r="D117" s="82">
        <f>VLOOKUP($B117,'Data shares'!$C:$FB,98)</f>
        <v>2059800</v>
      </c>
      <c r="E117" s="165">
        <f>VLOOKUP(B117,'Snapshot (Volume)'!$A$7:$G$168,7,0)</f>
        <v>2042000</v>
      </c>
      <c r="F117" s="165">
        <f t="shared" si="40"/>
        <v>17800</v>
      </c>
      <c r="G117" s="166">
        <f t="shared" si="41"/>
        <v>8.716944172380019E-3</v>
      </c>
      <c r="H117" s="165">
        <f>VLOOKUP($B117,'Data shares'!$C:$FB,66)</f>
        <v>2266400</v>
      </c>
      <c r="I117" s="165">
        <f>VLOOKUP($B117,'Data shares'!$C:$FB,67)</f>
        <v>880600</v>
      </c>
      <c r="J117" s="81">
        <f t="shared" si="42"/>
        <v>157.36997501703385</v>
      </c>
      <c r="K117" s="5">
        <f>VLOOKUP($B117,'Data Vlaue (Cr)'!$C:$FB,99)</f>
        <v>1542</v>
      </c>
      <c r="L117" s="81">
        <f>VLOOKUP(B117,'OI(Value)'!$A$7:$C$209,3,0)</f>
        <v>13</v>
      </c>
      <c r="M117" s="33">
        <f t="shared" si="31"/>
        <v>0.8430609597924773</v>
      </c>
      <c r="N117" s="5">
        <f>VLOOKUP($B117,'Data Vlaue (Cr)'!$C:$FB,67)</f>
        <v>1697</v>
      </c>
      <c r="O117" s="5">
        <f>VLOOKUP($B117,'Data Vlaue (Cr)'!$C:$FB,68)</f>
        <v>659</v>
      </c>
      <c r="P117" s="5">
        <f t="shared" si="43"/>
        <v>61.166764879198588</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Power</v>
      </c>
      <c r="B118" s="79" t="str">
        <f>'Data shares'!C113</f>
        <v>KEI</v>
      </c>
      <c r="C118" s="4">
        <f>VLOOKUP($B118,'Data shares'!$C:$FB,7)</f>
        <v>4131.7</v>
      </c>
      <c r="D118" s="82">
        <f>VLOOKUP($B118,'Data shares'!$C:$FB,98)</f>
        <v>2035775</v>
      </c>
      <c r="E118" s="165">
        <f>VLOOKUP(B118,'Snapshot (Volume)'!$A$7:$G$168,7,0)</f>
        <v>1895775</v>
      </c>
      <c r="F118" s="165">
        <f t="shared" si="40"/>
        <v>140000</v>
      </c>
      <c r="G118" s="166">
        <f t="shared" si="41"/>
        <v>7.3848426105418627E-2</v>
      </c>
      <c r="H118" s="165">
        <f>VLOOKUP($B118,'Data shares'!$C:$FB,66)</f>
        <v>1873725</v>
      </c>
      <c r="I118" s="165">
        <f>VLOOKUP($B118,'Data shares'!$C:$FB,67)</f>
        <v>1345750</v>
      </c>
      <c r="J118" s="81">
        <f t="shared" si="42"/>
        <v>39.23276983094928</v>
      </c>
      <c r="K118" s="5">
        <f>VLOOKUP($B118,'Data Vlaue (Cr)'!$C:$FB,99)</f>
        <v>846</v>
      </c>
      <c r="L118" s="81">
        <f>VLOOKUP(B118,'OI(Value)'!$A$7:$C$209,3,0)</f>
        <v>58</v>
      </c>
      <c r="M118" s="33">
        <f t="shared" si="31"/>
        <v>6.8557919621749415</v>
      </c>
      <c r="N118" s="5">
        <f>VLOOKUP($B118,'Data Vlaue (Cr)'!$C:$FB,67)</f>
        <v>778</v>
      </c>
      <c r="O118" s="5">
        <f>VLOOKUP($B118,'Data Vlaue (Cr)'!$C:$FB,68)</f>
        <v>559</v>
      </c>
      <c r="P118" s="5">
        <f t="shared" si="43"/>
        <v>28.14910025706941</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Finance</v>
      </c>
      <c r="B119" s="79" t="str">
        <f>'Data shares'!C114</f>
        <v>KFINTECH</v>
      </c>
      <c r="C119" s="4">
        <f>VLOOKUP($B119,'Data shares'!$C:$FB,7)</f>
        <v>1062.5</v>
      </c>
      <c r="D119" s="82">
        <f>VLOOKUP($B119,'Data shares'!$C:$FB,98)</f>
        <v>3781350</v>
      </c>
      <c r="E119" s="165">
        <f>VLOOKUP(B119,'Snapshot (Volume)'!$A$7:$G$168,7,0)</f>
        <v>3546000</v>
      </c>
      <c r="F119" s="165">
        <f t="shared" si="40"/>
        <v>235350</v>
      </c>
      <c r="G119" s="166">
        <f t="shared" si="41"/>
        <v>6.637055837563452E-2</v>
      </c>
      <c r="H119" s="165">
        <f>VLOOKUP($B119,'Data shares'!$C:$FB,66)</f>
        <v>1101150</v>
      </c>
      <c r="I119" s="165">
        <f>VLOOKUP($B119,'Data shares'!$C:$FB,67)</f>
        <v>1403550</v>
      </c>
      <c r="J119" s="81">
        <f t="shared" si="42"/>
        <v>-21.545367104841297</v>
      </c>
      <c r="K119" s="5">
        <f>VLOOKUP($B119,'Data Vlaue (Cr)'!$C:$FB,99)</f>
        <v>404</v>
      </c>
      <c r="L119" s="81">
        <f>VLOOKUP(B119,'OI(Value)'!$A$7:$C$209,3,0)</f>
        <v>25</v>
      </c>
      <c r="M119" s="33">
        <f t="shared" si="31"/>
        <v>6.1881188118811883</v>
      </c>
      <c r="N119" s="5">
        <f>VLOOKUP($B119,'Data Vlaue (Cr)'!$C:$FB,67)</f>
        <v>118</v>
      </c>
      <c r="O119" s="5">
        <f>VLOOKUP($B119,'Data Vlaue (Cr)'!$C:$FB,68)</f>
        <v>150</v>
      </c>
      <c r="P119" s="5">
        <f t="shared" si="43"/>
        <v>-27.118644067796609</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Banking</v>
      </c>
      <c r="B120" s="79" t="str">
        <f>'Data shares'!C115</f>
        <v>KOTAKBANK</v>
      </c>
      <c r="C120" s="4">
        <f>VLOOKUP($B120,'Data shares'!$C:$FB,7)</f>
        <v>2146</v>
      </c>
      <c r="D120" s="82">
        <f>VLOOKUP($B120,'Data shares'!$C:$FB,98)</f>
        <v>52740400</v>
      </c>
      <c r="E120" s="165">
        <f>VLOOKUP(B120,'Snapshot (Volume)'!$A$7:$G$168,7,0)</f>
        <v>50182800</v>
      </c>
      <c r="F120" s="165">
        <f t="shared" si="40"/>
        <v>2557600</v>
      </c>
      <c r="G120" s="166">
        <f t="shared" si="41"/>
        <v>5.0965669512263168E-2</v>
      </c>
      <c r="H120" s="165">
        <f>VLOOKUP($B120,'Data shares'!$C:$FB,66)</f>
        <v>68834400</v>
      </c>
      <c r="I120" s="165">
        <f>VLOOKUP($B120,'Data shares'!$C:$FB,67)</f>
        <v>54685200</v>
      </c>
      <c r="J120" s="81">
        <f t="shared" si="42"/>
        <v>25.873911039915736</v>
      </c>
      <c r="K120" s="5">
        <f>VLOOKUP($B120,'Data Vlaue (Cr)'!$C:$FB,99)</f>
        <v>11354</v>
      </c>
      <c r="L120" s="81">
        <f>VLOOKUP(B120,'OI(Value)'!$A$7:$C$209,3,0)</f>
        <v>551</v>
      </c>
      <c r="M120" s="33">
        <f t="shared" si="31"/>
        <v>4.852915272150784</v>
      </c>
      <c r="N120" s="5">
        <f>VLOOKUP($B120,'Data Vlaue (Cr)'!$C:$FB,67)</f>
        <v>14819</v>
      </c>
      <c r="O120" s="5">
        <f>VLOOKUP($B120,'Data Vlaue (Cr)'!$C:$FB,68)</f>
        <v>11773</v>
      </c>
      <c r="P120" s="5">
        <f t="shared" si="43"/>
        <v>20.554693299142993</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Technology</v>
      </c>
      <c r="B121" s="79" t="str">
        <f>'Data shares'!C116</f>
        <v>KPITTECH</v>
      </c>
      <c r="C121" s="4">
        <f>VLOOKUP($B121,'Data shares'!$C:$FB,7)</f>
        <v>1156.7</v>
      </c>
      <c r="D121" s="82">
        <f>VLOOKUP($B121,'Data shares'!$C:$FB,98)</f>
        <v>9112000</v>
      </c>
      <c r="E121" s="165">
        <f>VLOOKUP(B121,'Snapshot (Volume)'!$A$7:$G$168,7,0)</f>
        <v>8672000</v>
      </c>
      <c r="F121" s="165">
        <f t="shared" si="40"/>
        <v>440000</v>
      </c>
      <c r="G121" s="166">
        <f t="shared" si="41"/>
        <v>5.07380073800738E-2</v>
      </c>
      <c r="H121" s="165">
        <f>VLOOKUP($B121,'Data shares'!$C:$FB,66)</f>
        <v>6184800</v>
      </c>
      <c r="I121" s="165">
        <f>VLOOKUP($B121,'Data shares'!$C:$FB,67)</f>
        <v>3619200</v>
      </c>
      <c r="J121" s="81">
        <f t="shared" si="42"/>
        <v>70.888594164456237</v>
      </c>
      <c r="K121" s="5">
        <f>VLOOKUP($B121,'Data Vlaue (Cr)'!$C:$FB,99)</f>
        <v>1054</v>
      </c>
      <c r="L121" s="81">
        <f>VLOOKUP(B121,'OI(Value)'!$A$7:$C$209,3,0)</f>
        <v>51</v>
      </c>
      <c r="M121" s="33">
        <f t="shared" si="31"/>
        <v>4.838709677419355</v>
      </c>
      <c r="N121" s="5">
        <f>VLOOKUP($B121,'Data Vlaue (Cr)'!$C:$FB,67)</f>
        <v>716</v>
      </c>
      <c r="O121" s="5">
        <f>VLOOKUP($B121,'Data Vlaue (Cr)'!$C:$FB,68)</f>
        <v>419</v>
      </c>
      <c r="P121" s="5">
        <f t="shared" si="43"/>
        <v>41.480446927374302</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Pharma</v>
      </c>
      <c r="B122" s="79" t="str">
        <f>'Data shares'!C117</f>
        <v>LAURUSLABS</v>
      </c>
      <c r="C122" s="4">
        <f>VLOOKUP($B122,'Data shares'!$C:$FB,7)</f>
        <v>863</v>
      </c>
      <c r="D122" s="82">
        <f>VLOOKUP($B122,'Data shares'!$C:$FB,98)</f>
        <v>34425000</v>
      </c>
      <c r="E122" s="165">
        <f>VLOOKUP(B122,'Snapshot (Volume)'!$A$7:$G$168,7,0)</f>
        <v>33398200</v>
      </c>
      <c r="F122" s="165">
        <f t="shared" si="40"/>
        <v>1026800</v>
      </c>
      <c r="G122" s="166">
        <f t="shared" si="41"/>
        <v>3.0744171841596255E-2</v>
      </c>
      <c r="H122" s="165">
        <f>VLOOKUP($B122,'Data shares'!$C:$FB,66)</f>
        <v>13305900</v>
      </c>
      <c r="I122" s="165">
        <f>VLOOKUP($B122,'Data shares'!$C:$FB,67)</f>
        <v>19441200</v>
      </c>
      <c r="J122" s="81">
        <f t="shared" si="42"/>
        <v>-31.558237145855195</v>
      </c>
      <c r="K122" s="5">
        <f>VLOOKUP($B122,'Data Vlaue (Cr)'!$C:$FB,99)</f>
        <v>2989</v>
      </c>
      <c r="L122" s="81">
        <f>VLOOKUP(B122,'OI(Value)'!$A$7:$C$209,3,0)</f>
        <v>89</v>
      </c>
      <c r="M122" s="33">
        <f t="shared" si="31"/>
        <v>2.977584476413516</v>
      </c>
      <c r="N122" s="5">
        <f>VLOOKUP($B122,'Data Vlaue (Cr)'!$C:$FB,67)</f>
        <v>1155</v>
      </c>
      <c r="O122" s="5">
        <f>VLOOKUP($B122,'Data Vlaue (Cr)'!$C:$FB,68)</f>
        <v>1688</v>
      </c>
      <c r="P122" s="5">
        <f t="shared" si="43"/>
        <v>-46.147186147186147</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LICHSGFIN</v>
      </c>
      <c r="C123" s="4">
        <f>VLOOKUP($B123,'Data shares'!$C:$FB,7)</f>
        <v>576.85</v>
      </c>
      <c r="D123" s="82">
        <f>VLOOKUP($B123,'Data shares'!$C:$FB,98)</f>
        <v>41965000</v>
      </c>
      <c r="E123" s="165">
        <f>VLOOKUP(B123,'Snapshot (Volume)'!$A$7:$G$168,7,0)</f>
        <v>41558000</v>
      </c>
      <c r="F123" s="165">
        <f t="shared" si="40"/>
        <v>407000</v>
      </c>
      <c r="G123" s="166">
        <f t="shared" si="41"/>
        <v>9.793541556379036E-3</v>
      </c>
      <c r="H123" s="165">
        <f>VLOOKUP($B123,'Data shares'!$C:$FB,66)</f>
        <v>6203000</v>
      </c>
      <c r="I123" s="165">
        <f>VLOOKUP($B123,'Data shares'!$C:$FB,67)</f>
        <v>8669000</v>
      </c>
      <c r="J123" s="81">
        <f t="shared" si="42"/>
        <v>-28.446187564886376</v>
      </c>
      <c r="K123" s="5">
        <f>VLOOKUP($B123,'Data Vlaue (Cr)'!$C:$FB,99)</f>
        <v>2435</v>
      </c>
      <c r="L123" s="81">
        <f>VLOOKUP(B123,'OI(Value)'!$A$7:$C$209,3,0)</f>
        <v>24</v>
      </c>
      <c r="M123" s="33">
        <f t="shared" ref="M123:M144" si="44">L123/K123*100</f>
        <v>0.98562628336755653</v>
      </c>
      <c r="N123" s="5">
        <f>VLOOKUP($B123,'Data Vlaue (Cr)'!$C:$FB,67)</f>
        <v>360</v>
      </c>
      <c r="O123" s="5">
        <f>VLOOKUP($B123,'Data Vlaue (Cr)'!$C:$FB,68)</f>
        <v>503</v>
      </c>
      <c r="P123" s="5">
        <f t="shared" si="43"/>
        <v>-39.722222222222221</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LICI</v>
      </c>
      <c r="C124" s="4">
        <f>VLOOKUP($B124,'Data shares'!$C:$FB,7)</f>
        <v>907.15</v>
      </c>
      <c r="D124" s="82">
        <f>VLOOKUP($B124,'Data shares'!$C:$FB,98)</f>
        <v>12419400</v>
      </c>
      <c r="E124" s="165">
        <f>VLOOKUP(B124,'Snapshot (Volume)'!$A$7:$G$168,7,0)</f>
        <v>11760000</v>
      </c>
      <c r="F124" s="165">
        <f t="shared" si="40"/>
        <v>659400</v>
      </c>
      <c r="G124" s="166">
        <f t="shared" si="41"/>
        <v>5.6071428571428571E-2</v>
      </c>
      <c r="H124" s="165">
        <f>VLOOKUP($B124,'Data shares'!$C:$FB,66)</f>
        <v>4139800</v>
      </c>
      <c r="I124" s="165">
        <f>VLOOKUP($B124,'Data shares'!$C:$FB,67)</f>
        <v>5025300</v>
      </c>
      <c r="J124" s="81">
        <f t="shared" si="42"/>
        <v>-17.620838556902076</v>
      </c>
      <c r="K124" s="5">
        <f>VLOOKUP($B124,'Data Vlaue (Cr)'!$C:$FB,99)</f>
        <v>1134</v>
      </c>
      <c r="L124" s="81">
        <f>VLOOKUP(B124,'OI(Value)'!$A$7:$C$209,3,0)</f>
        <v>60</v>
      </c>
      <c r="M124" s="33">
        <f t="shared" si="44"/>
        <v>5.2910052910052912</v>
      </c>
      <c r="N124" s="5">
        <f>VLOOKUP($B124,'Data Vlaue (Cr)'!$C:$FB,67)</f>
        <v>378</v>
      </c>
      <c r="O124" s="5">
        <f>VLOOKUP($B124,'Data Vlaue (Cr)'!$C:$FB,68)</f>
        <v>459</v>
      </c>
      <c r="P124" s="5">
        <f t="shared" si="43"/>
        <v>-21.428571428571427</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Realty</v>
      </c>
      <c r="B125" s="79" t="str">
        <f>'Data shares'!C120</f>
        <v>LODHA</v>
      </c>
      <c r="C125" s="4">
        <f>VLOOKUP($B125,'Data shares'!$C:$FB,7)</f>
        <v>1115.0999999999999</v>
      </c>
      <c r="D125" s="82">
        <f>VLOOKUP($B125,'Data shares'!$C:$FB,98)</f>
        <v>14875200</v>
      </c>
      <c r="E125" s="165">
        <f>VLOOKUP(B125,'Snapshot (Volume)'!$A$7:$G$168,7,0)</f>
        <v>14033250</v>
      </c>
      <c r="F125" s="165">
        <f t="shared" si="40"/>
        <v>841950</v>
      </c>
      <c r="G125" s="166">
        <f t="shared" si="41"/>
        <v>5.9996793330126662E-2</v>
      </c>
      <c r="H125" s="165">
        <f>VLOOKUP($B125,'Data shares'!$C:$FB,66)</f>
        <v>6463800</v>
      </c>
      <c r="I125" s="165">
        <f>VLOOKUP($B125,'Data shares'!$C:$FB,67)</f>
        <v>6809850</v>
      </c>
      <c r="J125" s="81">
        <f t="shared" si="42"/>
        <v>-5.0816097270864997</v>
      </c>
      <c r="K125" s="5">
        <f>VLOOKUP($B125,'Data Vlaue (Cr)'!$C:$FB,99)</f>
        <v>1670</v>
      </c>
      <c r="L125" s="81">
        <f>VLOOKUP(B125,'OI(Value)'!$A$7:$C$209,3,0)</f>
        <v>95</v>
      </c>
      <c r="M125" s="33">
        <f t="shared" si="44"/>
        <v>5.6886227544910177</v>
      </c>
      <c r="N125" s="5">
        <f>VLOOKUP($B125,'Data Vlaue (Cr)'!$C:$FB,67)</f>
        <v>726</v>
      </c>
      <c r="O125" s="5">
        <f>VLOOKUP($B125,'Data Vlaue (Cr)'!$C:$FB,68)</f>
        <v>764</v>
      </c>
      <c r="P125" s="5">
        <f t="shared" si="43"/>
        <v>-5.2341597796143251</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Capital_Goods</v>
      </c>
      <c r="B126" s="79" t="str">
        <f>'Data shares'!C121</f>
        <v>LT</v>
      </c>
      <c r="C126" s="4">
        <f>VLOOKUP($B126,'Data shares'!$C:$FB,7)</f>
        <v>3737</v>
      </c>
      <c r="D126" s="82">
        <f>VLOOKUP($B126,'Data shares'!$C:$FB,98)</f>
        <v>24535350</v>
      </c>
      <c r="E126" s="165">
        <f>VLOOKUP(B126,'Snapshot (Volume)'!$A$7:$G$168,7,0)</f>
        <v>23677325</v>
      </c>
      <c r="F126" s="165">
        <f t="shared" si="40"/>
        <v>858025</v>
      </c>
      <c r="G126" s="166">
        <f t="shared" si="41"/>
        <v>3.6238257488968875E-2</v>
      </c>
      <c r="H126" s="165">
        <f>VLOOKUP($B126,'Data shares'!$C:$FB,66)</f>
        <v>15242150</v>
      </c>
      <c r="I126" s="165">
        <f>VLOOKUP($B126,'Data shares'!$C:$FB,67)</f>
        <v>13967100</v>
      </c>
      <c r="J126" s="81">
        <f t="shared" si="42"/>
        <v>9.1289530396431608</v>
      </c>
      <c r="K126" s="5">
        <f>VLOOKUP($B126,'Data Vlaue (Cr)'!$C:$FB,99)</f>
        <v>9209</v>
      </c>
      <c r="L126" s="81">
        <f>VLOOKUP(B126,'OI(Value)'!$A$7:$C$209,3,0)</f>
        <v>322</v>
      </c>
      <c r="M126" s="33">
        <f t="shared" si="44"/>
        <v>3.4965794331632098</v>
      </c>
      <c r="N126" s="5">
        <f>VLOOKUP($B126,'Data Vlaue (Cr)'!$C:$FB,67)</f>
        <v>5721</v>
      </c>
      <c r="O126" s="5">
        <f>VLOOKUP($B126,'Data Vlaue (Cr)'!$C:$FB,68)</f>
        <v>5242</v>
      </c>
      <c r="P126" s="5">
        <f t="shared" si="43"/>
        <v>8.3726621220066431</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Finance</v>
      </c>
      <c r="B127" s="79" t="str">
        <f>'Data shares'!C122</f>
        <v>LTF</v>
      </c>
      <c r="C127" s="4">
        <f>VLOOKUP($B127,'Data shares'!$C:$FB,7)</f>
        <v>259.87</v>
      </c>
      <c r="D127" s="82">
        <f>VLOOKUP($B127,'Data shares'!$C:$FB,98)</f>
        <v>93724310</v>
      </c>
      <c r="E127" s="165">
        <f>VLOOKUP(B127,'Snapshot (Volume)'!$A$7:$G$168,7,0)</f>
        <v>91265748</v>
      </c>
      <c r="F127" s="165">
        <f>D127-E127</f>
        <v>2458562</v>
      </c>
      <c r="G127" s="166">
        <f>F127/E127</f>
        <v>2.6938496137674784E-2</v>
      </c>
      <c r="H127" s="165">
        <f>VLOOKUP($B127,'Data shares'!$C:$FB,66)</f>
        <v>110804846</v>
      </c>
      <c r="I127" s="165">
        <f>VLOOKUP($B127,'Data shares'!$C:$FB,67)</f>
        <v>91056034</v>
      </c>
      <c r="J127" s="81">
        <f>(H127-I127)/I127*100</f>
        <v>21.688636252266381</v>
      </c>
      <c r="K127" s="5">
        <f>VLOOKUP($B127,'Data Vlaue (Cr)'!$C:$FB,99)</f>
        <v>2447</v>
      </c>
      <c r="L127" s="81">
        <f>VLOOKUP(B127,'OI(Value)'!$A$7:$C$209,3,0)</f>
        <v>64</v>
      </c>
      <c r="M127" s="33">
        <f t="shared" si="44"/>
        <v>2.6154474867184305</v>
      </c>
      <c r="N127" s="5">
        <f>VLOOKUP($B127,'Data Vlaue (Cr)'!$C:$FB,67)</f>
        <v>2893</v>
      </c>
      <c r="O127" s="5">
        <f>VLOOKUP($B127,'Data Vlaue (Cr)'!$C:$FB,68)</f>
        <v>2378</v>
      </c>
      <c r="P127" s="5">
        <f>(N127-O127)/N127*100</f>
        <v>17.801590044936052</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Technology</v>
      </c>
      <c r="B128" s="79" t="str">
        <f>'Data shares'!C123</f>
        <v>LTIM</v>
      </c>
      <c r="C128" s="4">
        <f>VLOOKUP($B128,'Data shares'!$C:$FB,7)</f>
        <v>5274</v>
      </c>
      <c r="D128" s="82">
        <f>VLOOKUP($B128,'Data shares'!$C:$FB,98)</f>
        <v>3622950</v>
      </c>
      <c r="E128" s="165">
        <f>VLOOKUP(B128,'Snapshot (Volume)'!$A$7:$G$168,7,0)</f>
        <v>3541950</v>
      </c>
      <c r="F128" s="165">
        <f>D128-E128</f>
        <v>81000</v>
      </c>
      <c r="G128" s="166">
        <f>F128/E128</f>
        <v>2.2868758734595349E-2</v>
      </c>
      <c r="H128" s="165">
        <f>VLOOKUP($B128,'Data shares'!$C:$FB,66)</f>
        <v>3501450</v>
      </c>
      <c r="I128" s="165">
        <f>VLOOKUP($B128,'Data shares'!$C:$FB,67)</f>
        <v>1215600</v>
      </c>
      <c r="J128" s="81">
        <f>(H128-I128)/I128*100</f>
        <v>188.04294175715697</v>
      </c>
      <c r="K128" s="5">
        <f>VLOOKUP($B128,'Data Vlaue (Cr)'!$C:$FB,99)</f>
        <v>1907</v>
      </c>
      <c r="L128" s="81">
        <f>VLOOKUP(B128,'OI(Value)'!$A$7:$C$209,3,0)</f>
        <v>43</v>
      </c>
      <c r="M128" s="33">
        <f t="shared" si="44"/>
        <v>2.2548505506030416</v>
      </c>
      <c r="N128" s="5">
        <f>VLOOKUP($B128,'Data Vlaue (Cr)'!$C:$FB,67)</f>
        <v>1843</v>
      </c>
      <c r="O128" s="5">
        <f>VLOOKUP($B128,'Data Vlaue (Cr)'!$C:$FB,68)</f>
        <v>640</v>
      </c>
      <c r="P128" s="5">
        <f>(N128-O128)/N128*100</f>
        <v>65.274009766684742</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Pharma</v>
      </c>
      <c r="B129" s="79" t="str">
        <f>'Data shares'!C124</f>
        <v>LUPIN</v>
      </c>
      <c r="C129" s="4">
        <f>VLOOKUP($B129,'Data shares'!$C:$FB,7)</f>
        <v>1937.3</v>
      </c>
      <c r="D129" s="82">
        <f>VLOOKUP($B129,'Data shares'!$C:$FB,98)</f>
        <v>15104925</v>
      </c>
      <c r="E129" s="165">
        <f>VLOOKUP(B129,'Snapshot (Volume)'!$A$7:$G$168,7,0)</f>
        <v>13844800</v>
      </c>
      <c r="F129" s="165">
        <f>D129-E129</f>
        <v>1260125</v>
      </c>
      <c r="G129" s="166">
        <f>F129/E129</f>
        <v>9.1017927308447932E-2</v>
      </c>
      <c r="H129" s="165">
        <f>VLOOKUP($B129,'Data shares'!$C:$FB,66)</f>
        <v>8953475</v>
      </c>
      <c r="I129" s="165">
        <f>VLOOKUP($B129,'Data shares'!$C:$FB,67)</f>
        <v>4884525</v>
      </c>
      <c r="J129" s="81">
        <f>(H129-I129)/I129*100</f>
        <v>83.302880013921524</v>
      </c>
      <c r="K129" s="5">
        <f>VLOOKUP($B129,'Data Vlaue (Cr)'!$C:$FB,99)</f>
        <v>2944</v>
      </c>
      <c r="L129" s="81">
        <f>VLOOKUP(B129,'OI(Value)'!$A$7:$C$209,3,0)</f>
        <v>246</v>
      </c>
      <c r="M129" s="33">
        <f t="shared" si="44"/>
        <v>8.3559782608695645</v>
      </c>
      <c r="N129" s="5">
        <f>VLOOKUP($B129,'Data Vlaue (Cr)'!$C:$FB,67)</f>
        <v>1745</v>
      </c>
      <c r="O129" s="5">
        <f>VLOOKUP($B129,'Data Vlaue (Cr)'!$C:$FB,68)</f>
        <v>952</v>
      </c>
      <c r="P129" s="5">
        <f>(N129-O129)/N129*100</f>
        <v>45.44412607449857</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Automobile</v>
      </c>
      <c r="B130" s="79" t="str">
        <f>'Data shares'!C125</f>
        <v>M&amp;M</v>
      </c>
      <c r="C130" s="4">
        <f>VLOOKUP($B130,'Data shares'!$C:$FB,7)</f>
        <v>3472</v>
      </c>
      <c r="D130" s="82">
        <f>VLOOKUP($B130,'Data shares'!$C:$FB,98)</f>
        <v>27215000</v>
      </c>
      <c r="E130" s="165">
        <f>VLOOKUP(B130,'Snapshot (Volume)'!$A$7:$G$168,7,0)</f>
        <v>27000400</v>
      </c>
      <c r="F130" s="165">
        <f>D130-E130</f>
        <v>214600</v>
      </c>
      <c r="G130" s="166">
        <f>F130/E130</f>
        <v>7.9480303995496365E-3</v>
      </c>
      <c r="H130" s="165">
        <f>VLOOKUP($B130,'Data shares'!$C:$FB,66)</f>
        <v>8092600</v>
      </c>
      <c r="I130" s="165">
        <f>VLOOKUP($B130,'Data shares'!$C:$FB,67)</f>
        <v>13221600</v>
      </c>
      <c r="J130" s="81">
        <f>(H130-I130)/I130*100</f>
        <v>-38.792581835783871</v>
      </c>
      <c r="K130" s="5">
        <f>VLOOKUP($B130,'Data Vlaue (Cr)'!$C:$FB,99)</f>
        <v>9504</v>
      </c>
      <c r="L130" s="81">
        <f>VLOOKUP(B130,'OI(Value)'!$A$7:$C$209,3,0)</f>
        <v>75</v>
      </c>
      <c r="M130" s="33">
        <f t="shared" si="44"/>
        <v>0.78914141414141414</v>
      </c>
      <c r="N130" s="5">
        <f>VLOOKUP($B130,'Data Vlaue (Cr)'!$C:$FB,67)</f>
        <v>2826</v>
      </c>
      <c r="O130" s="5">
        <f>VLOOKUP($B130,'Data Vlaue (Cr)'!$C:$FB,68)</f>
        <v>4617</v>
      </c>
      <c r="P130" s="5">
        <f>(N130-O130)/N130*100</f>
        <v>-63.375796178343947</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Finance</v>
      </c>
      <c r="B131" s="79" t="str">
        <f>'Data shares'!C126</f>
        <v>MANAPPURAM</v>
      </c>
      <c r="C131" s="4">
        <f>VLOOKUP($B131,'Data shares'!$C:$FB,7)</f>
        <v>290.75</v>
      </c>
      <c r="D131" s="82">
        <f>VLOOKUP($B131,'Data shares'!$C:$FB,98)</f>
        <v>40884000</v>
      </c>
      <c r="E131" s="165">
        <f>VLOOKUP(B131,'Snapshot (Volume)'!$A$7:$G$168,7,0)</f>
        <v>39705000</v>
      </c>
      <c r="F131" s="165">
        <f>D131-E131</f>
        <v>1179000</v>
      </c>
      <c r="G131" s="166">
        <f>F131/E131</f>
        <v>2.9693993199848886E-2</v>
      </c>
      <c r="H131" s="165">
        <f>VLOOKUP($B131,'Data shares'!$C:$FB,66)</f>
        <v>30450000</v>
      </c>
      <c r="I131" s="165">
        <f>VLOOKUP($B131,'Data shares'!$C:$FB,67)</f>
        <v>12894000</v>
      </c>
      <c r="J131" s="81">
        <f>(H131-I131)/I131*100</f>
        <v>136.15635179153094</v>
      </c>
      <c r="K131" s="5">
        <f>VLOOKUP($B131,'Data Vlaue (Cr)'!$C:$FB,99)</f>
        <v>1196</v>
      </c>
      <c r="L131" s="81">
        <f>VLOOKUP(B131,'OI(Value)'!$A$7:$C$209,3,0)</f>
        <v>34</v>
      </c>
      <c r="M131" s="33">
        <f t="shared" si="44"/>
        <v>2.8428093645484949</v>
      </c>
      <c r="N131" s="5">
        <f>VLOOKUP($B131,'Data Vlaue (Cr)'!$C:$FB,67)</f>
        <v>891</v>
      </c>
      <c r="O131" s="5">
        <f>VLOOKUP($B131,'Data Vlaue (Cr)'!$C:$FB,68)</f>
        <v>377</v>
      </c>
      <c r="P131" s="5">
        <f>(N131-O131)/N131*100</f>
        <v>57.687991021324358</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Pharma</v>
      </c>
      <c r="B132" s="79" t="str">
        <f>'Data shares'!C127</f>
        <v>MANKIND</v>
      </c>
      <c r="C132" s="79">
        <f>VLOOKUP($B132,'Data shares'!$C:$FB,7)</f>
        <v>2456.3000000000002</v>
      </c>
      <c r="D132" s="165">
        <f>VLOOKUP($B132,'Data shares'!$C:$FB,98)</f>
        <v>2488275</v>
      </c>
      <c r="E132" s="165">
        <f>VLOOKUP(B132,'Snapshot (Volume)'!$A$7:$G$168,7,0)</f>
        <v>2348325</v>
      </c>
      <c r="F132" s="165">
        <f t="shared" ref="F132:F139" si="45">D132-E132</f>
        <v>139950</v>
      </c>
      <c r="G132" s="166">
        <f t="shared" ref="G132:G139" si="46">F132/E132</f>
        <v>5.9595669253616937E-2</v>
      </c>
      <c r="H132" s="165">
        <f>VLOOKUP($B132,'Data shares'!$C:$FB,66)</f>
        <v>993150</v>
      </c>
      <c r="I132" s="165">
        <f>VLOOKUP($B132,'Data shares'!$C:$FB,67)</f>
        <v>953325</v>
      </c>
      <c r="J132" s="81">
        <f t="shared" ref="J132:J139" si="47">(H132-I132)/I132*100</f>
        <v>4.1774840689166863</v>
      </c>
      <c r="K132" s="81">
        <f>VLOOKUP($B132,'Data Vlaue (Cr)'!$C:$FB,99)</f>
        <v>614</v>
      </c>
      <c r="L132" s="81">
        <f>VLOOKUP(B132,'OI(Value)'!$A$7:$C$209,3,0)</f>
        <v>35</v>
      </c>
      <c r="M132" s="81">
        <f t="shared" si="44"/>
        <v>5.7003257328990227</v>
      </c>
      <c r="N132" s="81">
        <f>VLOOKUP($B132,'Data Vlaue (Cr)'!$C:$FB,67)</f>
        <v>245</v>
      </c>
      <c r="O132" s="81">
        <f>VLOOKUP($B132,'Data Vlaue (Cr)'!$C:$FB,68)</f>
        <v>235</v>
      </c>
      <c r="P132" s="81">
        <f t="shared" ref="P132:P139" si="48">(N132-O132)/N132*100</f>
        <v>4.0816326530612246</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FMCG</v>
      </c>
      <c r="B133" s="79" t="str">
        <f>'Data shares'!C128</f>
        <v>MARICO</v>
      </c>
      <c r="C133" s="79">
        <f>VLOOKUP($B133,'Data shares'!$C:$FB,7)</f>
        <v>715.55</v>
      </c>
      <c r="D133" s="165">
        <f>VLOOKUP($B133,'Data shares'!$C:$FB,98)</f>
        <v>33674400</v>
      </c>
      <c r="E133" s="165">
        <f>VLOOKUP(B133,'Snapshot (Volume)'!$A$7:$G$168,7,0)</f>
        <v>33996000</v>
      </c>
      <c r="F133" s="165">
        <f t="shared" si="45"/>
        <v>-321600</v>
      </c>
      <c r="G133" s="166">
        <f t="shared" si="46"/>
        <v>-9.4599364631133068E-3</v>
      </c>
      <c r="H133" s="165">
        <f>VLOOKUP($B133,'Data shares'!$C:$FB,66)</f>
        <v>12562800</v>
      </c>
      <c r="I133" s="165">
        <f>VLOOKUP($B133,'Data shares'!$C:$FB,67)</f>
        <v>8349600</v>
      </c>
      <c r="J133" s="81">
        <f t="shared" si="47"/>
        <v>50.459902270767465</v>
      </c>
      <c r="K133" s="81">
        <f>VLOOKUP($B133,'Data Vlaue (Cr)'!$C:$FB,99)</f>
        <v>2422</v>
      </c>
      <c r="L133" s="81">
        <f>VLOOKUP(B133,'OI(Value)'!$A$7:$C$209,3,0)</f>
        <v>-23</v>
      </c>
      <c r="M133" s="81">
        <f t="shared" si="44"/>
        <v>-0.94962840627580514</v>
      </c>
      <c r="N133" s="81">
        <f>VLOOKUP($B133,'Data Vlaue (Cr)'!$C:$FB,67)</f>
        <v>904</v>
      </c>
      <c r="O133" s="81">
        <f>VLOOKUP($B133,'Data Vlaue (Cr)'!$C:$FB,68)</f>
        <v>601</v>
      </c>
      <c r="P133" s="81">
        <f t="shared" si="48"/>
        <v>33.517699115044245</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Automobile</v>
      </c>
      <c r="B134" s="79" t="str">
        <f>'Data shares'!C129</f>
        <v>MARUTI</v>
      </c>
      <c r="C134" s="4">
        <f>VLOOKUP($B134,'Data shares'!$C:$FB,7)</f>
        <v>15998</v>
      </c>
      <c r="D134" s="82">
        <f>VLOOKUP($B134,'Data shares'!$C:$FB,98)</f>
        <v>6549000</v>
      </c>
      <c r="E134" s="165">
        <f>VLOOKUP(B134,'Snapshot (Volume)'!$A$7:$G$168,7,0)</f>
        <v>6440250</v>
      </c>
      <c r="F134" s="165">
        <f t="shared" si="45"/>
        <v>108750</v>
      </c>
      <c r="G134" s="166">
        <f t="shared" si="46"/>
        <v>1.6885990450681263E-2</v>
      </c>
      <c r="H134" s="165">
        <f>VLOOKUP($B134,'Data shares'!$C:$FB,66)</f>
        <v>7422250</v>
      </c>
      <c r="I134" s="165">
        <f>VLOOKUP($B134,'Data shares'!$C:$FB,67)</f>
        <v>7814000</v>
      </c>
      <c r="J134" s="81">
        <f t="shared" si="47"/>
        <v>-5.0134374200153573</v>
      </c>
      <c r="K134" s="5">
        <f>VLOOKUP($B134,'Data Vlaue (Cr)'!$C:$FB,99)</f>
        <v>10520</v>
      </c>
      <c r="L134" s="81">
        <f>VLOOKUP(B134,'OI(Value)'!$A$7:$C$209,3,0)</f>
        <v>175</v>
      </c>
      <c r="M134" s="33">
        <f t="shared" si="44"/>
        <v>1.6634980988593155</v>
      </c>
      <c r="N134" s="5">
        <f>VLOOKUP($B134,'Data Vlaue (Cr)'!$C:$FB,67)</f>
        <v>11922</v>
      </c>
      <c r="O134" s="5">
        <f>VLOOKUP($B134,'Data Vlaue (Cr)'!$C:$FB,68)</f>
        <v>12552</v>
      </c>
      <c r="P134" s="5">
        <f t="shared" si="48"/>
        <v>-5.2843482637141417</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Pharma</v>
      </c>
      <c r="B135" s="79" t="str">
        <f>'Data shares'!C130</f>
        <v>MAXHEALTH</v>
      </c>
      <c r="C135" s="4">
        <f>VLOOKUP($B135,'Data shares'!$C:$FB,7)</f>
        <v>1139.7</v>
      </c>
      <c r="D135" s="82">
        <f>VLOOKUP($B135,'Data shares'!$C:$FB,98)</f>
        <v>24500700</v>
      </c>
      <c r="E135" s="165">
        <f>VLOOKUP(B135,'Snapshot (Volume)'!$A$7:$G$168,7,0)</f>
        <v>26200650</v>
      </c>
      <c r="F135" s="165">
        <f t="shared" si="45"/>
        <v>-1699950</v>
      </c>
      <c r="G135" s="166">
        <f t="shared" si="46"/>
        <v>-6.4881978118863468E-2</v>
      </c>
      <c r="H135" s="165">
        <f>VLOOKUP($B135,'Data shares'!$C:$FB,66)</f>
        <v>55843725</v>
      </c>
      <c r="I135" s="165">
        <f>VLOOKUP($B135,'Data shares'!$C:$FB,67)</f>
        <v>28951650</v>
      </c>
      <c r="J135" s="81">
        <f t="shared" si="47"/>
        <v>92.886156747542884</v>
      </c>
      <c r="K135" s="5">
        <f>VLOOKUP($B135,'Data Vlaue (Cr)'!$C:$FB,99)</f>
        <v>2801</v>
      </c>
      <c r="L135" s="81">
        <f>VLOOKUP(B135,'OI(Value)'!$A$7:$C$209,3,0)</f>
        <v>-194</v>
      </c>
      <c r="M135" s="33">
        <f t="shared" si="44"/>
        <v>-6.9260978222063549</v>
      </c>
      <c r="N135" s="5">
        <f>VLOOKUP($B135,'Data Vlaue (Cr)'!$C:$FB,67)</f>
        <v>6384</v>
      </c>
      <c r="O135" s="5">
        <f>VLOOKUP($B135,'Data Vlaue (Cr)'!$C:$FB,68)</f>
        <v>3310</v>
      </c>
      <c r="P135" s="5">
        <f t="shared" si="48"/>
        <v>48.151629072681708</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Infrastructure</v>
      </c>
      <c r="B136" s="79" t="str">
        <f>'Data shares'!C131</f>
        <v>MAZDOCK</v>
      </c>
      <c r="C136" s="4">
        <f>VLOOKUP($B136,'Data shares'!$C:$FB,7)</f>
        <v>2888</v>
      </c>
      <c r="D136" s="82">
        <f>VLOOKUP($B136,'Data shares'!$C:$FB,98)</f>
        <v>6635125</v>
      </c>
      <c r="E136" s="165">
        <f>VLOOKUP(B136,'Snapshot (Volume)'!$A$7:$G$168,7,0)</f>
        <v>6443325</v>
      </c>
      <c r="F136" s="165">
        <f t="shared" si="45"/>
        <v>191800</v>
      </c>
      <c r="G136" s="166">
        <f t="shared" si="46"/>
        <v>2.9767239740351448E-2</v>
      </c>
      <c r="H136" s="165">
        <f>VLOOKUP($B136,'Data shares'!$C:$FB,66)</f>
        <v>3431225</v>
      </c>
      <c r="I136" s="165">
        <f>VLOOKUP($B136,'Data shares'!$C:$FB,67)</f>
        <v>3935050</v>
      </c>
      <c r="J136" s="81">
        <f t="shared" si="47"/>
        <v>-12.803522191585875</v>
      </c>
      <c r="K136" s="5">
        <f>VLOOKUP($B136,'Data Vlaue (Cr)'!$C:$FB,99)</f>
        <v>1927</v>
      </c>
      <c r="L136" s="81">
        <f>VLOOKUP(B136,'OI(Value)'!$A$7:$C$209,3,0)</f>
        <v>56</v>
      </c>
      <c r="M136" s="33">
        <f t="shared" si="44"/>
        <v>2.9060716139076286</v>
      </c>
      <c r="N136" s="5">
        <f>VLOOKUP($B136,'Data Vlaue (Cr)'!$C:$FB,67)</f>
        <v>997</v>
      </c>
      <c r="O136" s="5">
        <f>VLOOKUP($B136,'Data Vlaue (Cr)'!$C:$FB,68)</f>
        <v>1143</v>
      </c>
      <c r="P136" s="5">
        <f t="shared" si="48"/>
        <v>-14.643931795386159</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MCX</v>
      </c>
      <c r="C137" s="4">
        <f>VLOOKUP($B137,'Data shares'!$C:$FB,7)</f>
        <v>8192</v>
      </c>
      <c r="D137" s="82">
        <f>VLOOKUP($B137,'Data shares'!$C:$FB,98)</f>
        <v>4695250</v>
      </c>
      <c r="E137" s="165">
        <f>VLOOKUP(B137,'Snapshot (Volume)'!$A$7:$G$168,7,0)</f>
        <v>4499625</v>
      </c>
      <c r="F137" s="165">
        <f t="shared" si="45"/>
        <v>195625</v>
      </c>
      <c r="G137" s="166">
        <f t="shared" si="46"/>
        <v>4.3475845209323002E-2</v>
      </c>
      <c r="H137" s="165">
        <f>VLOOKUP($B137,'Data shares'!$C:$FB,66)</f>
        <v>5135000</v>
      </c>
      <c r="I137" s="165">
        <f>VLOOKUP($B137,'Data shares'!$C:$FB,67)</f>
        <v>7289125</v>
      </c>
      <c r="J137" s="81">
        <f t="shared" si="47"/>
        <v>-29.55258690172003</v>
      </c>
      <c r="K137" s="5">
        <f>VLOOKUP($B137,'Data Vlaue (Cr)'!$C:$FB,99)</f>
        <v>3871</v>
      </c>
      <c r="L137" s="81">
        <f>VLOOKUP(B137,'OI(Value)'!$A$7:$C$209,3,0)</f>
        <v>161</v>
      </c>
      <c r="M137" s="33">
        <f t="shared" si="44"/>
        <v>4.1591320072332731</v>
      </c>
      <c r="N137" s="5">
        <f>VLOOKUP($B137,'Data Vlaue (Cr)'!$C:$FB,67)</f>
        <v>4234</v>
      </c>
      <c r="O137" s="5">
        <f>VLOOKUP($B137,'Data Vlaue (Cr)'!$C:$FB,68)</f>
        <v>6010</v>
      </c>
      <c r="P137" s="5">
        <f t="shared" si="48"/>
        <v>-41.946150212564945</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MFSL</v>
      </c>
      <c r="C138" s="4">
        <f>VLOOKUP($B138,'Data shares'!$C:$FB,7)</f>
        <v>1605.4</v>
      </c>
      <c r="D138" s="82">
        <f>VLOOKUP($B138,'Data shares'!$C:$FB,98)</f>
        <v>7301600</v>
      </c>
      <c r="E138" s="165">
        <f>VLOOKUP(B138,'Snapshot (Volume)'!$A$7:$G$168,7,0)</f>
        <v>7182400</v>
      </c>
      <c r="F138" s="165">
        <f t="shared" si="45"/>
        <v>119200</v>
      </c>
      <c r="G138" s="166">
        <f t="shared" si="46"/>
        <v>1.6596123858320339E-2</v>
      </c>
      <c r="H138" s="165">
        <f>VLOOKUP($B138,'Data shares'!$C:$FB,66)</f>
        <v>2829600</v>
      </c>
      <c r="I138" s="165">
        <f>VLOOKUP($B138,'Data shares'!$C:$FB,67)</f>
        <v>2764000</v>
      </c>
      <c r="J138" s="81">
        <f t="shared" si="47"/>
        <v>2.3733719247467437</v>
      </c>
      <c r="K138" s="5">
        <f>VLOOKUP($B138,'Data Vlaue (Cr)'!$C:$FB,99)</f>
        <v>1178</v>
      </c>
      <c r="L138" s="81">
        <f>VLOOKUP(B138,'OI(Value)'!$A$7:$C$209,3,0)</f>
        <v>19</v>
      </c>
      <c r="M138" s="33">
        <f t="shared" si="44"/>
        <v>1.6129032258064515</v>
      </c>
      <c r="N138" s="5">
        <f>VLOOKUP($B138,'Data Vlaue (Cr)'!$C:$FB,67)</f>
        <v>456</v>
      </c>
      <c r="O138" s="5">
        <f>VLOOKUP($B138,'Data Vlaue (Cr)'!$C:$FB,68)</f>
        <v>446</v>
      </c>
      <c r="P138" s="5">
        <f t="shared" si="48"/>
        <v>2.1929824561403506</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Index</v>
      </c>
      <c r="B139" s="79" t="str">
        <f>'Data shares'!C134</f>
        <v>MIDCPNIFTY</v>
      </c>
      <c r="C139" s="4">
        <f>VLOOKUP($B139,'Data shares'!$C:$FB,7)</f>
        <v>12944.95</v>
      </c>
      <c r="D139" s="82">
        <f>VLOOKUP($B139,'Data shares'!$C:$FB,98)</f>
        <v>12916260</v>
      </c>
      <c r="E139" s="165">
        <f>VLOOKUP(B139,'Snapshot (Volume)'!$A$7:$G$168,7,0)</f>
        <v>12258820</v>
      </c>
      <c r="F139" s="165">
        <f t="shared" si="45"/>
        <v>657440</v>
      </c>
      <c r="G139" s="166">
        <f t="shared" si="46"/>
        <v>5.3629957858913009E-2</v>
      </c>
      <c r="H139" s="165">
        <f>VLOOKUP($B139,'Data shares'!$C:$FB,66)</f>
        <v>28321860</v>
      </c>
      <c r="I139" s="165">
        <f>VLOOKUP($B139,'Data shares'!$C:$FB,67)</f>
        <v>22884120</v>
      </c>
      <c r="J139" s="81">
        <f t="shared" si="47"/>
        <v>23.762067320045517</v>
      </c>
      <c r="K139" s="5">
        <f>VLOOKUP($B139,'Data Vlaue (Cr)'!$C:$FB,99)</f>
        <v>16810</v>
      </c>
      <c r="L139" s="81">
        <f>VLOOKUP(B139,'OI(Value)'!$A$7:$C$209,3,0)</f>
        <v>856</v>
      </c>
      <c r="M139" s="33">
        <f t="shared" si="44"/>
        <v>5.0922070196311715</v>
      </c>
      <c r="N139" s="5">
        <f>VLOOKUP($B139,'Data Vlaue (Cr)'!$C:$FB,67)</f>
        <v>36859</v>
      </c>
      <c r="O139" s="5">
        <f>VLOOKUP($B139,'Data Vlaue (Cr)'!$C:$FB,68)</f>
        <v>29782</v>
      </c>
      <c r="P139" s="5">
        <f t="shared" si="48"/>
        <v>19.200195338994547</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Automobile</v>
      </c>
      <c r="B140" s="79" t="str">
        <f>'Data shares'!C135</f>
        <v>MOTHERSON</v>
      </c>
      <c r="C140" s="79">
        <f>VLOOKUP($B140,'Data shares'!$C:$FB,7)</f>
        <v>106.22</v>
      </c>
      <c r="D140" s="165">
        <f>VLOOKUP($B140,'Data shares'!$C:$FB,98)</f>
        <v>233982900</v>
      </c>
      <c r="E140" s="165">
        <f>VLOOKUP(B140,'Snapshot (Volume)'!$A$7:$G$168,7,0)</f>
        <v>230661900</v>
      </c>
      <c r="F140" s="165">
        <f>D140-E140</f>
        <v>3321000</v>
      </c>
      <c r="G140" s="166">
        <f>F140/E140</f>
        <v>1.4397696368581027E-2</v>
      </c>
      <c r="H140" s="165">
        <f>VLOOKUP($B140,'Data shares'!$C:$FB,66)</f>
        <v>45399300</v>
      </c>
      <c r="I140" s="165">
        <f>VLOOKUP($B140,'Data shares'!$C:$FB,67)</f>
        <v>58929300</v>
      </c>
      <c r="J140" s="81">
        <f>(H140-I140)/I140*100</f>
        <v>-22.959716134418702</v>
      </c>
      <c r="K140" s="81">
        <f>VLOOKUP($B140,'Data Vlaue (Cr)'!$C:$FB,99)</f>
        <v>2500</v>
      </c>
      <c r="L140" s="81">
        <f>VLOOKUP(B140,'OI(Value)'!$A$7:$C$209,3,0)</f>
        <v>35</v>
      </c>
      <c r="M140" s="81">
        <f t="shared" si="44"/>
        <v>1.4000000000000001</v>
      </c>
      <c r="N140" s="81">
        <f>VLOOKUP($B140,'Data Vlaue (Cr)'!$C:$FB,67)</f>
        <v>485</v>
      </c>
      <c r="O140" s="81">
        <f>VLOOKUP($B140,'Data Vlaue (Cr)'!$C:$FB,68)</f>
        <v>630</v>
      </c>
      <c r="P140" s="81">
        <f>(N140-O140)/N140*100</f>
        <v>-29.896907216494846</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Technology</v>
      </c>
      <c r="B141" s="79" t="str">
        <f>'Data shares'!C136</f>
        <v>MPHASIS</v>
      </c>
      <c r="C141" s="4">
        <f>VLOOKUP($B141,'Data shares'!$C:$FB,7)</f>
        <v>2792.3</v>
      </c>
      <c r="D141" s="82">
        <f>VLOOKUP($B141,'Data shares'!$C:$FB,98)</f>
        <v>5364150</v>
      </c>
      <c r="E141" s="165">
        <f>VLOOKUP(B141,'Snapshot (Volume)'!$A$7:$G$168,7,0)</f>
        <v>5365525</v>
      </c>
      <c r="F141" s="165">
        <f>D141-E141</f>
        <v>-1375</v>
      </c>
      <c r="G141" s="166">
        <f>F141/E141</f>
        <v>-2.5626569627389676E-4</v>
      </c>
      <c r="H141" s="165">
        <f>VLOOKUP($B141,'Data shares'!$C:$FB,66)</f>
        <v>2904000</v>
      </c>
      <c r="I141" s="165">
        <f>VLOOKUP($B141,'Data shares'!$C:$FB,67)</f>
        <v>2266550</v>
      </c>
      <c r="J141" s="81">
        <f>(H141-I141)/I141*100</f>
        <v>28.124241688910455</v>
      </c>
      <c r="K141" s="5">
        <f>VLOOKUP($B141,'Data Vlaue (Cr)'!$C:$FB,99)</f>
        <v>1504</v>
      </c>
      <c r="L141" s="81">
        <f>VLOOKUP(B141,'OI(Value)'!$A$7:$C$209,3,0)</f>
        <v>0</v>
      </c>
      <c r="M141" s="33">
        <f t="shared" si="44"/>
        <v>0</v>
      </c>
      <c r="N141" s="5">
        <f>VLOOKUP($B141,'Data Vlaue (Cr)'!$C:$FB,67)</f>
        <v>814</v>
      </c>
      <c r="O141" s="5">
        <f>VLOOKUP($B141,'Data Vlaue (Cr)'!$C:$FB,68)</f>
        <v>635</v>
      </c>
      <c r="P141" s="5">
        <f>(N141-O141)/N141*100</f>
        <v>21.990171990171987</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Finance</v>
      </c>
      <c r="B142" s="79" t="str">
        <f>'Data shares'!C137</f>
        <v>MUTHOOTFIN</v>
      </c>
      <c r="C142" s="4">
        <f>VLOOKUP($B142,'Data shares'!$C:$FB,7)</f>
        <v>3227.7</v>
      </c>
      <c r="D142" s="82">
        <f>VLOOKUP($B142,'Data shares'!$C:$FB,98)</f>
        <v>5734025</v>
      </c>
      <c r="E142" s="165">
        <f>VLOOKUP(B142,'Snapshot (Volume)'!$A$7:$G$168,7,0)</f>
        <v>4970350</v>
      </c>
      <c r="F142" s="165">
        <f>D142-E142</f>
        <v>763675</v>
      </c>
      <c r="G142" s="166">
        <f>F142/E142</f>
        <v>0.15364612150049795</v>
      </c>
      <c r="H142" s="165">
        <f>VLOOKUP($B142,'Data shares'!$C:$FB,66)</f>
        <v>6989950</v>
      </c>
      <c r="I142" s="165">
        <f>VLOOKUP($B142,'Data shares'!$C:$FB,67)</f>
        <v>4031775</v>
      </c>
      <c r="J142" s="81">
        <f>(H142-I142)/I142*100</f>
        <v>73.371529909283126</v>
      </c>
      <c r="K142" s="5">
        <f>VLOOKUP($B142,'Data Vlaue (Cr)'!$C:$FB,99)</f>
        <v>1853</v>
      </c>
      <c r="L142" s="81">
        <f>VLOOKUP(B142,'OI(Value)'!$A$7:$C$209,3,0)</f>
        <v>247</v>
      </c>
      <c r="M142" s="33">
        <f t="shared" si="44"/>
        <v>13.329735563950351</v>
      </c>
      <c r="N142" s="5">
        <f>VLOOKUP($B142,'Data Vlaue (Cr)'!$C:$FB,67)</f>
        <v>2259</v>
      </c>
      <c r="O142" s="5">
        <f>VLOOKUP($B142,'Data Vlaue (Cr)'!$C:$FB,68)</f>
        <v>1303</v>
      </c>
      <c r="P142" s="5">
        <f>(N142-O142)/N142*100</f>
        <v>42.319610447100487</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Metals</v>
      </c>
      <c r="B143" s="79" t="str">
        <f>'Data shares'!C138</f>
        <v>NATIONALUM</v>
      </c>
      <c r="C143" s="4">
        <f>VLOOKUP($B143,'Data shares'!$C:$FB,7)</f>
        <v>217.15</v>
      </c>
      <c r="D143" s="82">
        <f>VLOOKUP($B143,'Data shares'!$C:$FB,98)</f>
        <v>130586250</v>
      </c>
      <c r="E143" s="165">
        <f>VLOOKUP(B143,'Snapshot (Volume)'!$A$7:$G$168,7,0)</f>
        <v>122583750</v>
      </c>
      <c r="F143" s="165">
        <f>D143-E143</f>
        <v>8002500</v>
      </c>
      <c r="G143" s="166">
        <f>F143/E143</f>
        <v>6.5281899109792291E-2</v>
      </c>
      <c r="H143" s="165">
        <f>VLOOKUP($B143,'Data shares'!$C:$FB,66)</f>
        <v>97443750</v>
      </c>
      <c r="I143" s="165">
        <f>VLOOKUP($B143,'Data shares'!$C:$FB,67)</f>
        <v>212343750</v>
      </c>
      <c r="J143" s="81">
        <f>(H143-I143)/I143*100</f>
        <v>-54.110375275938196</v>
      </c>
      <c r="K143" s="5">
        <f>VLOOKUP($B143,'Data Vlaue (Cr)'!$C:$FB,99)</f>
        <v>2849</v>
      </c>
      <c r="L143" s="81">
        <f>VLOOKUP(B143,'OI(Value)'!$A$7:$C$209,3,0)</f>
        <v>175</v>
      </c>
      <c r="M143" s="33">
        <f t="shared" si="44"/>
        <v>6.1425061425061429</v>
      </c>
      <c r="N143" s="5">
        <f>VLOOKUP($B143,'Data Vlaue (Cr)'!$C:$FB,67)</f>
        <v>2126</v>
      </c>
      <c r="O143" s="5">
        <f>VLOOKUP($B143,'Data Vlaue (Cr)'!$C:$FB,68)</f>
        <v>4632</v>
      </c>
      <c r="P143" s="5">
        <f>(N143-O143)/N143*100</f>
        <v>-117.87394167450611</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New_Age</v>
      </c>
      <c r="B144" s="79" t="str">
        <f>'Data shares'!C139</f>
        <v>NAUKRI</v>
      </c>
      <c r="C144" s="4">
        <f>VLOOKUP($B144,'Data shares'!$C:$FB,7)</f>
        <v>1379.9</v>
      </c>
      <c r="D144" s="82">
        <f>VLOOKUP($B144,'Data shares'!$C:$FB,98)</f>
        <v>12289500</v>
      </c>
      <c r="E144" s="165">
        <f>VLOOKUP(B144,'Snapshot (Volume)'!$A$7:$G$168,7,0)</f>
        <v>12233250</v>
      </c>
      <c r="F144" s="165">
        <f>D144-E144</f>
        <v>56250</v>
      </c>
      <c r="G144" s="166">
        <f>F144/E144</f>
        <v>4.5981239654221077E-3</v>
      </c>
      <c r="H144" s="165">
        <f>VLOOKUP($B144,'Data shares'!$C:$FB,66)</f>
        <v>6228750</v>
      </c>
      <c r="I144" s="165">
        <f>VLOOKUP($B144,'Data shares'!$C:$FB,67)</f>
        <v>1794375</v>
      </c>
      <c r="J144" s="81">
        <f>(H144-I144)/I144*100</f>
        <v>247.12643678160919</v>
      </c>
      <c r="K144" s="5">
        <f>VLOOKUP($B144,'Data Vlaue (Cr)'!$C:$FB,99)</f>
        <v>1702</v>
      </c>
      <c r="L144" s="81">
        <f>VLOOKUP(B144,'OI(Value)'!$A$7:$C$209,3,0)</f>
        <v>8</v>
      </c>
      <c r="M144" s="33">
        <f t="shared" si="44"/>
        <v>0.4700352526439483</v>
      </c>
      <c r="N144" s="5">
        <f>VLOOKUP($B144,'Data Vlaue (Cr)'!$C:$FB,67)</f>
        <v>863</v>
      </c>
      <c r="O144" s="5">
        <f>VLOOKUP($B144,'Data Vlaue (Cr)'!$C:$FB,68)</f>
        <v>249</v>
      </c>
      <c r="P144" s="5">
        <f>(N144-O144)/N144*100</f>
        <v>71.147161066048668</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Realty</v>
      </c>
      <c r="B145" s="79" t="str">
        <f>'Data shares'!C140</f>
        <v>NBCC</v>
      </c>
      <c r="C145" s="4">
        <f>VLOOKUP($B145,'Data shares'!$C:$FB,7)</f>
        <v>111.34</v>
      </c>
      <c r="D145" s="82">
        <f>VLOOKUP($B145,'Data shares'!$C:$FB,98)</f>
        <v>93307500</v>
      </c>
      <c r="E145" s="165">
        <f>VLOOKUP(B145,'Snapshot (Volume)'!$A$7:$G$168,7,0)</f>
        <v>86970000</v>
      </c>
      <c r="F145" s="165">
        <f t="shared" ref="F145:F152" si="49">D145-E145</f>
        <v>6337500</v>
      </c>
      <c r="G145" s="166">
        <f t="shared" ref="G145:G153" si="50">F145/E145</f>
        <v>7.2869955156950675E-2</v>
      </c>
      <c r="H145" s="165">
        <f>VLOOKUP($B145,'Data shares'!$C:$FB,66)</f>
        <v>36185500</v>
      </c>
      <c r="I145" s="165">
        <f>VLOOKUP($B145,'Data shares'!$C:$FB,67)</f>
        <v>58214000</v>
      </c>
      <c r="J145" s="81">
        <f t="shared" ref="J145:J153" si="51">(H145-I145)/I145*100</f>
        <v>-37.840553818669051</v>
      </c>
      <c r="K145" s="5">
        <f>VLOOKUP($B145,'Data Vlaue (Cr)'!$C:$FB,99)</f>
        <v>1045</v>
      </c>
      <c r="L145" s="81">
        <f>VLOOKUP(B145,'OI(Value)'!$A$7:$C$209,3,0)</f>
        <v>71</v>
      </c>
      <c r="M145" s="33">
        <f t="shared" ref="M145:M153" si="52">L145/K145*100</f>
        <v>6.7942583732057411</v>
      </c>
      <c r="N145" s="5">
        <f>VLOOKUP($B145,'Data Vlaue (Cr)'!$C:$FB,67)</f>
        <v>405</v>
      </c>
      <c r="O145" s="5">
        <f>VLOOKUP($B145,'Data Vlaue (Cr)'!$C:$FB,68)</f>
        <v>652</v>
      </c>
      <c r="P145" s="5">
        <f t="shared" ref="P145:P152" si="53">(N145-O145)/N145*100</f>
        <v>-60.987654320987652</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Infrastructure</v>
      </c>
      <c r="B146" s="79" t="str">
        <f>'Data shares'!C141</f>
        <v>NCC</v>
      </c>
      <c r="C146" s="4">
        <f>VLOOKUP($B146,'Data shares'!$C:$FB,7)</f>
        <v>210.42</v>
      </c>
      <c r="D146" s="82">
        <f>VLOOKUP($B146,'Data shares'!$C:$FB,98)</f>
        <v>25255800</v>
      </c>
      <c r="E146" s="165">
        <f>VLOOKUP(B146,'Snapshot (Volume)'!$A$7:$G$168,7,0)</f>
        <v>24945300</v>
      </c>
      <c r="F146" s="165">
        <f t="shared" si="49"/>
        <v>310500</v>
      </c>
      <c r="G146" s="166">
        <f t="shared" si="50"/>
        <v>1.2447234549193636E-2</v>
      </c>
      <c r="H146" s="165">
        <f>VLOOKUP($B146,'Data shares'!$C:$FB,66)</f>
        <v>4198500</v>
      </c>
      <c r="I146" s="165">
        <f>VLOOKUP($B146,'Data shares'!$C:$FB,67)</f>
        <v>4147200</v>
      </c>
      <c r="J146" s="81">
        <f t="shared" si="51"/>
        <v>1.2369791666666665</v>
      </c>
      <c r="K146" s="5">
        <f>VLOOKUP($B146,'Data Vlaue (Cr)'!$C:$FB,99)</f>
        <v>534</v>
      </c>
      <c r="L146" s="81">
        <f>VLOOKUP(B146,'OI(Value)'!$A$7:$C$209,3,0)</f>
        <v>7</v>
      </c>
      <c r="M146" s="33">
        <f t="shared" si="52"/>
        <v>1.3108614232209739</v>
      </c>
      <c r="N146" s="5">
        <f>VLOOKUP($B146,'Data Vlaue (Cr)'!$C:$FB,67)</f>
        <v>89</v>
      </c>
      <c r="O146" s="5">
        <f>VLOOKUP($B146,'Data Vlaue (Cr)'!$C:$FB,68)</f>
        <v>88</v>
      </c>
      <c r="P146" s="5">
        <f t="shared" si="53"/>
        <v>1.1235955056179776</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FMCG</v>
      </c>
      <c r="B147" s="79" t="str">
        <f>'Data shares'!C142</f>
        <v>NESTLEIND</v>
      </c>
      <c r="C147" s="4">
        <f>VLOOKUP($B147,'Data shares'!$C:$FB,7)</f>
        <v>1181.7</v>
      </c>
      <c r="D147" s="82">
        <f>VLOOKUP($B147,'Data shares'!$C:$FB,98)</f>
        <v>21848000</v>
      </c>
      <c r="E147" s="165">
        <f>VLOOKUP(B147,'Snapshot (Volume)'!$A$7:$G$168,7,0)</f>
        <v>21304000</v>
      </c>
      <c r="F147" s="165">
        <f t="shared" si="49"/>
        <v>544000</v>
      </c>
      <c r="G147" s="166">
        <f t="shared" si="50"/>
        <v>2.5535110777318813E-2</v>
      </c>
      <c r="H147" s="165">
        <f>VLOOKUP($B147,'Data shares'!$C:$FB,66)</f>
        <v>5567500</v>
      </c>
      <c r="I147" s="165">
        <f>VLOOKUP($B147,'Data shares'!$C:$FB,67)</f>
        <v>3875000</v>
      </c>
      <c r="J147" s="81">
        <f t="shared" si="51"/>
        <v>43.677419354838712</v>
      </c>
      <c r="K147" s="5">
        <f>VLOOKUP($B147,'Data Vlaue (Cr)'!$C:$FB,99)</f>
        <v>2590</v>
      </c>
      <c r="L147" s="81">
        <f>VLOOKUP(B147,'OI(Value)'!$A$7:$C$209,3,0)</f>
        <v>64</v>
      </c>
      <c r="M147" s="33">
        <f t="shared" si="52"/>
        <v>2.471042471042471</v>
      </c>
      <c r="N147" s="5">
        <f>VLOOKUP($B147,'Data Vlaue (Cr)'!$C:$FB,67)</f>
        <v>660</v>
      </c>
      <c r="O147" s="5">
        <f>VLOOKUP($B147,'Data Vlaue (Cr)'!$C:$FB,68)</f>
        <v>459</v>
      </c>
      <c r="P147" s="5">
        <f t="shared" si="53"/>
        <v>30.454545454545457</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Power</v>
      </c>
      <c r="B148" s="79" t="str">
        <f>'Data shares'!C143</f>
        <v>NHPC</v>
      </c>
      <c r="C148" s="4">
        <f>VLOOKUP($B148,'Data shares'!$C:$FB,7)</f>
        <v>86.61</v>
      </c>
      <c r="D148" s="82">
        <f>VLOOKUP($B148,'Data shares'!$C:$FB,98)</f>
        <v>68729600</v>
      </c>
      <c r="E148" s="165">
        <f>VLOOKUP(B148,'Snapshot (Volume)'!$A$7:$G$168,7,0)</f>
        <v>65766400</v>
      </c>
      <c r="F148" s="165">
        <f t="shared" si="49"/>
        <v>2963200</v>
      </c>
      <c r="G148" s="166">
        <f t="shared" si="50"/>
        <v>4.5056442195406776E-2</v>
      </c>
      <c r="H148" s="165">
        <f>VLOOKUP($B148,'Data shares'!$C:$FB,66)</f>
        <v>13612800</v>
      </c>
      <c r="I148" s="165">
        <f>VLOOKUP($B148,'Data shares'!$C:$FB,67)</f>
        <v>18598400</v>
      </c>
      <c r="J148" s="81">
        <f t="shared" si="51"/>
        <v>-26.806607019958705</v>
      </c>
      <c r="K148" s="5">
        <f>VLOOKUP($B148,'Data Vlaue (Cr)'!$C:$FB,99)</f>
        <v>598</v>
      </c>
      <c r="L148" s="81">
        <f>VLOOKUP(B148,'OI(Value)'!$A$7:$C$209,3,0)</f>
        <v>26</v>
      </c>
      <c r="M148" s="33">
        <f t="shared" si="52"/>
        <v>4.3478260869565215</v>
      </c>
      <c r="N148" s="5">
        <f>VLOOKUP($B148,'Data Vlaue (Cr)'!$C:$FB,67)</f>
        <v>118</v>
      </c>
      <c r="O148" s="5">
        <f>VLOOKUP($B148,'Data Vlaue (Cr)'!$C:$FB,68)</f>
        <v>162</v>
      </c>
      <c r="P148" s="5">
        <f t="shared" si="53"/>
        <v>-37.288135593220339</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Index</v>
      </c>
      <c r="B149" s="79" t="str">
        <f>'Data shares'!C144</f>
        <v>NIFTY</v>
      </c>
      <c r="C149" s="4">
        <f>VLOOKUP($B149,'Data shares'!$C:$FB,7)</f>
        <v>25077.65</v>
      </c>
      <c r="D149" s="82">
        <f>VLOOKUP($B149,'Data shares'!$C:$FB,98)</f>
        <v>615390575</v>
      </c>
      <c r="E149" s="165">
        <f>VLOOKUP(B149,'Snapshot (Volume)'!$A$7:$G$168,7,0)</f>
        <v>573059900</v>
      </c>
      <c r="F149" s="165">
        <f t="shared" si="49"/>
        <v>42330675</v>
      </c>
      <c r="G149" s="166">
        <f t="shared" si="50"/>
        <v>7.3867801603287889E-2</v>
      </c>
      <c r="H149" s="165">
        <f>VLOOKUP($B149,'Data shares'!$C:$FB,66)</f>
        <v>10966346850</v>
      </c>
      <c r="I149" s="165">
        <f>VLOOKUP($B149,'Data shares'!$C:$FB,67)</f>
        <v>7463196675</v>
      </c>
      <c r="J149" s="81">
        <f t="shared" si="51"/>
        <v>46.939003855207929</v>
      </c>
      <c r="K149" s="5">
        <f>VLOOKUP($B149,'Data Vlaue (Cr)'!$C:$FB,99)</f>
        <v>1549886</v>
      </c>
      <c r="L149" s="81">
        <f>VLOOKUP(B149,'OI(Value)'!$A$7:$C$209,3,0)</f>
        <v>106611</v>
      </c>
      <c r="M149" s="33">
        <f t="shared" si="52"/>
        <v>6.8786349447636796</v>
      </c>
      <c r="N149" s="5">
        <f>VLOOKUP($B149,'Data Vlaue (Cr)'!$C:$FB,67)</f>
        <v>27619183</v>
      </c>
      <c r="O149" s="5">
        <f>VLOOKUP($B149,'Data Vlaue (Cr)'!$C:$FB,68)</f>
        <v>18796359</v>
      </c>
      <c r="P149" s="5">
        <f t="shared" si="53"/>
        <v>31.944551002830167</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Index</v>
      </c>
      <c r="B150" s="79" t="str">
        <f>'Data shares'!C145</f>
        <v>NIFTYNXT50</v>
      </c>
      <c r="C150" s="4">
        <f>VLOOKUP($B150,'Data shares'!$C:$FB,7)</f>
        <v>68590.25</v>
      </c>
      <c r="D150" s="82">
        <f>VLOOKUP($B150,'Data shares'!$C:$FB,98)</f>
        <v>29375</v>
      </c>
      <c r="E150" s="165">
        <f>VLOOKUP(B150,'Snapshot (Volume)'!$A$7:$G$168,7,0)</f>
        <v>26550</v>
      </c>
      <c r="F150" s="165">
        <f t="shared" si="49"/>
        <v>2825</v>
      </c>
      <c r="G150" s="166">
        <f t="shared" si="50"/>
        <v>0.1064030131826742</v>
      </c>
      <c r="H150" s="165">
        <f>VLOOKUP($B150,'Data shares'!$C:$FB,66)</f>
        <v>11825</v>
      </c>
      <c r="I150" s="165">
        <f>VLOOKUP($B150,'Data shares'!$C:$FB,67)</f>
        <v>8125</v>
      </c>
      <c r="J150" s="81">
        <f t="shared" si="51"/>
        <v>45.53846153846154</v>
      </c>
      <c r="K150" s="5">
        <f>VLOOKUP($B150,'Data Vlaue (Cr)'!$C:$FB,99)</f>
        <v>203</v>
      </c>
      <c r="L150" s="81">
        <f>VLOOKUP(B150,'OI(Value)'!$A$7:$C$209,3,0)</f>
        <v>19</v>
      </c>
      <c r="M150" s="33">
        <f t="shared" si="52"/>
        <v>9.3596059113300498</v>
      </c>
      <c r="N150" s="5">
        <f>VLOOKUP($B150,'Data Vlaue (Cr)'!$C:$FB,67)</f>
        <v>82</v>
      </c>
      <c r="O150" s="5">
        <f>VLOOKUP($B150,'Data Vlaue (Cr)'!$C:$FB,68)</f>
        <v>56</v>
      </c>
      <c r="P150" s="5">
        <f t="shared" si="53"/>
        <v>31.707317073170731</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Metals</v>
      </c>
      <c r="B151" s="79" t="str">
        <f>'Data shares'!C146</f>
        <v>NMDC</v>
      </c>
      <c r="C151" s="4">
        <f>VLOOKUP($B151,'Data shares'!$C:$FB,7)</f>
        <v>76.06</v>
      </c>
      <c r="D151" s="82">
        <f>VLOOKUP($B151,'Data shares'!$C:$FB,98)</f>
        <v>439924500</v>
      </c>
      <c r="E151" s="165">
        <f>VLOOKUP(B151,'Snapshot (Volume)'!$A$7:$G$168,7,0)</f>
        <v>421699500</v>
      </c>
      <c r="F151" s="165">
        <f t="shared" si="49"/>
        <v>18225000</v>
      </c>
      <c r="G151" s="166">
        <f t="shared" si="50"/>
        <v>4.321797867913052E-2</v>
      </c>
      <c r="H151" s="165">
        <f>VLOOKUP($B151,'Data shares'!$C:$FB,66)</f>
        <v>150970500</v>
      </c>
      <c r="I151" s="165">
        <f>VLOOKUP($B151,'Data shares'!$C:$FB,67)</f>
        <v>231160500</v>
      </c>
      <c r="J151" s="81">
        <f t="shared" si="51"/>
        <v>-34.690182795070953</v>
      </c>
      <c r="K151" s="5">
        <f>VLOOKUP($B151,'Data Vlaue (Cr)'!$C:$FB,99)</f>
        <v>3367</v>
      </c>
      <c r="L151" s="81">
        <f>VLOOKUP(B151,'OI(Value)'!$A$7:$C$209,3,0)</f>
        <v>139</v>
      </c>
      <c r="M151" s="33">
        <f t="shared" si="52"/>
        <v>4.1283041283041282</v>
      </c>
      <c r="N151" s="5">
        <f>VLOOKUP($B151,'Data Vlaue (Cr)'!$C:$FB,67)</f>
        <v>1156</v>
      </c>
      <c r="O151" s="5">
        <f>VLOOKUP($B151,'Data Vlaue (Cr)'!$C:$FB,68)</f>
        <v>1769</v>
      </c>
      <c r="P151" s="5">
        <f t="shared" si="53"/>
        <v>-53.027681660899653</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Power</v>
      </c>
      <c r="B152" s="79" t="str">
        <f>'Data shares'!C147</f>
        <v>NTPC</v>
      </c>
      <c r="C152" s="4">
        <f>VLOOKUP($B152,'Data shares'!$C:$FB,7)</f>
        <v>339.1</v>
      </c>
      <c r="D152" s="82">
        <f>VLOOKUP($B152,'Data shares'!$C:$FB,98)</f>
        <v>137667000</v>
      </c>
      <c r="E152" s="165">
        <f>VLOOKUP(B152,'Snapshot (Volume)'!$A$7:$G$168,7,0)</f>
        <v>132559500</v>
      </c>
      <c r="F152" s="165">
        <f t="shared" si="49"/>
        <v>5107500</v>
      </c>
      <c r="G152" s="166">
        <f t="shared" si="50"/>
        <v>3.8529867719778663E-2</v>
      </c>
      <c r="H152" s="165">
        <f>VLOOKUP($B152,'Data shares'!$C:$FB,66)</f>
        <v>48714000</v>
      </c>
      <c r="I152" s="165">
        <f>VLOOKUP($B152,'Data shares'!$C:$FB,67)</f>
        <v>43090500</v>
      </c>
      <c r="J152" s="81">
        <f t="shared" si="51"/>
        <v>13.050440352281825</v>
      </c>
      <c r="K152" s="5">
        <f>VLOOKUP($B152,'Data Vlaue (Cr)'!$C:$FB,99)</f>
        <v>4696</v>
      </c>
      <c r="L152" s="81">
        <f>VLOOKUP(B152,'OI(Value)'!$A$7:$C$209,3,0)</f>
        <v>174</v>
      </c>
      <c r="M152" s="33">
        <f t="shared" si="52"/>
        <v>3.7052810902896081</v>
      </c>
      <c r="N152" s="5">
        <f>VLOOKUP($B152,'Data Vlaue (Cr)'!$C:$FB,67)</f>
        <v>1662</v>
      </c>
      <c r="O152" s="5">
        <f>VLOOKUP($B152,'Data Vlaue (Cr)'!$C:$FB,68)</f>
        <v>1470</v>
      </c>
      <c r="P152" s="5">
        <f t="shared" si="53"/>
        <v>11.552346570397113</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Finance</v>
      </c>
      <c r="B153" s="79" t="str">
        <f>'Data shares'!C148</f>
        <v>NUVAMA</v>
      </c>
      <c r="C153" s="4">
        <f>VLOOKUP($B153,'Data shares'!$C:$FB,7)</f>
        <v>6928</v>
      </c>
      <c r="D153" s="82">
        <f>VLOOKUP($B153,'Data shares'!$C:$FB,98)</f>
        <v>737175</v>
      </c>
      <c r="E153" s="165">
        <f>VLOOKUP(B153,'Snapshot (Volume)'!$A$7:$G$168,7,0)</f>
        <v>824700</v>
      </c>
      <c r="F153" s="165">
        <f>D153-E153</f>
        <v>-87525</v>
      </c>
      <c r="G153" s="166">
        <f t="shared" si="50"/>
        <v>-0.10612950163695889</v>
      </c>
      <c r="H153" s="165">
        <f>VLOOKUP($B153,'Data shares'!$C:$FB,66)</f>
        <v>1810875</v>
      </c>
      <c r="I153" s="165">
        <f>VLOOKUP($B153,'Data shares'!$C:$FB,67)</f>
        <v>3120375</v>
      </c>
      <c r="J153" s="81">
        <f t="shared" si="51"/>
        <v>-41.966109842567</v>
      </c>
      <c r="K153" s="5">
        <f>VLOOKUP($B153,'Data Vlaue (Cr)'!$C:$FB,99)</f>
        <v>511</v>
      </c>
      <c r="L153" s="81">
        <f>VLOOKUP(B153,'OI(Value)'!$A$7:$C$209,3,0)</f>
        <v>-61</v>
      </c>
      <c r="M153" s="33">
        <f t="shared" si="52"/>
        <v>-11.937377690802348</v>
      </c>
      <c r="N153" s="5">
        <f>VLOOKUP($B153,'Data Vlaue (Cr)'!$C:$FB,67)</f>
        <v>1255</v>
      </c>
      <c r="O153" s="5">
        <f>VLOOKUP($B153,'Data Vlaue (Cr)'!$C:$FB,68)</f>
        <v>2163</v>
      </c>
      <c r="P153" s="5">
        <f>(N153-O153)/N153*100</f>
        <v>-72.350597609561746</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New_Age</v>
      </c>
      <c r="B154" s="79" t="str">
        <f>'Data shares'!C149</f>
        <v>NYKAA</v>
      </c>
      <c r="C154" s="4">
        <f>VLOOKUP($B154,'Data shares'!$C:$FB,7)</f>
        <v>255.34</v>
      </c>
      <c r="D154" s="82">
        <f>VLOOKUP($B154,'Data shares'!$C:$FB,98)</f>
        <v>82115625</v>
      </c>
      <c r="E154" s="165">
        <f>VLOOKUP(B154,'Snapshot (Volume)'!$A$7:$G$168,7,0)</f>
        <v>69506250</v>
      </c>
      <c r="F154" s="165">
        <f t="shared" ref="F154:F166" si="54">D154-E154</f>
        <v>12609375</v>
      </c>
      <c r="G154" s="166">
        <f t="shared" ref="G154:G166" si="55">F154/E154</f>
        <v>0.18141354194766657</v>
      </c>
      <c r="H154" s="165">
        <f>VLOOKUP($B154,'Data shares'!$C:$FB,66)</f>
        <v>127837500</v>
      </c>
      <c r="I154" s="165">
        <f>VLOOKUP($B154,'Data shares'!$C:$FB,67)</f>
        <v>19450000</v>
      </c>
      <c r="J154" s="81">
        <f t="shared" ref="J154:J166" si="56">(H154-I154)/I154*100</f>
        <v>557.26221079691516</v>
      </c>
      <c r="K154" s="5">
        <f>VLOOKUP($B154,'Data Vlaue (Cr)'!$C:$FB,99)</f>
        <v>2089</v>
      </c>
      <c r="L154" s="81">
        <f>VLOOKUP(B154,'OI(Value)'!$A$7:$C$209,3,0)</f>
        <v>321</v>
      </c>
      <c r="M154" s="33">
        <f t="shared" ref="M154:M166" si="57">L154/K154*100</f>
        <v>15.366203925323122</v>
      </c>
      <c r="N154" s="5">
        <f>VLOOKUP($B154,'Data Vlaue (Cr)'!$C:$FB,67)</f>
        <v>3253</v>
      </c>
      <c r="O154" s="5">
        <f>VLOOKUP($B154,'Data Vlaue (Cr)'!$C:$FB,68)</f>
        <v>495</v>
      </c>
      <c r="P154" s="5">
        <f t="shared" ref="P154:P161" si="58">(N154-O154)/N154*100</f>
        <v>84.783276975099909</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Realty</v>
      </c>
      <c r="B155" s="79" t="str">
        <f>'Data shares'!C150</f>
        <v>OBEROIRLTY</v>
      </c>
      <c r="C155" s="4">
        <f>VLOOKUP($B155,'Data shares'!$C:$FB,7)</f>
        <v>1622.3</v>
      </c>
      <c r="D155" s="82">
        <f>VLOOKUP($B155,'Data shares'!$C:$FB,98)</f>
        <v>6307700</v>
      </c>
      <c r="E155" s="165">
        <f>VLOOKUP(B155,'Snapshot (Volume)'!$A$7:$G$168,7,0)</f>
        <v>6165600</v>
      </c>
      <c r="F155" s="165">
        <f t="shared" si="54"/>
        <v>142100</v>
      </c>
      <c r="G155" s="166">
        <f t="shared" si="55"/>
        <v>2.3047229791099001E-2</v>
      </c>
      <c r="H155" s="165">
        <f>VLOOKUP($B155,'Data shares'!$C:$FB,66)</f>
        <v>2491650</v>
      </c>
      <c r="I155" s="165">
        <f>VLOOKUP($B155,'Data shares'!$C:$FB,67)</f>
        <v>1393700</v>
      </c>
      <c r="J155" s="81">
        <f t="shared" si="56"/>
        <v>78.779507785032649</v>
      </c>
      <c r="K155" s="5">
        <f>VLOOKUP($B155,'Data Vlaue (Cr)'!$C:$FB,99)</f>
        <v>1030</v>
      </c>
      <c r="L155" s="81">
        <f>VLOOKUP(B155,'OI(Value)'!$A$7:$C$209,3,0)</f>
        <v>23</v>
      </c>
      <c r="M155" s="33">
        <f t="shared" si="57"/>
        <v>2.233009708737864</v>
      </c>
      <c r="N155" s="5">
        <f>VLOOKUP($B155,'Data Vlaue (Cr)'!$C:$FB,67)</f>
        <v>407</v>
      </c>
      <c r="O155" s="5">
        <f>VLOOKUP($B155,'Data Vlaue (Cr)'!$C:$FB,68)</f>
        <v>227</v>
      </c>
      <c r="P155" s="5">
        <f t="shared" si="58"/>
        <v>44.226044226044223</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Technology</v>
      </c>
      <c r="B156" s="79" t="str">
        <f>'Data shares'!C151</f>
        <v>OFSS</v>
      </c>
      <c r="C156" s="4">
        <f>VLOOKUP($B156,'Data shares'!$C:$FB,7)</f>
        <v>9093.5</v>
      </c>
      <c r="D156" s="82">
        <f>VLOOKUP($B156,'Data shares'!$C:$FB,98)</f>
        <v>1627050</v>
      </c>
      <c r="E156" s="165">
        <f>VLOOKUP(B156,'Snapshot (Volume)'!$A$7:$G$168,7,0)</f>
        <v>1594875</v>
      </c>
      <c r="F156" s="165">
        <f t="shared" si="54"/>
        <v>32175</v>
      </c>
      <c r="G156" s="166">
        <f t="shared" si="55"/>
        <v>2.0173994827180814E-2</v>
      </c>
      <c r="H156" s="165">
        <f>VLOOKUP($B156,'Data shares'!$C:$FB,66)</f>
        <v>1434075</v>
      </c>
      <c r="I156" s="165">
        <f>VLOOKUP($B156,'Data shares'!$C:$FB,67)</f>
        <v>2034150</v>
      </c>
      <c r="J156" s="81">
        <f t="shared" si="56"/>
        <v>-29.500036870437285</v>
      </c>
      <c r="K156" s="5">
        <f>VLOOKUP($B156,'Data Vlaue (Cr)'!$C:$FB,99)</f>
        <v>1489</v>
      </c>
      <c r="L156" s="81">
        <f>VLOOKUP(B156,'OI(Value)'!$A$7:$C$209,3,0)</f>
        <v>29</v>
      </c>
      <c r="M156" s="33">
        <f t="shared" si="57"/>
        <v>1.9476158495634655</v>
      </c>
      <c r="N156" s="5">
        <f>VLOOKUP($B156,'Data Vlaue (Cr)'!$C:$FB,67)</f>
        <v>1312</v>
      </c>
      <c r="O156" s="5">
        <f>VLOOKUP($B156,'Data Vlaue (Cr)'!$C:$FB,68)</f>
        <v>1861</v>
      </c>
      <c r="P156" s="5">
        <f t="shared" si="58"/>
        <v>-41.844512195121951</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Oil_Gas</v>
      </c>
      <c r="B157" s="79" t="str">
        <f>'Data shares'!C152</f>
        <v>OIL</v>
      </c>
      <c r="C157" s="4">
        <f>VLOOKUP($B157,'Data shares'!$C:$FB,7)</f>
        <v>419.2</v>
      </c>
      <c r="D157" s="82">
        <f>VLOOKUP($B157,'Data shares'!$C:$FB,98)</f>
        <v>16455600</v>
      </c>
      <c r="E157" s="165">
        <f>VLOOKUP(B157,'Snapshot (Volume)'!$A$7:$G$168,7,0)</f>
        <v>15958600</v>
      </c>
      <c r="F157" s="165">
        <f t="shared" si="54"/>
        <v>497000</v>
      </c>
      <c r="G157" s="166">
        <f t="shared" si="55"/>
        <v>3.1143082726554961E-2</v>
      </c>
      <c r="H157" s="165">
        <f>VLOOKUP($B157,'Data shares'!$C:$FB,66)</f>
        <v>8968400</v>
      </c>
      <c r="I157" s="165">
        <f>VLOOKUP($B157,'Data shares'!$C:$FB,67)</f>
        <v>7695800</v>
      </c>
      <c r="J157" s="81">
        <f t="shared" si="56"/>
        <v>16.536292523194472</v>
      </c>
      <c r="K157" s="5">
        <f>VLOOKUP($B157,'Data Vlaue (Cr)'!$C:$FB,99)</f>
        <v>693</v>
      </c>
      <c r="L157" s="81">
        <f>VLOOKUP(B157,'OI(Value)'!$A$7:$C$209,3,0)</f>
        <v>21</v>
      </c>
      <c r="M157" s="33">
        <f t="shared" si="57"/>
        <v>3.0303030303030303</v>
      </c>
      <c r="N157" s="5">
        <f>VLOOKUP($B157,'Data Vlaue (Cr)'!$C:$FB,67)</f>
        <v>378</v>
      </c>
      <c r="O157" s="5">
        <f>VLOOKUP($B157,'Data Vlaue (Cr)'!$C:$FB,68)</f>
        <v>324</v>
      </c>
      <c r="P157" s="5">
        <f t="shared" si="58"/>
        <v>14.285714285714285</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Oil_Gas</v>
      </c>
      <c r="B158" s="79" t="str">
        <f>'Data shares'!C153</f>
        <v>ONGC</v>
      </c>
      <c r="C158" s="4">
        <f>VLOOKUP($B158,'Data shares'!$C:$FB,7)</f>
        <v>245.86</v>
      </c>
      <c r="D158" s="82">
        <f>VLOOKUP($B158,'Data shares'!$C:$FB,98)</f>
        <v>152793000</v>
      </c>
      <c r="E158" s="165">
        <f>VLOOKUP(B158,'Snapshot (Volume)'!$A$7:$G$168,7,0)</f>
        <v>148943250</v>
      </c>
      <c r="F158" s="165">
        <f t="shared" si="54"/>
        <v>3849750</v>
      </c>
      <c r="G158" s="166">
        <f t="shared" si="55"/>
        <v>2.5847092768554465E-2</v>
      </c>
      <c r="H158" s="165">
        <f>VLOOKUP($B158,'Data shares'!$C:$FB,66)</f>
        <v>103286250</v>
      </c>
      <c r="I158" s="165">
        <f>VLOOKUP($B158,'Data shares'!$C:$FB,67)</f>
        <v>73255500</v>
      </c>
      <c r="J158" s="81">
        <f t="shared" si="56"/>
        <v>40.994532833712142</v>
      </c>
      <c r="K158" s="5">
        <f>VLOOKUP($B158,'Data Vlaue (Cr)'!$C:$FB,99)</f>
        <v>3779</v>
      </c>
      <c r="L158" s="81">
        <f>VLOOKUP(B158,'OI(Value)'!$A$7:$C$209,3,0)</f>
        <v>95</v>
      </c>
      <c r="M158" s="33">
        <f t="shared" si="57"/>
        <v>2.5138925641704155</v>
      </c>
      <c r="N158" s="5">
        <f>VLOOKUP($B158,'Data Vlaue (Cr)'!$C:$FB,67)</f>
        <v>2554</v>
      </c>
      <c r="O158" s="5">
        <f>VLOOKUP($B158,'Data Vlaue (Cr)'!$C:$FB,68)</f>
        <v>1812</v>
      </c>
      <c r="P158" s="5">
        <f t="shared" si="58"/>
        <v>29.052466718872356</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Textile</v>
      </c>
      <c r="B159" s="79" t="str">
        <f>'Data shares'!C154</f>
        <v>PAGEIND</v>
      </c>
      <c r="C159" s="4">
        <f>VLOOKUP($B159,'Data shares'!$C:$FB,7)</f>
        <v>42195</v>
      </c>
      <c r="D159" s="82">
        <f>VLOOKUP($B159,'Data shares'!$C:$FB,98)</f>
        <v>316980</v>
      </c>
      <c r="E159" s="165">
        <f>VLOOKUP(B159,'Snapshot (Volume)'!$A$7:$G$168,7,0)</f>
        <v>300060</v>
      </c>
      <c r="F159" s="165">
        <f t="shared" si="54"/>
        <v>16920</v>
      </c>
      <c r="G159" s="166">
        <f t="shared" si="55"/>
        <v>5.638872225554889E-2</v>
      </c>
      <c r="H159" s="165">
        <f>VLOOKUP($B159,'Data shares'!$C:$FB,66)</f>
        <v>132525</v>
      </c>
      <c r="I159" s="165">
        <f>VLOOKUP($B159,'Data shares'!$C:$FB,67)</f>
        <v>271125</v>
      </c>
      <c r="J159" s="81">
        <f t="shared" si="56"/>
        <v>-51.120331950207465</v>
      </c>
      <c r="K159" s="5">
        <f>VLOOKUP($B159,'Data Vlaue (Cr)'!$C:$FB,99)</f>
        <v>1325</v>
      </c>
      <c r="L159" s="81">
        <f>VLOOKUP(B159,'OI(Value)'!$A$7:$C$209,3,0)</f>
        <v>71</v>
      </c>
      <c r="M159" s="33">
        <f t="shared" si="57"/>
        <v>5.3584905660377355</v>
      </c>
      <c r="N159" s="5">
        <f>VLOOKUP($B159,'Data Vlaue (Cr)'!$C:$FB,67)</f>
        <v>554</v>
      </c>
      <c r="O159" s="5">
        <f>VLOOKUP($B159,'Data Vlaue (Cr)'!$C:$FB,68)</f>
        <v>1134</v>
      </c>
      <c r="P159" s="5">
        <f t="shared" si="58"/>
        <v>-104.69314079422382</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FMCG</v>
      </c>
      <c r="B160" s="79" t="str">
        <f>'Data shares'!C155</f>
        <v>PATANJALI</v>
      </c>
      <c r="C160" s="4">
        <f>VLOOKUP($B160,'Data shares'!$C:$FB,7)</f>
        <v>597.54999999999995</v>
      </c>
      <c r="D160" s="82">
        <f>VLOOKUP($B160,'Data shares'!$C:$FB,98)</f>
        <v>38602800</v>
      </c>
      <c r="E160" s="165">
        <f>VLOOKUP(B160,'Snapshot (Volume)'!$A$7:$G$168,7,0)</f>
        <v>37375200</v>
      </c>
      <c r="F160" s="165">
        <f t="shared" si="54"/>
        <v>1227600</v>
      </c>
      <c r="G160" s="166">
        <f t="shared" si="55"/>
        <v>3.2845309188980931E-2</v>
      </c>
      <c r="H160" s="165">
        <f>VLOOKUP($B160,'Data shares'!$C:$FB,66)</f>
        <v>12633300</v>
      </c>
      <c r="I160" s="165">
        <f>VLOOKUP($B160,'Data shares'!$C:$FB,67)</f>
        <v>9693900</v>
      </c>
      <c r="J160" s="81">
        <f t="shared" si="56"/>
        <v>30.322161359205275</v>
      </c>
      <c r="K160" s="5">
        <f>VLOOKUP($B160,'Data Vlaue (Cr)'!$C:$FB,99)</f>
        <v>2321</v>
      </c>
      <c r="L160" s="81">
        <f>VLOOKUP(B160,'OI(Value)'!$A$7:$C$209,3,0)</f>
        <v>74</v>
      </c>
      <c r="M160" s="33">
        <f t="shared" si="57"/>
        <v>3.1882809133993968</v>
      </c>
      <c r="N160" s="5">
        <f>VLOOKUP($B160,'Data Vlaue (Cr)'!$C:$FB,67)</f>
        <v>760</v>
      </c>
      <c r="O160" s="5">
        <f>VLOOKUP($B160,'Data Vlaue (Cr)'!$C:$FB,68)</f>
        <v>583</v>
      </c>
      <c r="P160" s="5">
        <f t="shared" si="58"/>
        <v>23.289473684210527</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New_Age</v>
      </c>
      <c r="B161" s="79" t="str">
        <f>'Data shares'!C156</f>
        <v>PAYTM</v>
      </c>
      <c r="C161" s="4">
        <f>VLOOKUP($B161,'Data shares'!$C:$FB,7)</f>
        <v>1224.2</v>
      </c>
      <c r="D161" s="82">
        <f>VLOOKUP($B161,'Data shares'!$C:$FB,98)</f>
        <v>37654325</v>
      </c>
      <c r="E161" s="165">
        <f>VLOOKUP(B161,'Snapshot (Volume)'!$A$7:$G$168,7,0)</f>
        <v>37580375</v>
      </c>
      <c r="F161" s="165">
        <f t="shared" si="54"/>
        <v>73950</v>
      </c>
      <c r="G161" s="166">
        <f t="shared" si="55"/>
        <v>1.9677823864184432E-3</v>
      </c>
      <c r="H161" s="165">
        <f>VLOOKUP($B161,'Data shares'!$C:$FB,66)</f>
        <v>46822675</v>
      </c>
      <c r="I161" s="165">
        <f>VLOOKUP($B161,'Data shares'!$C:$FB,67)</f>
        <v>19227000</v>
      </c>
      <c r="J161" s="81">
        <f t="shared" si="56"/>
        <v>143.52564102564102</v>
      </c>
      <c r="K161" s="5">
        <f>VLOOKUP($B161,'Data Vlaue (Cr)'!$C:$FB,99)</f>
        <v>4628</v>
      </c>
      <c r="L161" s="81">
        <f>VLOOKUP(B161,'OI(Value)'!$A$7:$C$209,3,0)</f>
        <v>9</v>
      </c>
      <c r="M161" s="33">
        <f t="shared" si="57"/>
        <v>0.19446845289541917</v>
      </c>
      <c r="N161" s="5">
        <f>VLOOKUP($B161,'Data Vlaue (Cr)'!$C:$FB,67)</f>
        <v>5755</v>
      </c>
      <c r="O161" s="5">
        <f>VLOOKUP($B161,'Data Vlaue (Cr)'!$C:$FB,68)</f>
        <v>2363</v>
      </c>
      <c r="P161" s="5">
        <f t="shared" si="58"/>
        <v>58.940052128583844</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Technology</v>
      </c>
      <c r="B162" s="79" t="str">
        <f>'Data shares'!C157</f>
        <v>PERSISTENT</v>
      </c>
      <c r="C162" s="4">
        <f>VLOOKUP($B162,'Data shares'!$C:$FB,7)</f>
        <v>5189.3</v>
      </c>
      <c r="D162" s="82">
        <f>VLOOKUP($B162,'Data shares'!$C:$FB,98)</f>
        <v>4216300</v>
      </c>
      <c r="E162" s="165">
        <f>VLOOKUP(B162,'Snapshot (Volume)'!$A$7:$G$168,7,0)</f>
        <v>4202600</v>
      </c>
      <c r="F162" s="165">
        <f t="shared" si="54"/>
        <v>13700</v>
      </c>
      <c r="G162" s="166">
        <f t="shared" si="55"/>
        <v>3.2598867367819922E-3</v>
      </c>
      <c r="H162" s="165">
        <f>VLOOKUP($B162,'Data shares'!$C:$FB,66)</f>
        <v>4092500</v>
      </c>
      <c r="I162" s="165">
        <f>VLOOKUP($B162,'Data shares'!$C:$FB,67)</f>
        <v>2704100</v>
      </c>
      <c r="J162" s="81">
        <f t="shared" si="56"/>
        <v>51.344255020154584</v>
      </c>
      <c r="K162" s="5">
        <f>VLOOKUP($B162,'Data Vlaue (Cr)'!$C:$FB,99)</f>
        <v>2196</v>
      </c>
      <c r="L162" s="81">
        <f>VLOOKUP(B162,'OI(Value)'!$A$7:$C$209,3,0)</f>
        <v>7</v>
      </c>
      <c r="M162" s="33">
        <f t="shared" si="57"/>
        <v>0.31876138433515483</v>
      </c>
      <c r="N162" s="5">
        <f>VLOOKUP($B162,'Data Vlaue (Cr)'!$C:$FB,67)</f>
        <v>2131</v>
      </c>
      <c r="O162" s="5">
        <f>VLOOKUP($B162,'Data Vlaue (Cr)'!$C:$FB,68)</f>
        <v>1408</v>
      </c>
      <c r="P162" s="5">
        <f>(N162-O162)/N162*100</f>
        <v>33.9277334584702</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Oil_Gas</v>
      </c>
      <c r="B163" s="79" t="str">
        <f>'Data shares'!C158</f>
        <v>PETRONET</v>
      </c>
      <c r="C163" s="4">
        <f>VLOOKUP($B163,'Data shares'!$C:$FB,7)</f>
        <v>280.3</v>
      </c>
      <c r="D163" s="82">
        <f>VLOOKUP($B163,'Data shares'!$C:$FB,98)</f>
        <v>68104800</v>
      </c>
      <c r="E163" s="165">
        <f>VLOOKUP(B163,'Snapshot (Volume)'!$A$7:$G$168,7,0)</f>
        <v>64855800</v>
      </c>
      <c r="F163" s="165">
        <f t="shared" si="54"/>
        <v>3249000</v>
      </c>
      <c r="G163" s="166">
        <f t="shared" si="55"/>
        <v>5.0095750881185647E-2</v>
      </c>
      <c r="H163" s="165">
        <f>VLOOKUP($B163,'Data shares'!$C:$FB,66)</f>
        <v>15224400</v>
      </c>
      <c r="I163" s="165">
        <f>VLOOKUP($B163,'Data shares'!$C:$FB,67)</f>
        <v>11804400</v>
      </c>
      <c r="J163" s="81">
        <f t="shared" si="56"/>
        <v>28.972247636474535</v>
      </c>
      <c r="K163" s="5">
        <f>VLOOKUP($B163,'Data Vlaue (Cr)'!$C:$FB,99)</f>
        <v>1920</v>
      </c>
      <c r="L163" s="81">
        <f>VLOOKUP(B163,'OI(Value)'!$A$7:$C$209,3,0)</f>
        <v>92</v>
      </c>
      <c r="M163" s="33">
        <f t="shared" si="57"/>
        <v>4.791666666666667</v>
      </c>
      <c r="N163" s="5">
        <f>VLOOKUP($B163,'Data Vlaue (Cr)'!$C:$FB,67)</f>
        <v>429</v>
      </c>
      <c r="O163" s="5">
        <f>VLOOKUP($B163,'Data Vlaue (Cr)'!$C:$FB,68)</f>
        <v>333</v>
      </c>
      <c r="P163" s="5">
        <f>(N163-O163)/N163*100</f>
        <v>22.377622377622377</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Finance</v>
      </c>
      <c r="B164" s="79" t="str">
        <f>'Data shares'!C159</f>
        <v>PFC</v>
      </c>
      <c r="C164" s="4">
        <f>VLOOKUP($B164,'Data shares'!$C:$FB,7)</f>
        <v>405.9</v>
      </c>
      <c r="D164" s="82">
        <f>VLOOKUP($B164,'Data shares'!$C:$FB,98)</f>
        <v>87532900</v>
      </c>
      <c r="E164" s="165">
        <f>VLOOKUP(B164,'Snapshot (Volume)'!$A$7:$G$168,7,0)</f>
        <v>80512900</v>
      </c>
      <c r="F164" s="165">
        <f t="shared" si="54"/>
        <v>7020000</v>
      </c>
      <c r="G164" s="166">
        <f t="shared" si="55"/>
        <v>8.719099672226438E-2</v>
      </c>
      <c r="H164" s="165">
        <f>VLOOKUP($B164,'Data shares'!$C:$FB,66)</f>
        <v>39403000</v>
      </c>
      <c r="I164" s="165">
        <f>VLOOKUP($B164,'Data shares'!$C:$FB,67)</f>
        <v>38681500</v>
      </c>
      <c r="J164" s="81">
        <f t="shared" si="56"/>
        <v>1.8652327339942865</v>
      </c>
      <c r="K164" s="5">
        <f>VLOOKUP($B164,'Data Vlaue (Cr)'!$C:$FB,99)</f>
        <v>3567</v>
      </c>
      <c r="L164" s="81">
        <f>VLOOKUP(B164,'OI(Value)'!$A$7:$C$209,3,0)</f>
        <v>286</v>
      </c>
      <c r="M164" s="33">
        <f t="shared" si="57"/>
        <v>8.0179422483880014</v>
      </c>
      <c r="N164" s="5">
        <f>VLOOKUP($B164,'Data Vlaue (Cr)'!$C:$FB,67)</f>
        <v>1606</v>
      </c>
      <c r="O164" s="5">
        <f>VLOOKUP($B164,'Data Vlaue (Cr)'!$C:$FB,68)</f>
        <v>1576</v>
      </c>
      <c r="P164" s="5">
        <f>(N164-O164)/N164*100</f>
        <v>1.8679950186799501</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shares'!B216</f>
        <v>Pharma</v>
      </c>
      <c r="B166" s="79" t="str">
        <f>'Data shares'!C216</f>
        <v>ZYDUSLIFE</v>
      </c>
      <c r="C166" s="4">
        <f>VLOOKUP($B166,'Data shares'!$C:$FB,7)</f>
        <v>994.65</v>
      </c>
      <c r="D166" s="82">
        <f>VLOOKUP($B166,'Data shares'!$C:$FB,98)</f>
        <v>11953800</v>
      </c>
      <c r="E166" s="165" t="e">
        <f>VLOOKUP(B166,'Snapshot (Volume)'!$A$7:$G$168,7,0)</f>
        <v>#N/A</v>
      </c>
      <c r="F166" s="165" t="e">
        <f t="shared" si="54"/>
        <v>#N/A</v>
      </c>
      <c r="G166" s="166" t="e">
        <f t="shared" si="55"/>
        <v>#N/A</v>
      </c>
      <c r="H166" s="165">
        <f>VLOOKUP($B166,'Data shares'!$C:$FB,66)</f>
        <v>3319200</v>
      </c>
      <c r="I166" s="165">
        <f>VLOOKUP($B166,'Data shares'!$C:$FB,67)</f>
        <v>2979000</v>
      </c>
      <c r="J166" s="81">
        <f t="shared" si="56"/>
        <v>11.419939577039274</v>
      </c>
      <c r="K166" s="5">
        <f>VLOOKUP($B166,'Data Vlaue (Cr)'!$C:$FB,99)</f>
        <v>1193</v>
      </c>
      <c r="L166" s="81">
        <f>VLOOKUP(B166,'OI(Value)'!$A$7:$C$209,3,0)</f>
        <v>34</v>
      </c>
      <c r="M166" s="33">
        <f t="shared" si="57"/>
        <v>2.8499580888516345</v>
      </c>
      <c r="N166" s="5">
        <f>VLOOKUP($B166,'Data Vlaue (Cr)'!$C:$FB,67)</f>
        <v>331</v>
      </c>
      <c r="O166" s="5">
        <f>VLOOKUP($B166,'Data Vlaue (Cr)'!$C:$FB,68)</f>
        <v>297</v>
      </c>
      <c r="P166" s="5">
        <f>(N166-O166)/N166*100</f>
        <v>10.271903323262841</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9" activePane="bottomLeft" state="frozen"/>
      <selection pane="bottomLeft" activeCell="A32" sqref="A32"/>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45936</v>
      </c>
      <c r="C6" s="71" t="s">
        <v>333</v>
      </c>
      <c r="D6" s="71" t="s">
        <v>328</v>
      </c>
      <c r="E6" s="66">
        <f>B6</f>
        <v>45936</v>
      </c>
      <c r="F6" s="71" t="s">
        <v>333</v>
      </c>
      <c r="G6" s="71" t="s">
        <v>328</v>
      </c>
      <c r="H6" s="66">
        <f>B6</f>
        <v>45936</v>
      </c>
      <c r="I6" s="71" t="s">
        <v>333</v>
      </c>
      <c r="J6" s="71" t="s">
        <v>328</v>
      </c>
      <c r="K6" s="66">
        <f>B6</f>
        <v>45936</v>
      </c>
      <c r="L6" s="71" t="s">
        <v>333</v>
      </c>
      <c r="M6" s="71" t="s">
        <v>328</v>
      </c>
      <c r="N6" s="71" t="s">
        <v>339</v>
      </c>
      <c r="O6" s="71" t="s">
        <v>328</v>
      </c>
    </row>
    <row r="7" spans="1:15" x14ac:dyDescent="0.25">
      <c r="A7" s="100" t="str">
        <f>'OI(Value)'!A7</f>
        <v>360ONE</v>
      </c>
      <c r="B7" s="82">
        <f>VLOOKUP(A7,'Data shares'!$C$2:$CV$216,98,0)</f>
        <v>3707500</v>
      </c>
      <c r="C7" s="82">
        <f>VLOOKUP(A7,'Data shares'!$C$2:$CX$216,100,0)</f>
        <v>168000</v>
      </c>
      <c r="D7" s="141">
        <f>VLOOKUP(A7,'Data shares'!$C$2:$CY$539,101,0)</f>
        <v>4.7500000000000001E-2</v>
      </c>
      <c r="E7" s="86">
        <f>VLOOKUP($A7,'Data shares'!$C:$FA,74)</f>
        <v>2482500</v>
      </c>
      <c r="F7" s="86">
        <f>VLOOKUP($A7,'Data shares'!$C:$FA,76)</f>
        <v>1000</v>
      </c>
      <c r="G7" s="87">
        <f>VLOOKUP(A7,'Data shares'!$C$2:$CA$216,77,0)</f>
        <v>4.0000000000000002E-4</v>
      </c>
      <c r="H7" s="86">
        <f>VLOOKUP($A7,'Data shares'!$C:$FA,90)</f>
        <v>750500</v>
      </c>
      <c r="I7" s="86">
        <f>VLOOKUP($A7,'Data shares'!$C:$FA,92)</f>
        <v>139000</v>
      </c>
      <c r="J7" s="87">
        <f>VLOOKUP($A7,'Data shares'!$C:$FA,93)</f>
        <v>0.2273</v>
      </c>
      <c r="K7" s="86">
        <f>VLOOKUP($A7,'Data shares'!$C:$FA,94)</f>
        <v>474500</v>
      </c>
      <c r="L7" s="86">
        <f>VLOOKUP($A7,'Data shares'!$C:$FA,96)</f>
        <v>28000</v>
      </c>
      <c r="M7" s="87">
        <f>VLOOKUP($A7,'Data shares'!$C:$FA,97)</f>
        <v>6.2700000000000006E-2</v>
      </c>
      <c r="N7" s="86">
        <f>VLOOKUP($A7,'Data shares'!$C:$FA,78)</f>
        <v>2450500</v>
      </c>
      <c r="O7" s="87">
        <f>VLOOKUP($A7,'Data shares'!$C:$FA,81)</f>
        <v>4.0000000000000002E-4</v>
      </c>
    </row>
    <row r="8" spans="1:15" x14ac:dyDescent="0.25">
      <c r="A8" s="100" t="str">
        <f>'OI(Value)'!A8</f>
        <v>ABB</v>
      </c>
      <c r="B8" s="82">
        <f>VLOOKUP(A8,'Data shares'!$C$2:$CV$216,98,0)</f>
        <v>3807375</v>
      </c>
      <c r="C8" s="82">
        <f>VLOOKUP(A8,'Data shares'!$C$2:$CX$216,100,0)</f>
        <v>305750</v>
      </c>
      <c r="D8" s="141">
        <f>VLOOKUP(A8,'Data shares'!$C$2:$CY$539,101,0)</f>
        <v>8.7300000000000003E-2</v>
      </c>
      <c r="E8" s="86">
        <f>VLOOKUP($A8,'Data shares'!$C:$FA,74)</f>
        <v>2467000</v>
      </c>
      <c r="F8" s="86">
        <f>VLOOKUP($A8,'Data shares'!$C:$FA,76)</f>
        <v>99500</v>
      </c>
      <c r="G8" s="87">
        <f>VLOOKUP(A8,'Data shares'!$C$2:$CA$216,77,0)</f>
        <v>4.2000000000000003E-2</v>
      </c>
      <c r="H8" s="86">
        <f>VLOOKUP($A8,'Data shares'!$C:$FA,90)</f>
        <v>800500</v>
      </c>
      <c r="I8" s="86">
        <f>VLOOKUP($A8,'Data shares'!$C:$FA,92)</f>
        <v>152750</v>
      </c>
      <c r="J8" s="87">
        <f>VLOOKUP($A8,'Data shares'!$C:$FA,93)</f>
        <v>0.23580000000000001</v>
      </c>
      <c r="K8" s="86">
        <f>VLOOKUP($A8,'Data shares'!$C:$FA,94)</f>
        <v>539875</v>
      </c>
      <c r="L8" s="86">
        <f>VLOOKUP($A8,'Data shares'!$C:$FA,96)</f>
        <v>53500</v>
      </c>
      <c r="M8" s="87">
        <f>VLOOKUP($A8,'Data shares'!$C:$FA,97)</f>
        <v>0.11</v>
      </c>
      <c r="N8" s="86">
        <f>VLOOKUP($A8,'Data shares'!$C:$FA,78)</f>
        <v>2404375</v>
      </c>
      <c r="O8" s="87">
        <f>VLOOKUP($A8,'Data shares'!$C:$FA,81)</f>
        <v>4.1300000000000003E-2</v>
      </c>
    </row>
    <row r="9" spans="1:15" x14ac:dyDescent="0.25">
      <c r="A9" s="100" t="str">
        <f>'OI(Value)'!A9</f>
        <v>ABCAPITAL</v>
      </c>
      <c r="B9" s="82">
        <f>VLOOKUP(A9,'Data shares'!$C$2:$CV$216,98,0)</f>
        <v>94407400</v>
      </c>
      <c r="C9" s="82">
        <f>VLOOKUP(A9,'Data shares'!$C$2:$CX$216,100,0)</f>
        <v>1134600</v>
      </c>
      <c r="D9" s="141">
        <f>VLOOKUP(A9,'Data shares'!$C$2:$CY$539,101,0)</f>
        <v>1.2200000000000001E-2</v>
      </c>
      <c r="E9" s="86">
        <f>VLOOKUP($A9,'Data shares'!$C:$FA,74)</f>
        <v>67493200</v>
      </c>
      <c r="F9" s="86">
        <f>VLOOKUP($A9,'Data shares'!$C:$FA,76)</f>
        <v>390600</v>
      </c>
      <c r="G9" s="87">
        <f>VLOOKUP(A9,'Data shares'!$C$2:$CA$216,77,0)</f>
        <v>5.7999999999999996E-3</v>
      </c>
      <c r="H9" s="86">
        <f>VLOOKUP($A9,'Data shares'!$C:$FA,90)</f>
        <v>16929100</v>
      </c>
      <c r="I9" s="86">
        <f>VLOOKUP($A9,'Data shares'!$C:$FA,92)</f>
        <v>275900</v>
      </c>
      <c r="J9" s="87">
        <f>VLOOKUP($A9,'Data shares'!$C:$FA,93)</f>
        <v>1.66E-2</v>
      </c>
      <c r="K9" s="86">
        <f>VLOOKUP($A9,'Data shares'!$C:$FA,94)</f>
        <v>9985100</v>
      </c>
      <c r="L9" s="86">
        <f>VLOOKUP($A9,'Data shares'!$C:$FA,96)</f>
        <v>468100</v>
      </c>
      <c r="M9" s="87">
        <f>VLOOKUP($A9,'Data shares'!$C:$FA,97)</f>
        <v>4.9200000000000001E-2</v>
      </c>
      <c r="N9" s="86">
        <f>VLOOKUP($A9,'Data shares'!$C:$FA,78)</f>
        <v>66070300</v>
      </c>
      <c r="O9" s="87">
        <f>VLOOKUP($A9,'Data shares'!$C:$FA,81)</f>
        <v>3.0000000000000001E-3</v>
      </c>
    </row>
    <row r="10" spans="1:15" x14ac:dyDescent="0.25">
      <c r="A10" s="100" t="str">
        <f>'OI(Value)'!A10</f>
        <v>ADANIENSOL</v>
      </c>
      <c r="B10" s="82">
        <f>VLOOKUP(A10,'Data shares'!$C$2:$CV$216,98,0)</f>
        <v>23396175</v>
      </c>
      <c r="C10" s="82">
        <f>VLOOKUP(A10,'Data shares'!$C$2:$CX$216,100,0)</f>
        <v>303075</v>
      </c>
      <c r="D10" s="141">
        <f>VLOOKUP(A10,'Data shares'!$C$2:$CY$539,101,0)</f>
        <v>1.3100000000000001E-2</v>
      </c>
      <c r="E10" s="86">
        <f>VLOOKUP($A10,'Data shares'!$C:$FA,74)</f>
        <v>18436950</v>
      </c>
      <c r="F10" s="86">
        <f>VLOOKUP($A10,'Data shares'!$C:$FA,76)</f>
        <v>1350</v>
      </c>
      <c r="G10" s="87">
        <f>VLOOKUP(A10,'Data shares'!$C$2:$CA$216,77,0)</f>
        <v>1E-4</v>
      </c>
      <c r="H10" s="86">
        <f>VLOOKUP($A10,'Data shares'!$C:$FA,90)</f>
        <v>3248775</v>
      </c>
      <c r="I10" s="86">
        <f>VLOOKUP($A10,'Data shares'!$C:$FA,92)</f>
        <v>226800</v>
      </c>
      <c r="J10" s="87">
        <f>VLOOKUP($A10,'Data shares'!$C:$FA,93)</f>
        <v>7.51E-2</v>
      </c>
      <c r="K10" s="86">
        <f>VLOOKUP($A10,'Data shares'!$C:$FA,94)</f>
        <v>1710450</v>
      </c>
      <c r="L10" s="86">
        <f>VLOOKUP($A10,'Data shares'!$C:$FA,96)</f>
        <v>74925</v>
      </c>
      <c r="M10" s="87">
        <f>VLOOKUP($A10,'Data shares'!$C:$FA,97)</f>
        <v>4.58E-2</v>
      </c>
      <c r="N10" s="86">
        <f>VLOOKUP($A10,'Data shares'!$C:$FA,78)</f>
        <v>18231075</v>
      </c>
      <c r="O10" s="87">
        <f>VLOOKUP($A10,'Data shares'!$C:$FA,81)</f>
        <v>-1E-4</v>
      </c>
    </row>
    <row r="11" spans="1:15" x14ac:dyDescent="0.25">
      <c r="A11" s="100" t="str">
        <f>'OI(Value)'!A11</f>
        <v>ADANIENT</v>
      </c>
      <c r="B11" s="82">
        <f>VLOOKUP(A11,'Data shares'!$C$2:$CV$216,98,0)</f>
        <v>24341400</v>
      </c>
      <c r="C11" s="82">
        <f>VLOOKUP(A11,'Data shares'!$C$2:$CX$216,100,0)</f>
        <v>348300</v>
      </c>
      <c r="D11" s="141">
        <f>VLOOKUP(A11,'Data shares'!$C$2:$CY$539,101,0)</f>
        <v>1.4500000000000001E-2</v>
      </c>
      <c r="E11" s="86">
        <f>VLOOKUP($A11,'Data shares'!$C:$FA,74)</f>
        <v>14431200</v>
      </c>
      <c r="F11" s="86">
        <f>VLOOKUP($A11,'Data shares'!$C:$FA,76)</f>
        <v>-142800</v>
      </c>
      <c r="G11" s="87">
        <f>VLOOKUP(A11,'Data shares'!$C$2:$CA$216,77,0)</f>
        <v>-9.7999999999999997E-3</v>
      </c>
      <c r="H11" s="86">
        <f>VLOOKUP($A11,'Data shares'!$C:$FA,90)</f>
        <v>6050700</v>
      </c>
      <c r="I11" s="86">
        <f>VLOOKUP($A11,'Data shares'!$C:$FA,92)</f>
        <v>363300</v>
      </c>
      <c r="J11" s="87">
        <f>VLOOKUP($A11,'Data shares'!$C:$FA,93)</f>
        <v>6.3899999999999998E-2</v>
      </c>
      <c r="K11" s="86">
        <f>VLOOKUP($A11,'Data shares'!$C:$FA,94)</f>
        <v>3859500</v>
      </c>
      <c r="L11" s="86">
        <f>VLOOKUP($A11,'Data shares'!$C:$FA,96)</f>
        <v>127800</v>
      </c>
      <c r="M11" s="87">
        <f>VLOOKUP($A11,'Data shares'!$C:$FA,97)</f>
        <v>3.4200000000000001E-2</v>
      </c>
      <c r="N11" s="86">
        <f>VLOOKUP($A11,'Data shares'!$C:$FA,78)</f>
        <v>14196000</v>
      </c>
      <c r="O11" s="87">
        <f>VLOOKUP($A11,'Data shares'!$C:$FA,81)</f>
        <v>-1.12E-2</v>
      </c>
    </row>
    <row r="12" spans="1:15" x14ac:dyDescent="0.25">
      <c r="A12" s="100" t="str">
        <f>'OI(Value)'!A12</f>
        <v>ADANIGREEN</v>
      </c>
      <c r="B12" s="82">
        <f>VLOOKUP(A12,'Data shares'!$C$2:$CV$216,98,0)</f>
        <v>33340800</v>
      </c>
      <c r="C12" s="82">
        <f>VLOOKUP(A12,'Data shares'!$C$2:$CX$216,100,0)</f>
        <v>440400</v>
      </c>
      <c r="D12" s="141">
        <f>VLOOKUP(A12,'Data shares'!$C$2:$CY$539,101,0)</f>
        <v>1.34E-2</v>
      </c>
      <c r="E12" s="86">
        <f>VLOOKUP($A12,'Data shares'!$C:$FA,74)</f>
        <v>20073600</v>
      </c>
      <c r="F12" s="86">
        <f>VLOOKUP($A12,'Data shares'!$C:$FA,76)</f>
        <v>-103200</v>
      </c>
      <c r="G12" s="87">
        <f>VLOOKUP(A12,'Data shares'!$C$2:$CA$216,77,0)</f>
        <v>-5.1000000000000004E-3</v>
      </c>
      <c r="H12" s="86">
        <f>VLOOKUP($A12,'Data shares'!$C:$FA,90)</f>
        <v>8902800</v>
      </c>
      <c r="I12" s="86">
        <f>VLOOKUP($A12,'Data shares'!$C:$FA,92)</f>
        <v>396000</v>
      </c>
      <c r="J12" s="87">
        <f>VLOOKUP($A12,'Data shares'!$C:$FA,93)</f>
        <v>4.6600000000000003E-2</v>
      </c>
      <c r="K12" s="86">
        <f>VLOOKUP($A12,'Data shares'!$C:$FA,94)</f>
        <v>4364400</v>
      </c>
      <c r="L12" s="86">
        <f>VLOOKUP($A12,'Data shares'!$C:$FA,96)</f>
        <v>147600</v>
      </c>
      <c r="M12" s="87">
        <f>VLOOKUP($A12,'Data shares'!$C:$FA,97)</f>
        <v>3.5000000000000003E-2</v>
      </c>
      <c r="N12" s="86">
        <f>VLOOKUP($A12,'Data shares'!$C:$FA,78)</f>
        <v>19484400</v>
      </c>
      <c r="O12" s="87">
        <f>VLOOKUP($A12,'Data shares'!$C:$FA,81)</f>
        <v>-7.1000000000000004E-3</v>
      </c>
    </row>
    <row r="13" spans="1:15" x14ac:dyDescent="0.25">
      <c r="A13" s="100" t="str">
        <f>'OI(Value)'!A13</f>
        <v>ADANIPORTS</v>
      </c>
      <c r="B13" s="82">
        <f>VLOOKUP(A13,'Data shares'!$C$2:$CV$216,98,0)</f>
        <v>33718350</v>
      </c>
      <c r="C13" s="82">
        <f>VLOOKUP(A13,'Data shares'!$C$2:$CX$216,100,0)</f>
        <v>1193200</v>
      </c>
      <c r="D13" s="141">
        <f>VLOOKUP(A13,'Data shares'!$C$2:$CY$539,101,0)</f>
        <v>3.6700000000000003E-2</v>
      </c>
      <c r="E13" s="86">
        <f>VLOOKUP($A13,'Data shares'!$C:$FA,74)</f>
        <v>22644200</v>
      </c>
      <c r="F13" s="86">
        <f>VLOOKUP($A13,'Data shares'!$C:$FA,76)</f>
        <v>-46550</v>
      </c>
      <c r="G13" s="87">
        <f>VLOOKUP(A13,'Data shares'!$C$2:$CA$216,77,0)</f>
        <v>-2.0999999999999999E-3</v>
      </c>
      <c r="H13" s="86">
        <f>VLOOKUP($A13,'Data shares'!$C:$FA,90)</f>
        <v>6960650</v>
      </c>
      <c r="I13" s="86">
        <f>VLOOKUP($A13,'Data shares'!$C:$FA,92)</f>
        <v>1054025</v>
      </c>
      <c r="J13" s="87">
        <f>VLOOKUP($A13,'Data shares'!$C:$FA,93)</f>
        <v>0.1784</v>
      </c>
      <c r="K13" s="86">
        <f>VLOOKUP($A13,'Data shares'!$C:$FA,94)</f>
        <v>4113500</v>
      </c>
      <c r="L13" s="86">
        <f>VLOOKUP($A13,'Data shares'!$C:$FA,96)</f>
        <v>185725</v>
      </c>
      <c r="M13" s="87">
        <f>VLOOKUP($A13,'Data shares'!$C:$FA,97)</f>
        <v>4.7300000000000002E-2</v>
      </c>
      <c r="N13" s="86">
        <f>VLOOKUP($A13,'Data shares'!$C:$FA,78)</f>
        <v>22020525</v>
      </c>
      <c r="O13" s="87">
        <f>VLOOKUP($A13,'Data shares'!$C:$FA,81)</f>
        <v>-4.5999999999999999E-3</v>
      </c>
    </row>
    <row r="14" spans="1:15" x14ac:dyDescent="0.25">
      <c r="A14" s="100" t="str">
        <f>'OI(Value)'!A14</f>
        <v>ALKEM</v>
      </c>
      <c r="B14" s="82">
        <f>VLOOKUP(A14,'Data shares'!$C$2:$CV$216,98,0)</f>
        <v>1742000</v>
      </c>
      <c r="C14" s="82">
        <f>VLOOKUP(A14,'Data shares'!$C$2:$CX$216,100,0)</f>
        <v>69625</v>
      </c>
      <c r="D14" s="141">
        <f>VLOOKUP(A14,'Data shares'!$C$2:$CY$539,101,0)</f>
        <v>4.1599999999999998E-2</v>
      </c>
      <c r="E14" s="86">
        <f>VLOOKUP($A14,'Data shares'!$C:$FA,74)</f>
        <v>1489375</v>
      </c>
      <c r="F14" s="86">
        <f>VLOOKUP($A14,'Data shares'!$C:$FA,76)</f>
        <v>19625</v>
      </c>
      <c r="G14" s="87">
        <f>VLOOKUP(A14,'Data shares'!$C$2:$CA$216,77,0)</f>
        <v>1.34E-2</v>
      </c>
      <c r="H14" s="86">
        <f>VLOOKUP($A14,'Data shares'!$C:$FA,90)</f>
        <v>154125</v>
      </c>
      <c r="I14" s="86">
        <f>VLOOKUP($A14,'Data shares'!$C:$FA,92)</f>
        <v>36750</v>
      </c>
      <c r="J14" s="87">
        <f>VLOOKUP($A14,'Data shares'!$C:$FA,93)</f>
        <v>0.31309999999999999</v>
      </c>
      <c r="K14" s="86">
        <f>VLOOKUP($A14,'Data shares'!$C:$FA,94)</f>
        <v>98500</v>
      </c>
      <c r="L14" s="86">
        <f>VLOOKUP($A14,'Data shares'!$C:$FA,96)</f>
        <v>13250</v>
      </c>
      <c r="M14" s="87">
        <f>VLOOKUP($A14,'Data shares'!$C:$FA,97)</f>
        <v>0.15540000000000001</v>
      </c>
      <c r="N14" s="86">
        <f>VLOOKUP($A14,'Data shares'!$C:$FA,78)</f>
        <v>1480375</v>
      </c>
      <c r="O14" s="87">
        <f>VLOOKUP($A14,'Data shares'!$C:$FA,81)</f>
        <v>1.2699999999999999E-2</v>
      </c>
    </row>
    <row r="15" spans="1:15" x14ac:dyDescent="0.25">
      <c r="A15" s="100" t="str">
        <f>'OI(Value)'!A15</f>
        <v>AMBER</v>
      </c>
      <c r="B15" s="82">
        <f>VLOOKUP(A15,'Data shares'!$C$2:$CV$216,98,0)</f>
        <v>1017600</v>
      </c>
      <c r="C15" s="82">
        <f>VLOOKUP(A15,'Data shares'!$C$2:$CX$216,100,0)</f>
        <v>29800</v>
      </c>
      <c r="D15" s="141">
        <f>VLOOKUP(A15,'Data shares'!$C$2:$CY$539,101,0)</f>
        <v>3.0200000000000001E-2</v>
      </c>
      <c r="E15" s="86">
        <f>VLOOKUP($A15,'Data shares'!$C:$FA,74)</f>
        <v>504300</v>
      </c>
      <c r="F15" s="86">
        <f>VLOOKUP($A15,'Data shares'!$C:$FA,76)</f>
        <v>8500</v>
      </c>
      <c r="G15" s="87">
        <f>VLOOKUP(A15,'Data shares'!$C$2:$CA$216,77,0)</f>
        <v>1.7100000000000001E-2</v>
      </c>
      <c r="H15" s="86">
        <f>VLOOKUP($A15,'Data shares'!$C:$FA,90)</f>
        <v>338200</v>
      </c>
      <c r="I15" s="86">
        <f>VLOOKUP($A15,'Data shares'!$C:$FA,92)</f>
        <v>13500</v>
      </c>
      <c r="J15" s="87">
        <f>VLOOKUP($A15,'Data shares'!$C:$FA,93)</f>
        <v>4.1599999999999998E-2</v>
      </c>
      <c r="K15" s="86">
        <f>VLOOKUP($A15,'Data shares'!$C:$FA,94)</f>
        <v>175100</v>
      </c>
      <c r="L15" s="86">
        <f>VLOOKUP($A15,'Data shares'!$C:$FA,96)</f>
        <v>7800</v>
      </c>
      <c r="M15" s="87">
        <f>VLOOKUP($A15,'Data shares'!$C:$FA,97)</f>
        <v>4.6600000000000003E-2</v>
      </c>
      <c r="N15" s="86">
        <f>VLOOKUP($A15,'Data shares'!$C:$FA,78)</f>
        <v>480700</v>
      </c>
      <c r="O15" s="87">
        <f>VLOOKUP($A15,'Data shares'!$C:$FA,81)</f>
        <v>8.3999999999999995E-3</v>
      </c>
    </row>
    <row r="16" spans="1:15" x14ac:dyDescent="0.25">
      <c r="A16" s="100" t="str">
        <f>'OI(Value)'!A16</f>
        <v>AMBUJACEM</v>
      </c>
      <c r="B16" s="82">
        <f>VLOOKUP(A16,'Data shares'!$C$2:$CV$216,98,0)</f>
        <v>57851850</v>
      </c>
      <c r="C16" s="82">
        <f>VLOOKUP(A16,'Data shares'!$C$2:$CX$216,100,0)</f>
        <v>1229550</v>
      </c>
      <c r="D16" s="141">
        <f>VLOOKUP(A16,'Data shares'!$C$2:$CY$539,101,0)</f>
        <v>2.1700000000000001E-2</v>
      </c>
      <c r="E16" s="86">
        <f>VLOOKUP($A16,'Data shares'!$C:$FA,74)</f>
        <v>41168400</v>
      </c>
      <c r="F16" s="86">
        <f>VLOOKUP($A16,'Data shares'!$C:$FA,76)</f>
        <v>148050</v>
      </c>
      <c r="G16" s="87">
        <f>VLOOKUP(A16,'Data shares'!$C$2:$CA$216,77,0)</f>
        <v>3.5999999999999999E-3</v>
      </c>
      <c r="H16" s="86">
        <f>VLOOKUP($A16,'Data shares'!$C:$FA,90)</f>
        <v>9364950</v>
      </c>
      <c r="I16" s="86">
        <f>VLOOKUP($A16,'Data shares'!$C:$FA,92)</f>
        <v>739200</v>
      </c>
      <c r="J16" s="87">
        <f>VLOOKUP($A16,'Data shares'!$C:$FA,93)</f>
        <v>8.5699999999999998E-2</v>
      </c>
      <c r="K16" s="86">
        <f>VLOOKUP($A16,'Data shares'!$C:$FA,94)</f>
        <v>7318500</v>
      </c>
      <c r="L16" s="86">
        <f>VLOOKUP($A16,'Data shares'!$C:$FA,96)</f>
        <v>342300</v>
      </c>
      <c r="M16" s="87">
        <f>VLOOKUP($A16,'Data shares'!$C:$FA,97)</f>
        <v>4.9099999999999998E-2</v>
      </c>
      <c r="N16" s="86">
        <f>VLOOKUP($A16,'Data shares'!$C:$FA,78)</f>
        <v>40465950</v>
      </c>
      <c r="O16" s="87">
        <f>VLOOKUP($A16,'Data shares'!$C:$FA,81)</f>
        <v>2.8999999999999998E-3</v>
      </c>
    </row>
    <row r="17" spans="1:15" x14ac:dyDescent="0.25">
      <c r="A17" s="100" t="str">
        <f>'OI(Value)'!A17</f>
        <v>ANGELONE</v>
      </c>
      <c r="B17" s="82">
        <f>VLOOKUP(A17,'Data shares'!$C$2:$CV$216,98,0)</f>
        <v>6535750</v>
      </c>
      <c r="C17" s="82">
        <f>VLOOKUP(A17,'Data shares'!$C$2:$CX$216,100,0)</f>
        <v>185250</v>
      </c>
      <c r="D17" s="141">
        <f>VLOOKUP(A17,'Data shares'!$C$2:$CY$539,101,0)</f>
        <v>2.92E-2</v>
      </c>
      <c r="E17" s="86">
        <f>VLOOKUP($A17,'Data shares'!$C:$FA,74)</f>
        <v>3838500</v>
      </c>
      <c r="F17" s="86">
        <f>VLOOKUP($A17,'Data shares'!$C:$FA,76)</f>
        <v>33500</v>
      </c>
      <c r="G17" s="87">
        <f>VLOOKUP(A17,'Data shares'!$C$2:$CA$216,77,0)</f>
        <v>8.8000000000000005E-3</v>
      </c>
      <c r="H17" s="86">
        <f>VLOOKUP($A17,'Data shares'!$C:$FA,90)</f>
        <v>1497000</v>
      </c>
      <c r="I17" s="86">
        <f>VLOOKUP($A17,'Data shares'!$C:$FA,92)</f>
        <v>120000</v>
      </c>
      <c r="J17" s="87">
        <f>VLOOKUP($A17,'Data shares'!$C:$FA,93)</f>
        <v>8.7099999999999997E-2</v>
      </c>
      <c r="K17" s="86">
        <f>VLOOKUP($A17,'Data shares'!$C:$FA,94)</f>
        <v>1200250</v>
      </c>
      <c r="L17" s="86">
        <f>VLOOKUP($A17,'Data shares'!$C:$FA,96)</f>
        <v>31750</v>
      </c>
      <c r="M17" s="87">
        <f>VLOOKUP($A17,'Data shares'!$C:$FA,97)</f>
        <v>2.7199999999999998E-2</v>
      </c>
      <c r="N17" s="86">
        <f>VLOOKUP($A17,'Data shares'!$C:$FA,78)</f>
        <v>3568250</v>
      </c>
      <c r="O17" s="87">
        <f>VLOOKUP($A17,'Data shares'!$C:$FA,81)</f>
        <v>1.11E-2</v>
      </c>
    </row>
    <row r="18" spans="1:15" x14ac:dyDescent="0.25">
      <c r="A18" s="100" t="str">
        <f>'OI(Value)'!A18</f>
        <v>APLAPOLLO</v>
      </c>
      <c r="B18" s="82">
        <f>VLOOKUP(A18,'Data shares'!$C$2:$CV$216,98,0)</f>
        <v>11175500</v>
      </c>
      <c r="C18" s="82">
        <f>VLOOKUP(A18,'Data shares'!$C$2:$CX$216,100,0)</f>
        <v>-36050</v>
      </c>
      <c r="D18" s="141">
        <f>VLOOKUP(A18,'Data shares'!$C$2:$CY$539,101,0)</f>
        <v>-3.2000000000000002E-3</v>
      </c>
      <c r="E18" s="86">
        <f>VLOOKUP($A18,'Data shares'!$C:$FA,74)</f>
        <v>9731050</v>
      </c>
      <c r="F18" s="86">
        <f>VLOOKUP($A18,'Data shares'!$C:$FA,76)</f>
        <v>-19950</v>
      </c>
      <c r="G18" s="87">
        <f>VLOOKUP(A18,'Data shares'!$C$2:$CA$216,77,0)</f>
        <v>-2E-3</v>
      </c>
      <c r="H18" s="86">
        <f>VLOOKUP($A18,'Data shares'!$C:$FA,90)</f>
        <v>876050</v>
      </c>
      <c r="I18" s="86">
        <f>VLOOKUP($A18,'Data shares'!$C:$FA,92)</f>
        <v>-25550</v>
      </c>
      <c r="J18" s="87">
        <f>VLOOKUP($A18,'Data shares'!$C:$FA,93)</f>
        <v>-2.8299999999999999E-2</v>
      </c>
      <c r="K18" s="86">
        <f>VLOOKUP($A18,'Data shares'!$C:$FA,94)</f>
        <v>568400</v>
      </c>
      <c r="L18" s="86">
        <f>VLOOKUP($A18,'Data shares'!$C:$FA,96)</f>
        <v>9450</v>
      </c>
      <c r="M18" s="87">
        <f>VLOOKUP($A18,'Data shares'!$C:$FA,97)</f>
        <v>1.6899999999999998E-2</v>
      </c>
      <c r="N18" s="86">
        <f>VLOOKUP($A18,'Data shares'!$C:$FA,78)</f>
        <v>9667700</v>
      </c>
      <c r="O18" s="87">
        <f>VLOOKUP($A18,'Data shares'!$C:$FA,81)</f>
        <v>-2.3999999999999998E-3</v>
      </c>
    </row>
    <row r="19" spans="1:15" x14ac:dyDescent="0.25">
      <c r="A19" s="100" t="str">
        <f>'OI(Value)'!A19</f>
        <v>APOLLOHOSP</v>
      </c>
      <c r="B19" s="82">
        <f>VLOOKUP(A19,'Data shares'!$C$2:$CV$216,98,0)</f>
        <v>3816750</v>
      </c>
      <c r="C19" s="82">
        <f>VLOOKUP(A19,'Data shares'!$C$2:$CX$216,100,0)</f>
        <v>182750</v>
      </c>
      <c r="D19" s="141">
        <f>VLOOKUP(A19,'Data shares'!$C$2:$CY$539,101,0)</f>
        <v>5.0299999999999997E-2</v>
      </c>
      <c r="E19" s="86">
        <f>VLOOKUP($A19,'Data shares'!$C:$FA,74)</f>
        <v>2812000</v>
      </c>
      <c r="F19" s="86">
        <f>VLOOKUP($A19,'Data shares'!$C:$FA,76)</f>
        <v>-21000</v>
      </c>
      <c r="G19" s="87">
        <f>VLOOKUP(A19,'Data shares'!$C$2:$CA$216,77,0)</f>
        <v>-7.4000000000000003E-3</v>
      </c>
      <c r="H19" s="86">
        <f>VLOOKUP($A19,'Data shares'!$C:$FA,90)</f>
        <v>603625</v>
      </c>
      <c r="I19" s="86">
        <f>VLOOKUP($A19,'Data shares'!$C:$FA,92)</f>
        <v>80875</v>
      </c>
      <c r="J19" s="87">
        <f>VLOOKUP($A19,'Data shares'!$C:$FA,93)</f>
        <v>0.1547</v>
      </c>
      <c r="K19" s="86">
        <f>VLOOKUP($A19,'Data shares'!$C:$FA,94)</f>
        <v>401125</v>
      </c>
      <c r="L19" s="86">
        <f>VLOOKUP($A19,'Data shares'!$C:$FA,96)</f>
        <v>122875</v>
      </c>
      <c r="M19" s="87">
        <f>VLOOKUP($A19,'Data shares'!$C:$FA,97)</f>
        <v>0.44159999999999999</v>
      </c>
      <c r="N19" s="86">
        <f>VLOOKUP($A19,'Data shares'!$C:$FA,78)</f>
        <v>2780375</v>
      </c>
      <c r="O19" s="87">
        <f>VLOOKUP($A19,'Data shares'!$C:$FA,81)</f>
        <v>-7.7000000000000002E-3</v>
      </c>
    </row>
    <row r="20" spans="1:15" x14ac:dyDescent="0.25">
      <c r="A20" s="100" t="str">
        <f>'OI(Value)'!A20</f>
        <v>ASHOKLEY</v>
      </c>
      <c r="B20" s="82">
        <f>VLOOKUP(A20,'Data shares'!$C$2:$CV$216,98,0)</f>
        <v>221815000</v>
      </c>
      <c r="C20" s="82">
        <f>VLOOKUP(A20,'Data shares'!$C$2:$CX$216,100,0)</f>
        <v>1075000</v>
      </c>
      <c r="D20" s="141">
        <f>VLOOKUP(A20,'Data shares'!$C$2:$CY$539,101,0)</f>
        <v>4.8999999999999998E-3</v>
      </c>
      <c r="E20" s="86">
        <f>VLOOKUP($A20,'Data shares'!$C:$FA,74)</f>
        <v>129130000</v>
      </c>
      <c r="F20" s="86">
        <f>VLOOKUP($A20,'Data shares'!$C:$FA,76)</f>
        <v>-4550000</v>
      </c>
      <c r="G20" s="87">
        <f>VLOOKUP(A20,'Data shares'!$C$2:$CA$216,77,0)</f>
        <v>-3.4000000000000002E-2</v>
      </c>
      <c r="H20" s="86">
        <f>VLOOKUP($A20,'Data shares'!$C:$FA,90)</f>
        <v>63690000</v>
      </c>
      <c r="I20" s="86">
        <f>VLOOKUP($A20,'Data shares'!$C:$FA,92)</f>
        <v>4580000</v>
      </c>
      <c r="J20" s="87">
        <f>VLOOKUP($A20,'Data shares'!$C:$FA,93)</f>
        <v>7.7499999999999999E-2</v>
      </c>
      <c r="K20" s="86">
        <f>VLOOKUP($A20,'Data shares'!$C:$FA,94)</f>
        <v>28995000</v>
      </c>
      <c r="L20" s="86">
        <f>VLOOKUP($A20,'Data shares'!$C:$FA,96)</f>
        <v>1045000</v>
      </c>
      <c r="M20" s="87">
        <f>VLOOKUP($A20,'Data shares'!$C:$FA,97)</f>
        <v>3.7400000000000003E-2</v>
      </c>
      <c r="N20" s="86">
        <f>VLOOKUP($A20,'Data shares'!$C:$FA,78)</f>
        <v>125755000</v>
      </c>
      <c r="O20" s="87">
        <f>VLOOKUP($A20,'Data shares'!$C:$FA,81)</f>
        <v>-3.9E-2</v>
      </c>
    </row>
    <row r="21" spans="1:15" x14ac:dyDescent="0.25">
      <c r="A21" s="100" t="str">
        <f>'OI(Value)'!A21</f>
        <v>ASIANPAINT</v>
      </c>
      <c r="B21" s="82">
        <f>VLOOKUP(A21,'Data shares'!$C$2:$CV$216,98,0)</f>
        <v>21679750</v>
      </c>
      <c r="C21" s="82">
        <f>VLOOKUP(A21,'Data shares'!$C$2:$CX$216,100,0)</f>
        <v>557500</v>
      </c>
      <c r="D21" s="141">
        <f>VLOOKUP(A21,'Data shares'!$C$2:$CY$539,101,0)</f>
        <v>2.64E-2</v>
      </c>
      <c r="E21" s="86">
        <f>VLOOKUP($A21,'Data shares'!$C:$FA,74)</f>
        <v>13513000</v>
      </c>
      <c r="F21" s="86">
        <f>VLOOKUP($A21,'Data shares'!$C:$FA,76)</f>
        <v>-33000</v>
      </c>
      <c r="G21" s="87">
        <f>VLOOKUP(A21,'Data shares'!$C$2:$CA$216,77,0)</f>
        <v>-2.3999999999999998E-3</v>
      </c>
      <c r="H21" s="86">
        <f>VLOOKUP($A21,'Data shares'!$C:$FA,90)</f>
        <v>4924250</v>
      </c>
      <c r="I21" s="86">
        <f>VLOOKUP($A21,'Data shares'!$C:$FA,92)</f>
        <v>331000</v>
      </c>
      <c r="J21" s="87">
        <f>VLOOKUP($A21,'Data shares'!$C:$FA,93)</f>
        <v>7.2099999999999997E-2</v>
      </c>
      <c r="K21" s="86">
        <f>VLOOKUP($A21,'Data shares'!$C:$FA,94)</f>
        <v>3242500</v>
      </c>
      <c r="L21" s="86">
        <f>VLOOKUP($A21,'Data shares'!$C:$FA,96)</f>
        <v>259500</v>
      </c>
      <c r="M21" s="87">
        <f>VLOOKUP($A21,'Data shares'!$C:$FA,97)</f>
        <v>8.6999999999999994E-2</v>
      </c>
      <c r="N21" s="86">
        <f>VLOOKUP($A21,'Data shares'!$C:$FA,78)</f>
        <v>13091000</v>
      </c>
      <c r="O21" s="87">
        <f>VLOOKUP($A21,'Data shares'!$C:$FA,81)</f>
        <v>-4.1999999999999997E-3</v>
      </c>
    </row>
    <row r="22" spans="1:15" x14ac:dyDescent="0.25">
      <c r="A22" s="100" t="str">
        <f>'OI(Value)'!A22</f>
        <v>ASTRAL</v>
      </c>
      <c r="B22" s="82">
        <f>VLOOKUP(A22,'Data shares'!$C$2:$CV$216,98,0)</f>
        <v>11269300</v>
      </c>
      <c r="C22" s="82">
        <f>VLOOKUP(A22,'Data shares'!$C$2:$CX$216,100,0)</f>
        <v>471325</v>
      </c>
      <c r="D22" s="141">
        <f>VLOOKUP(A22,'Data shares'!$C$2:$CY$539,101,0)</f>
        <v>4.36E-2</v>
      </c>
      <c r="E22" s="86">
        <f>VLOOKUP($A22,'Data shares'!$C:$FA,74)</f>
        <v>7865475</v>
      </c>
      <c r="F22" s="86">
        <f>VLOOKUP($A22,'Data shares'!$C:$FA,76)</f>
        <v>232475</v>
      </c>
      <c r="G22" s="87">
        <f>VLOOKUP(A22,'Data shares'!$C$2:$CA$216,77,0)</f>
        <v>3.0499999999999999E-2</v>
      </c>
      <c r="H22" s="86">
        <f>VLOOKUP($A22,'Data shares'!$C:$FA,90)</f>
        <v>2183650</v>
      </c>
      <c r="I22" s="86">
        <f>VLOOKUP($A22,'Data shares'!$C:$FA,92)</f>
        <v>183175</v>
      </c>
      <c r="J22" s="87">
        <f>VLOOKUP($A22,'Data shares'!$C:$FA,93)</f>
        <v>9.1600000000000001E-2</v>
      </c>
      <c r="K22" s="86">
        <f>VLOOKUP($A22,'Data shares'!$C:$FA,94)</f>
        <v>1220175</v>
      </c>
      <c r="L22" s="86">
        <f>VLOOKUP($A22,'Data shares'!$C:$FA,96)</f>
        <v>55675</v>
      </c>
      <c r="M22" s="87">
        <f>VLOOKUP($A22,'Data shares'!$C:$FA,97)</f>
        <v>4.7800000000000002E-2</v>
      </c>
      <c r="N22" s="86">
        <f>VLOOKUP($A22,'Data shares'!$C:$FA,78)</f>
        <v>7627475</v>
      </c>
      <c r="O22" s="87">
        <f>VLOOKUP($A22,'Data shares'!$C:$FA,81)</f>
        <v>2.7300000000000001E-2</v>
      </c>
    </row>
    <row r="23" spans="1:15" x14ac:dyDescent="0.25">
      <c r="A23" s="100" t="str">
        <f>'OI(Value)'!A23</f>
        <v>AUBANK</v>
      </c>
      <c r="B23" s="82">
        <f>VLOOKUP(A23,'Data shares'!$C$2:$CV$216,98,0)</f>
        <v>30426000</v>
      </c>
      <c r="C23" s="82">
        <f>VLOOKUP(A23,'Data shares'!$C$2:$CX$216,100,0)</f>
        <v>114000</v>
      </c>
      <c r="D23" s="141">
        <f>VLOOKUP(A23,'Data shares'!$C$2:$CY$539,101,0)</f>
        <v>3.8E-3</v>
      </c>
      <c r="E23" s="86">
        <f>VLOOKUP($A23,'Data shares'!$C:$FA,74)</f>
        <v>22246000</v>
      </c>
      <c r="F23" s="86">
        <f>VLOOKUP($A23,'Data shares'!$C:$FA,76)</f>
        <v>-582000</v>
      </c>
      <c r="G23" s="87">
        <f>VLOOKUP(A23,'Data shares'!$C$2:$CA$216,77,0)</f>
        <v>-2.5499999999999998E-2</v>
      </c>
      <c r="H23" s="86">
        <f>VLOOKUP($A23,'Data shares'!$C:$FA,90)</f>
        <v>4562000</v>
      </c>
      <c r="I23" s="86">
        <f>VLOOKUP($A23,'Data shares'!$C:$FA,92)</f>
        <v>342000</v>
      </c>
      <c r="J23" s="87">
        <f>VLOOKUP($A23,'Data shares'!$C:$FA,93)</f>
        <v>8.1000000000000003E-2</v>
      </c>
      <c r="K23" s="86">
        <f>VLOOKUP($A23,'Data shares'!$C:$FA,94)</f>
        <v>3618000</v>
      </c>
      <c r="L23" s="86">
        <f>VLOOKUP($A23,'Data shares'!$C:$FA,96)</f>
        <v>354000</v>
      </c>
      <c r="M23" s="87">
        <f>VLOOKUP($A23,'Data shares'!$C:$FA,97)</f>
        <v>0.1085</v>
      </c>
      <c r="N23" s="86">
        <f>VLOOKUP($A23,'Data shares'!$C:$FA,78)</f>
        <v>21879000</v>
      </c>
      <c r="O23" s="87">
        <f>VLOOKUP($A23,'Data shares'!$C:$FA,81)</f>
        <v>-2.58E-2</v>
      </c>
    </row>
    <row r="24" spans="1:15" x14ac:dyDescent="0.25">
      <c r="A24" s="100" t="str">
        <f>'OI(Value)'!A24</f>
        <v>AUROPHARMA</v>
      </c>
      <c r="B24" s="82">
        <f>VLOOKUP(A24,'Data shares'!$C$2:$CV$216,98,0)</f>
        <v>24060300</v>
      </c>
      <c r="C24" s="82">
        <f>VLOOKUP(A24,'Data shares'!$C$2:$CX$216,100,0)</f>
        <v>222200</v>
      </c>
      <c r="D24" s="141">
        <f>VLOOKUP(A24,'Data shares'!$C$2:$CY$539,101,0)</f>
        <v>9.2999999999999992E-3</v>
      </c>
      <c r="E24" s="86">
        <f>VLOOKUP($A24,'Data shares'!$C:$FA,74)</f>
        <v>19374300</v>
      </c>
      <c r="F24" s="86">
        <f>VLOOKUP($A24,'Data shares'!$C:$FA,76)</f>
        <v>12100</v>
      </c>
      <c r="G24" s="87">
        <f>VLOOKUP(A24,'Data shares'!$C$2:$CA$216,77,0)</f>
        <v>5.9999999999999995E-4</v>
      </c>
      <c r="H24" s="86">
        <f>VLOOKUP($A24,'Data shares'!$C:$FA,90)</f>
        <v>2453000</v>
      </c>
      <c r="I24" s="86">
        <f>VLOOKUP($A24,'Data shares'!$C:$FA,92)</f>
        <v>165550</v>
      </c>
      <c r="J24" s="87">
        <f>VLOOKUP($A24,'Data shares'!$C:$FA,93)</f>
        <v>7.2400000000000006E-2</v>
      </c>
      <c r="K24" s="86">
        <f>VLOOKUP($A24,'Data shares'!$C:$FA,94)</f>
        <v>2233000</v>
      </c>
      <c r="L24" s="86">
        <f>VLOOKUP($A24,'Data shares'!$C:$FA,96)</f>
        <v>44550</v>
      </c>
      <c r="M24" s="87">
        <f>VLOOKUP($A24,'Data shares'!$C:$FA,97)</f>
        <v>2.0400000000000001E-2</v>
      </c>
      <c r="N24" s="86">
        <f>VLOOKUP($A24,'Data shares'!$C:$FA,78)</f>
        <v>19169150</v>
      </c>
      <c r="O24" s="87">
        <f>VLOOKUP($A24,'Data shares'!$C:$FA,81)</f>
        <v>0</v>
      </c>
    </row>
    <row r="25" spans="1:15" x14ac:dyDescent="0.25">
      <c r="A25" s="100" t="str">
        <f>'OI(Value)'!A25</f>
        <v>AXISBANK</v>
      </c>
      <c r="B25" s="82">
        <f>VLOOKUP(A25,'Data shares'!$C$2:$CV$216,98,0)</f>
        <v>119758750</v>
      </c>
      <c r="C25" s="82">
        <f>VLOOKUP(A25,'Data shares'!$C$2:$CX$216,100,0)</f>
        <v>-775625</v>
      </c>
      <c r="D25" s="141">
        <f>VLOOKUP(A25,'Data shares'!$C$2:$CY$539,101,0)</f>
        <v>-6.4000000000000003E-3</v>
      </c>
      <c r="E25" s="86">
        <f>VLOOKUP($A25,'Data shares'!$C:$FA,74)</f>
        <v>85150000</v>
      </c>
      <c r="F25" s="86">
        <f>VLOOKUP($A25,'Data shares'!$C:$FA,76)</f>
        <v>-3285625</v>
      </c>
      <c r="G25" s="87">
        <f>VLOOKUP(A25,'Data shares'!$C$2:$CA$216,77,0)</f>
        <v>-3.7199999999999997E-2</v>
      </c>
      <c r="H25" s="86">
        <f>VLOOKUP($A25,'Data shares'!$C:$FA,90)</f>
        <v>22790000</v>
      </c>
      <c r="I25" s="86">
        <f>VLOOKUP($A25,'Data shares'!$C:$FA,92)</f>
        <v>360000</v>
      </c>
      <c r="J25" s="87">
        <f>VLOOKUP($A25,'Data shares'!$C:$FA,93)</f>
        <v>1.6E-2</v>
      </c>
      <c r="K25" s="86">
        <f>VLOOKUP($A25,'Data shares'!$C:$FA,94)</f>
        <v>11818750</v>
      </c>
      <c r="L25" s="86">
        <f>VLOOKUP($A25,'Data shares'!$C:$FA,96)</f>
        <v>2150000</v>
      </c>
      <c r="M25" s="87">
        <f>VLOOKUP($A25,'Data shares'!$C:$FA,97)</f>
        <v>0.22239999999999999</v>
      </c>
      <c r="N25" s="86">
        <f>VLOOKUP($A25,'Data shares'!$C:$FA,78)</f>
        <v>83953750</v>
      </c>
      <c r="O25" s="87">
        <f>VLOOKUP($A25,'Data shares'!$C:$FA,81)</f>
        <v>-3.9600000000000003E-2</v>
      </c>
    </row>
    <row r="26" spans="1:15" x14ac:dyDescent="0.25">
      <c r="A26" s="100" t="str">
        <f>'OI(Value)'!A26</f>
        <v>BAJAJ-AUTO</v>
      </c>
      <c r="B26" s="82">
        <f>VLOOKUP(A26,'Data shares'!$C$2:$CV$216,98,0)</f>
        <v>5646600</v>
      </c>
      <c r="C26" s="82">
        <f>VLOOKUP(A26,'Data shares'!$C$2:$CX$216,100,0)</f>
        <v>-86325</v>
      </c>
      <c r="D26" s="141">
        <f>VLOOKUP(A26,'Data shares'!$C$2:$CY$539,101,0)</f>
        <v>-1.5100000000000001E-2</v>
      </c>
      <c r="E26" s="86">
        <f>VLOOKUP($A26,'Data shares'!$C:$FA,74)</f>
        <v>3187950</v>
      </c>
      <c r="F26" s="86">
        <f>VLOOKUP($A26,'Data shares'!$C:$FA,76)</f>
        <v>-98100</v>
      </c>
      <c r="G26" s="87">
        <f>VLOOKUP(A26,'Data shares'!$C$2:$CA$216,77,0)</f>
        <v>-2.9899999999999999E-2</v>
      </c>
      <c r="H26" s="86">
        <f>VLOOKUP($A26,'Data shares'!$C:$FA,90)</f>
        <v>1556700</v>
      </c>
      <c r="I26" s="86">
        <f>VLOOKUP($A26,'Data shares'!$C:$FA,92)</f>
        <v>-24675</v>
      </c>
      <c r="J26" s="87">
        <f>VLOOKUP($A26,'Data shares'!$C:$FA,93)</f>
        <v>-1.5599999999999999E-2</v>
      </c>
      <c r="K26" s="86">
        <f>VLOOKUP($A26,'Data shares'!$C:$FA,94)</f>
        <v>901950</v>
      </c>
      <c r="L26" s="86">
        <f>VLOOKUP($A26,'Data shares'!$C:$FA,96)</f>
        <v>36450</v>
      </c>
      <c r="M26" s="87">
        <f>VLOOKUP($A26,'Data shares'!$C:$FA,97)</f>
        <v>4.2099999999999999E-2</v>
      </c>
      <c r="N26" s="86">
        <f>VLOOKUP($A26,'Data shares'!$C:$FA,78)</f>
        <v>3116625</v>
      </c>
      <c r="O26" s="87">
        <f>VLOOKUP($A26,'Data shares'!$C:$FA,81)</f>
        <v>-3.09E-2</v>
      </c>
    </row>
    <row r="27" spans="1:15" x14ac:dyDescent="0.25">
      <c r="A27" s="100" t="str">
        <f>'OI(Value)'!A27</f>
        <v>BAJAJFINSV</v>
      </c>
      <c r="B27" s="82">
        <f>VLOOKUP(A27,'Data shares'!$C$2:$CV$216,98,0)</f>
        <v>23497500</v>
      </c>
      <c r="C27" s="82">
        <f>VLOOKUP(A27,'Data shares'!$C$2:$CX$216,100,0)</f>
        <v>872000</v>
      </c>
      <c r="D27" s="141">
        <f>VLOOKUP(A27,'Data shares'!$C$2:$CY$539,101,0)</f>
        <v>3.85E-2</v>
      </c>
      <c r="E27" s="86">
        <f>VLOOKUP($A27,'Data shares'!$C:$FA,74)</f>
        <v>17434500</v>
      </c>
      <c r="F27" s="86">
        <f>VLOOKUP($A27,'Data shares'!$C:$FA,76)</f>
        <v>-30500</v>
      </c>
      <c r="G27" s="87">
        <f>VLOOKUP(A27,'Data shares'!$C$2:$CA$216,77,0)</f>
        <v>-1.6999999999999999E-3</v>
      </c>
      <c r="H27" s="86">
        <f>VLOOKUP($A27,'Data shares'!$C:$FA,90)</f>
        <v>3491000</v>
      </c>
      <c r="I27" s="86">
        <f>VLOOKUP($A27,'Data shares'!$C:$FA,92)</f>
        <v>480000</v>
      </c>
      <c r="J27" s="87">
        <f>VLOOKUP($A27,'Data shares'!$C:$FA,93)</f>
        <v>0.15939999999999999</v>
      </c>
      <c r="K27" s="86">
        <f>VLOOKUP($A27,'Data shares'!$C:$FA,94)</f>
        <v>2572000</v>
      </c>
      <c r="L27" s="86">
        <f>VLOOKUP($A27,'Data shares'!$C:$FA,96)</f>
        <v>422500</v>
      </c>
      <c r="M27" s="87">
        <f>VLOOKUP($A27,'Data shares'!$C:$FA,97)</f>
        <v>0.1966</v>
      </c>
      <c r="N27" s="86">
        <f>VLOOKUP($A27,'Data shares'!$C:$FA,78)</f>
        <v>17277500</v>
      </c>
      <c r="O27" s="87">
        <f>VLOOKUP($A27,'Data shares'!$C:$FA,81)</f>
        <v>-2.5000000000000001E-3</v>
      </c>
    </row>
    <row r="28" spans="1:15" x14ac:dyDescent="0.25">
      <c r="A28" s="100" t="str">
        <f>'OI(Value)'!A28</f>
        <v>BAJFINANCE</v>
      </c>
      <c r="B28" s="82">
        <f>VLOOKUP(A28,'Data shares'!$C$2:$CV$216,98,0)</f>
        <v>120534750</v>
      </c>
      <c r="C28" s="82">
        <f>VLOOKUP(A28,'Data shares'!$C$2:$CX$216,100,0)</f>
        <v>5296500</v>
      </c>
      <c r="D28" s="141">
        <f>VLOOKUP(A28,'Data shares'!$C$2:$CY$539,101,0)</f>
        <v>4.5999999999999999E-2</v>
      </c>
      <c r="E28" s="86">
        <f>VLOOKUP($A28,'Data shares'!$C:$FA,74)</f>
        <v>90971250</v>
      </c>
      <c r="F28" s="86">
        <f>VLOOKUP($A28,'Data shares'!$C:$FA,76)</f>
        <v>907500</v>
      </c>
      <c r="G28" s="87">
        <f>VLOOKUP(A28,'Data shares'!$C$2:$CA$216,77,0)</f>
        <v>1.01E-2</v>
      </c>
      <c r="H28" s="86">
        <f>VLOOKUP($A28,'Data shares'!$C:$FA,90)</f>
        <v>18005250</v>
      </c>
      <c r="I28" s="86">
        <f>VLOOKUP($A28,'Data shares'!$C:$FA,92)</f>
        <v>3353250</v>
      </c>
      <c r="J28" s="87">
        <f>VLOOKUP($A28,'Data shares'!$C:$FA,93)</f>
        <v>0.22889999999999999</v>
      </c>
      <c r="K28" s="86">
        <f>VLOOKUP($A28,'Data shares'!$C:$FA,94)</f>
        <v>11558250</v>
      </c>
      <c r="L28" s="86">
        <f>VLOOKUP($A28,'Data shares'!$C:$FA,96)</f>
        <v>1035750</v>
      </c>
      <c r="M28" s="87">
        <f>VLOOKUP($A28,'Data shares'!$C:$FA,97)</f>
        <v>9.8400000000000001E-2</v>
      </c>
      <c r="N28" s="86">
        <f>VLOOKUP($A28,'Data shares'!$C:$FA,78)</f>
        <v>90003000</v>
      </c>
      <c r="O28" s="87">
        <f>VLOOKUP($A28,'Data shares'!$C:$FA,81)</f>
        <v>9.7000000000000003E-3</v>
      </c>
    </row>
    <row r="29" spans="1:15" x14ac:dyDescent="0.25">
      <c r="A29" s="100" t="str">
        <f>'OI(Value)'!A29</f>
        <v>BANDHANBNK</v>
      </c>
      <c r="B29" s="82">
        <f>VLOOKUP(A29,'Data shares'!$C$2:$CV$216,98,0)</f>
        <v>142430400</v>
      </c>
      <c r="C29" s="82">
        <f>VLOOKUP(A29,'Data shares'!$C$2:$CX$216,100,0)</f>
        <v>3380400</v>
      </c>
      <c r="D29" s="141">
        <f>VLOOKUP(A29,'Data shares'!$C$2:$CY$539,101,0)</f>
        <v>2.4299999999999999E-2</v>
      </c>
      <c r="E29" s="86">
        <f>VLOOKUP($A29,'Data shares'!$C:$FA,74)</f>
        <v>95108400</v>
      </c>
      <c r="F29" s="86">
        <f>VLOOKUP($A29,'Data shares'!$C:$FA,76)</f>
        <v>1101600</v>
      </c>
      <c r="G29" s="87">
        <f>VLOOKUP(A29,'Data shares'!$C$2:$CA$216,77,0)</f>
        <v>1.17E-2</v>
      </c>
      <c r="H29" s="86">
        <f>VLOOKUP($A29,'Data shares'!$C:$FA,90)</f>
        <v>25120800</v>
      </c>
      <c r="I29" s="86">
        <f>VLOOKUP($A29,'Data shares'!$C:$FA,92)</f>
        <v>1508400</v>
      </c>
      <c r="J29" s="87">
        <f>VLOOKUP($A29,'Data shares'!$C:$FA,93)</f>
        <v>6.3899999999999998E-2</v>
      </c>
      <c r="K29" s="86">
        <f>VLOOKUP($A29,'Data shares'!$C:$FA,94)</f>
        <v>22201200</v>
      </c>
      <c r="L29" s="86">
        <f>VLOOKUP($A29,'Data shares'!$C:$FA,96)</f>
        <v>770400</v>
      </c>
      <c r="M29" s="87">
        <f>VLOOKUP($A29,'Data shares'!$C:$FA,97)</f>
        <v>3.5900000000000001E-2</v>
      </c>
      <c r="N29" s="86">
        <f>VLOOKUP($A29,'Data shares'!$C:$FA,78)</f>
        <v>90324000</v>
      </c>
      <c r="O29" s="87">
        <f>VLOOKUP($A29,'Data shares'!$C:$FA,81)</f>
        <v>9.1999999999999998E-3</v>
      </c>
    </row>
    <row r="30" spans="1:15" x14ac:dyDescent="0.25">
      <c r="A30" s="100" t="str">
        <f>'OI(Value)'!A30</f>
        <v>BANKBARODA</v>
      </c>
      <c r="B30" s="82">
        <f>VLOOKUP(A30,'Data shares'!$C$2:$CV$216,98,0)</f>
        <v>193482900</v>
      </c>
      <c r="C30" s="82">
        <f>VLOOKUP(A30,'Data shares'!$C$2:$CX$216,100,0)</f>
        <v>4027725</v>
      </c>
      <c r="D30" s="141">
        <f>VLOOKUP(A30,'Data shares'!$C$2:$CY$539,101,0)</f>
        <v>2.1299999999999999E-2</v>
      </c>
      <c r="E30" s="86">
        <f>VLOOKUP($A30,'Data shares'!$C:$FA,74)</f>
        <v>131256450</v>
      </c>
      <c r="F30" s="86">
        <f>VLOOKUP($A30,'Data shares'!$C:$FA,76)</f>
        <v>-693225</v>
      </c>
      <c r="G30" s="87">
        <f>VLOOKUP(A30,'Data shares'!$C$2:$CA$216,77,0)</f>
        <v>-5.3E-3</v>
      </c>
      <c r="H30" s="86">
        <f>VLOOKUP($A30,'Data shares'!$C:$FA,90)</f>
        <v>32332950</v>
      </c>
      <c r="I30" s="86">
        <f>VLOOKUP($A30,'Data shares'!$C:$FA,92)</f>
        <v>3428100</v>
      </c>
      <c r="J30" s="87">
        <f>VLOOKUP($A30,'Data shares'!$C:$FA,93)</f>
        <v>0.1186</v>
      </c>
      <c r="K30" s="86">
        <f>VLOOKUP($A30,'Data shares'!$C:$FA,94)</f>
        <v>29893500</v>
      </c>
      <c r="L30" s="86">
        <f>VLOOKUP($A30,'Data shares'!$C:$FA,96)</f>
        <v>1292850</v>
      </c>
      <c r="M30" s="87">
        <f>VLOOKUP($A30,'Data shares'!$C:$FA,97)</f>
        <v>4.5199999999999997E-2</v>
      </c>
      <c r="N30" s="86">
        <f>VLOOKUP($A30,'Data shares'!$C:$FA,78)</f>
        <v>129112425</v>
      </c>
      <c r="O30" s="87">
        <f>VLOOKUP($A30,'Data shares'!$C:$FA,81)</f>
        <v>-5.8999999999999999E-3</v>
      </c>
    </row>
    <row r="31" spans="1:15" x14ac:dyDescent="0.25">
      <c r="A31" s="100" t="str">
        <f>'OI(Value)'!A31</f>
        <v>BANKINDIA</v>
      </c>
      <c r="B31" s="82">
        <f>VLOOKUP(A31,'Data shares'!$C$2:$CV$216,98,0)</f>
        <v>100198800</v>
      </c>
      <c r="C31" s="82">
        <f>VLOOKUP(A31,'Data shares'!$C$2:$CX$216,100,0)</f>
        <v>837200</v>
      </c>
      <c r="D31" s="141">
        <f>VLOOKUP(A31,'Data shares'!$C$2:$CY$539,101,0)</f>
        <v>8.3999999999999995E-3</v>
      </c>
      <c r="E31" s="86">
        <f>VLOOKUP($A31,'Data shares'!$C:$FA,74)</f>
        <v>68260400</v>
      </c>
      <c r="F31" s="86">
        <f>VLOOKUP($A31,'Data shares'!$C:$FA,76)</f>
        <v>244400</v>
      </c>
      <c r="G31" s="87">
        <f>VLOOKUP(A31,'Data shares'!$C$2:$CA$216,77,0)</f>
        <v>3.5999999999999999E-3</v>
      </c>
      <c r="H31" s="86">
        <f>VLOOKUP($A31,'Data shares'!$C:$FA,90)</f>
        <v>18460000</v>
      </c>
      <c r="I31" s="86">
        <f>VLOOKUP($A31,'Data shares'!$C:$FA,92)</f>
        <v>338000</v>
      </c>
      <c r="J31" s="87">
        <f>VLOOKUP($A31,'Data shares'!$C:$FA,93)</f>
        <v>1.8700000000000001E-2</v>
      </c>
      <c r="K31" s="86">
        <f>VLOOKUP($A31,'Data shares'!$C:$FA,94)</f>
        <v>13478400</v>
      </c>
      <c r="L31" s="86">
        <f>VLOOKUP($A31,'Data shares'!$C:$FA,96)</f>
        <v>254800</v>
      </c>
      <c r="M31" s="87">
        <f>VLOOKUP($A31,'Data shares'!$C:$FA,97)</f>
        <v>1.9300000000000001E-2</v>
      </c>
      <c r="N31" s="86">
        <f>VLOOKUP($A31,'Data shares'!$C:$FA,78)</f>
        <v>65988000</v>
      </c>
      <c r="O31" s="87">
        <f>VLOOKUP($A31,'Data shares'!$C:$FA,81)</f>
        <v>3.0999999999999999E-3</v>
      </c>
    </row>
    <row r="32" spans="1:15" x14ac:dyDescent="0.25">
      <c r="A32" s="100" t="str">
        <f>'OI(Value)'!A32</f>
        <v>BANKNIFTY</v>
      </c>
      <c r="B32" s="82">
        <f>VLOOKUP(A32,'Data shares'!$C$2:$CV$216,98,0)</f>
        <v>34275910</v>
      </c>
      <c r="C32" s="82">
        <f>VLOOKUP(A32,'Data shares'!$C$2:$CX$216,100,0)</f>
        <v>2385145</v>
      </c>
      <c r="D32" s="141">
        <f>VLOOKUP(A32,'Data shares'!$C$2:$CY$539,101,0)</f>
        <v>7.4800000000000005E-2</v>
      </c>
      <c r="E32" s="86">
        <f>VLOOKUP($A32,'Data shares'!$C:$FA,74)</f>
        <v>2038925</v>
      </c>
      <c r="F32" s="86">
        <f>VLOOKUP($A32,'Data shares'!$C:$FA,76)</f>
        <v>-70140</v>
      </c>
      <c r="G32" s="87">
        <f>VLOOKUP(A32,'Data shares'!$C$2:$CA$216,77,0)</f>
        <v>-3.3300000000000003E-2</v>
      </c>
      <c r="H32" s="86">
        <f>VLOOKUP($A32,'Data shares'!$C:$FA,90)</f>
        <v>15140890</v>
      </c>
      <c r="I32" s="86">
        <f>VLOOKUP($A32,'Data shares'!$C:$FA,92)</f>
        <v>1304415</v>
      </c>
      <c r="J32" s="87">
        <f>VLOOKUP($A32,'Data shares'!$C:$FA,93)</f>
        <v>9.4299999999999995E-2</v>
      </c>
      <c r="K32" s="86">
        <f>VLOOKUP($A32,'Data shares'!$C:$FA,94)</f>
        <v>17096095</v>
      </c>
      <c r="L32" s="86">
        <f>VLOOKUP($A32,'Data shares'!$C:$FA,96)</f>
        <v>1150870</v>
      </c>
      <c r="M32" s="87">
        <f>VLOOKUP($A32,'Data shares'!$C:$FA,97)</f>
        <v>7.22E-2</v>
      </c>
      <c r="N32" s="86">
        <f>VLOOKUP($A32,'Data shares'!$C:$FA,78)</f>
        <v>1849260</v>
      </c>
      <c r="O32" s="87">
        <f>VLOOKUP($A32,'Data shares'!$C:$FA,81)</f>
        <v>-3.5400000000000001E-2</v>
      </c>
    </row>
    <row r="33" spans="1:15" x14ac:dyDescent="0.25">
      <c r="A33" s="100" t="str">
        <f>'OI(Value)'!A33</f>
        <v>BDL</v>
      </c>
      <c r="B33" s="82">
        <f>VLOOKUP(A33,'Data shares'!$C$2:$CV$216,98,0)</f>
        <v>8543275</v>
      </c>
      <c r="C33" s="82">
        <f>VLOOKUP(A33,'Data shares'!$C$2:$CX$216,100,0)</f>
        <v>401375</v>
      </c>
      <c r="D33" s="141">
        <f>VLOOKUP(A33,'Data shares'!$C$2:$CY$539,101,0)</f>
        <v>4.9299999999999997E-2</v>
      </c>
      <c r="E33" s="86">
        <f>VLOOKUP($A33,'Data shares'!$C:$FA,74)</f>
        <v>4447300</v>
      </c>
      <c r="F33" s="86">
        <f>VLOOKUP($A33,'Data shares'!$C:$FA,76)</f>
        <v>112125</v>
      </c>
      <c r="G33" s="87">
        <f>VLOOKUP(A33,'Data shares'!$C$2:$CA$216,77,0)</f>
        <v>2.5899999999999999E-2</v>
      </c>
      <c r="H33" s="86">
        <f>VLOOKUP($A33,'Data shares'!$C:$FA,90)</f>
        <v>2475525</v>
      </c>
      <c r="I33" s="86">
        <f>VLOOKUP($A33,'Data shares'!$C:$FA,92)</f>
        <v>289575</v>
      </c>
      <c r="J33" s="87">
        <f>VLOOKUP($A33,'Data shares'!$C:$FA,93)</f>
        <v>0.13250000000000001</v>
      </c>
      <c r="K33" s="86">
        <f>VLOOKUP($A33,'Data shares'!$C:$FA,94)</f>
        <v>1620450</v>
      </c>
      <c r="L33" s="86">
        <f>VLOOKUP($A33,'Data shares'!$C:$FA,96)</f>
        <v>-325</v>
      </c>
      <c r="M33" s="87">
        <f>VLOOKUP($A33,'Data shares'!$C:$FA,97)</f>
        <v>-2.0000000000000001E-4</v>
      </c>
      <c r="N33" s="86">
        <f>VLOOKUP($A33,'Data shares'!$C:$FA,78)</f>
        <v>4279600</v>
      </c>
      <c r="O33" s="87">
        <f>VLOOKUP($A33,'Data shares'!$C:$FA,81)</f>
        <v>2.47E-2</v>
      </c>
    </row>
    <row r="34" spans="1:15" x14ac:dyDescent="0.25">
      <c r="A34" s="100" t="str">
        <f>'OI(Value)'!A34</f>
        <v>BEL</v>
      </c>
      <c r="B34" s="82">
        <f>VLOOKUP(A34,'Data shares'!$C$2:$CV$216,98,0)</f>
        <v>191445900</v>
      </c>
      <c r="C34" s="82">
        <f>VLOOKUP(A34,'Data shares'!$C$2:$CX$216,100,0)</f>
        <v>4773750</v>
      </c>
      <c r="D34" s="141">
        <f>VLOOKUP(A34,'Data shares'!$C$2:$CY$539,101,0)</f>
        <v>2.5600000000000001E-2</v>
      </c>
      <c r="E34" s="86">
        <f>VLOOKUP($A34,'Data shares'!$C:$FA,74)</f>
        <v>106219500</v>
      </c>
      <c r="F34" s="86">
        <f>VLOOKUP($A34,'Data shares'!$C:$FA,76)</f>
        <v>-225150</v>
      </c>
      <c r="G34" s="87">
        <f>VLOOKUP(A34,'Data shares'!$C$2:$CA$216,77,0)</f>
        <v>-2.0999999999999999E-3</v>
      </c>
      <c r="H34" s="86">
        <f>VLOOKUP($A34,'Data shares'!$C:$FA,90)</f>
        <v>49835100</v>
      </c>
      <c r="I34" s="86">
        <f>VLOOKUP($A34,'Data shares'!$C:$FA,92)</f>
        <v>2676150</v>
      </c>
      <c r="J34" s="87">
        <f>VLOOKUP($A34,'Data shares'!$C:$FA,93)</f>
        <v>5.67E-2</v>
      </c>
      <c r="K34" s="86">
        <f>VLOOKUP($A34,'Data shares'!$C:$FA,94)</f>
        <v>35391300</v>
      </c>
      <c r="L34" s="86">
        <f>VLOOKUP($A34,'Data shares'!$C:$FA,96)</f>
        <v>2322750</v>
      </c>
      <c r="M34" s="87">
        <f>VLOOKUP($A34,'Data shares'!$C:$FA,97)</f>
        <v>7.0199999999999999E-2</v>
      </c>
      <c r="N34" s="86">
        <f>VLOOKUP($A34,'Data shares'!$C:$FA,78)</f>
        <v>101337450</v>
      </c>
      <c r="O34" s="87">
        <f>VLOOKUP($A34,'Data shares'!$C:$FA,81)</f>
        <v>-6.1999999999999998E-3</v>
      </c>
    </row>
    <row r="35" spans="1:15" x14ac:dyDescent="0.25">
      <c r="A35" s="100" t="str">
        <f>'OI(Value)'!A35</f>
        <v>BHARATFORG</v>
      </c>
      <c r="B35" s="82">
        <f>VLOOKUP(A35,'Data shares'!$C$2:$CV$216,98,0)</f>
        <v>14504000</v>
      </c>
      <c r="C35" s="82">
        <f>VLOOKUP(A35,'Data shares'!$C$2:$CX$216,100,0)</f>
        <v>609000</v>
      </c>
      <c r="D35" s="141">
        <f>VLOOKUP(A35,'Data shares'!$C$2:$CY$539,101,0)</f>
        <v>4.3799999999999999E-2</v>
      </c>
      <c r="E35" s="86">
        <f>VLOOKUP($A35,'Data shares'!$C:$FA,74)</f>
        <v>10402000</v>
      </c>
      <c r="F35" s="86">
        <f>VLOOKUP($A35,'Data shares'!$C:$FA,76)</f>
        <v>229000</v>
      </c>
      <c r="G35" s="87">
        <f>VLOOKUP(A35,'Data shares'!$C$2:$CA$216,77,0)</f>
        <v>2.2499999999999999E-2</v>
      </c>
      <c r="H35" s="86">
        <f>VLOOKUP($A35,'Data shares'!$C:$FA,90)</f>
        <v>2349500</v>
      </c>
      <c r="I35" s="86">
        <f>VLOOKUP($A35,'Data shares'!$C:$FA,92)</f>
        <v>270000</v>
      </c>
      <c r="J35" s="87">
        <f>VLOOKUP($A35,'Data shares'!$C:$FA,93)</f>
        <v>0.1298</v>
      </c>
      <c r="K35" s="86">
        <f>VLOOKUP($A35,'Data shares'!$C:$FA,94)</f>
        <v>1752500</v>
      </c>
      <c r="L35" s="86">
        <f>VLOOKUP($A35,'Data shares'!$C:$FA,96)</f>
        <v>110000</v>
      </c>
      <c r="M35" s="87">
        <f>VLOOKUP($A35,'Data shares'!$C:$FA,97)</f>
        <v>6.7000000000000004E-2</v>
      </c>
      <c r="N35" s="86">
        <f>VLOOKUP($A35,'Data shares'!$C:$FA,78)</f>
        <v>10168500</v>
      </c>
      <c r="O35" s="87">
        <f>VLOOKUP($A35,'Data shares'!$C:$FA,81)</f>
        <v>1.7999999999999999E-2</v>
      </c>
    </row>
    <row r="36" spans="1:15" x14ac:dyDescent="0.25">
      <c r="A36" s="100" t="str">
        <f>'OI(Value)'!A36</f>
        <v>BHARTIARTL</v>
      </c>
      <c r="B36" s="82">
        <f>VLOOKUP(A36,'Data shares'!$C$2:$CV$216,98,0)</f>
        <v>62137600</v>
      </c>
      <c r="C36" s="82">
        <f>VLOOKUP(A36,'Data shares'!$C$2:$CX$216,100,0)</f>
        <v>149625</v>
      </c>
      <c r="D36" s="141">
        <f>VLOOKUP(A36,'Data shares'!$C$2:$CY$539,101,0)</f>
        <v>2.3999999999999998E-3</v>
      </c>
      <c r="E36" s="86">
        <f>VLOOKUP($A36,'Data shares'!$C:$FA,74)</f>
        <v>49258450</v>
      </c>
      <c r="F36" s="86">
        <f>VLOOKUP($A36,'Data shares'!$C:$FA,76)</f>
        <v>-167675</v>
      </c>
      <c r="G36" s="87">
        <f>VLOOKUP(A36,'Data shares'!$C$2:$CA$216,77,0)</f>
        <v>-3.3999999999999998E-3</v>
      </c>
      <c r="H36" s="86">
        <f>VLOOKUP($A36,'Data shares'!$C:$FA,90)</f>
        <v>8217500</v>
      </c>
      <c r="I36" s="86">
        <f>VLOOKUP($A36,'Data shares'!$C:$FA,92)</f>
        <v>255075</v>
      </c>
      <c r="J36" s="87">
        <f>VLOOKUP($A36,'Data shares'!$C:$FA,93)</f>
        <v>3.2000000000000001E-2</v>
      </c>
      <c r="K36" s="86">
        <f>VLOOKUP($A36,'Data shares'!$C:$FA,94)</f>
        <v>4661650</v>
      </c>
      <c r="L36" s="86">
        <f>VLOOKUP($A36,'Data shares'!$C:$FA,96)</f>
        <v>62225</v>
      </c>
      <c r="M36" s="87">
        <f>VLOOKUP($A36,'Data shares'!$C:$FA,97)</f>
        <v>1.35E-2</v>
      </c>
      <c r="N36" s="86">
        <f>VLOOKUP($A36,'Data shares'!$C:$FA,78)</f>
        <v>47195525</v>
      </c>
      <c r="O36" s="87">
        <f>VLOOKUP($A36,'Data shares'!$C:$FA,81)</f>
        <v>-3.3E-3</v>
      </c>
    </row>
    <row r="37" spans="1:15" x14ac:dyDescent="0.25">
      <c r="A37" s="100" t="str">
        <f>'OI(Value)'!A37</f>
        <v>BHEL</v>
      </c>
      <c r="B37" s="82">
        <f>VLOOKUP(A37,'Data shares'!$C$2:$CV$216,98,0)</f>
        <v>91092750</v>
      </c>
      <c r="C37" s="82">
        <f>VLOOKUP(A37,'Data shares'!$C$2:$CX$216,100,0)</f>
        <v>1435875</v>
      </c>
      <c r="D37" s="141">
        <f>VLOOKUP(A37,'Data shares'!$C$2:$CY$539,101,0)</f>
        <v>1.6E-2</v>
      </c>
      <c r="E37" s="86">
        <f>VLOOKUP($A37,'Data shares'!$C:$FA,74)</f>
        <v>58839375</v>
      </c>
      <c r="F37" s="86">
        <f>VLOOKUP($A37,'Data shares'!$C:$FA,76)</f>
        <v>252000</v>
      </c>
      <c r="G37" s="87">
        <f>VLOOKUP(A37,'Data shares'!$C$2:$CA$216,77,0)</f>
        <v>4.3E-3</v>
      </c>
      <c r="H37" s="86">
        <f>VLOOKUP($A37,'Data shares'!$C:$FA,90)</f>
        <v>18125625</v>
      </c>
      <c r="I37" s="86">
        <f>VLOOKUP($A37,'Data shares'!$C:$FA,92)</f>
        <v>1320375</v>
      </c>
      <c r="J37" s="87">
        <f>VLOOKUP($A37,'Data shares'!$C:$FA,93)</f>
        <v>7.8600000000000003E-2</v>
      </c>
      <c r="K37" s="86">
        <f>VLOOKUP($A37,'Data shares'!$C:$FA,94)</f>
        <v>14127750</v>
      </c>
      <c r="L37" s="86">
        <f>VLOOKUP($A37,'Data shares'!$C:$FA,96)</f>
        <v>-136500</v>
      </c>
      <c r="M37" s="87">
        <f>VLOOKUP($A37,'Data shares'!$C:$FA,97)</f>
        <v>-9.5999999999999992E-3</v>
      </c>
      <c r="N37" s="86">
        <f>VLOOKUP($A37,'Data shares'!$C:$FA,78)</f>
        <v>57356250</v>
      </c>
      <c r="O37" s="87">
        <f>VLOOKUP($A37,'Data shares'!$C:$FA,81)</f>
        <v>2.8999999999999998E-3</v>
      </c>
    </row>
    <row r="38" spans="1:15" x14ac:dyDescent="0.25">
      <c r="A38" s="100" t="str">
        <f>'OI(Value)'!A38</f>
        <v>BIOCON</v>
      </c>
      <c r="B38" s="82">
        <f>VLOOKUP(A38,'Data shares'!$C$2:$CV$216,98,0)</f>
        <v>60985000</v>
      </c>
      <c r="C38" s="82">
        <f>VLOOKUP(A38,'Data shares'!$C$2:$CX$216,100,0)</f>
        <v>2482500</v>
      </c>
      <c r="D38" s="141">
        <f>VLOOKUP(A38,'Data shares'!$C$2:$CY$539,101,0)</f>
        <v>4.24E-2</v>
      </c>
      <c r="E38" s="86">
        <f>VLOOKUP($A38,'Data shares'!$C:$FA,74)</f>
        <v>39350000</v>
      </c>
      <c r="F38" s="86">
        <f>VLOOKUP($A38,'Data shares'!$C:$FA,76)</f>
        <v>-10000</v>
      </c>
      <c r="G38" s="87">
        <f>VLOOKUP(A38,'Data shares'!$C$2:$CA$216,77,0)</f>
        <v>-2.9999999999999997E-4</v>
      </c>
      <c r="H38" s="86">
        <f>VLOOKUP($A38,'Data shares'!$C:$FA,90)</f>
        <v>13085000</v>
      </c>
      <c r="I38" s="86">
        <f>VLOOKUP($A38,'Data shares'!$C:$FA,92)</f>
        <v>2317500</v>
      </c>
      <c r="J38" s="87">
        <f>VLOOKUP($A38,'Data shares'!$C:$FA,93)</f>
        <v>0.2152</v>
      </c>
      <c r="K38" s="86">
        <f>VLOOKUP($A38,'Data shares'!$C:$FA,94)</f>
        <v>8550000</v>
      </c>
      <c r="L38" s="86">
        <f>VLOOKUP($A38,'Data shares'!$C:$FA,96)</f>
        <v>175000</v>
      </c>
      <c r="M38" s="87">
        <f>VLOOKUP($A38,'Data shares'!$C:$FA,97)</f>
        <v>2.0899999999999998E-2</v>
      </c>
      <c r="N38" s="86">
        <f>VLOOKUP($A38,'Data shares'!$C:$FA,78)</f>
        <v>38555000</v>
      </c>
      <c r="O38" s="87">
        <f>VLOOKUP($A38,'Data shares'!$C:$FA,81)</f>
        <v>-4.3E-3</v>
      </c>
    </row>
    <row r="39" spans="1:15" x14ac:dyDescent="0.25">
      <c r="A39" s="100" t="str">
        <f>'OI(Value)'!A39</f>
        <v>BLUESTARCO</v>
      </c>
      <c r="B39" s="82">
        <f>VLOOKUP(A39,'Data shares'!$C$2:$CV$216,98,0)</f>
        <v>2334150</v>
      </c>
      <c r="C39" s="82">
        <f>VLOOKUP(A39,'Data shares'!$C$2:$CX$216,100,0)</f>
        <v>22425</v>
      </c>
      <c r="D39" s="141">
        <f>VLOOKUP(A39,'Data shares'!$C$2:$CY$539,101,0)</f>
        <v>9.7000000000000003E-3</v>
      </c>
      <c r="E39" s="86">
        <f>VLOOKUP($A39,'Data shares'!$C:$FA,74)</f>
        <v>1869075</v>
      </c>
      <c r="F39" s="86">
        <f>VLOOKUP($A39,'Data shares'!$C:$FA,76)</f>
        <v>-17225</v>
      </c>
      <c r="G39" s="87">
        <f>VLOOKUP(A39,'Data shares'!$C$2:$CA$216,77,0)</f>
        <v>-9.1000000000000004E-3</v>
      </c>
      <c r="H39" s="86">
        <f>VLOOKUP($A39,'Data shares'!$C:$FA,90)</f>
        <v>248300</v>
      </c>
      <c r="I39" s="86">
        <f>VLOOKUP($A39,'Data shares'!$C:$FA,92)</f>
        <v>18850</v>
      </c>
      <c r="J39" s="87">
        <f>VLOOKUP($A39,'Data shares'!$C:$FA,93)</f>
        <v>8.2199999999999995E-2</v>
      </c>
      <c r="K39" s="86">
        <f>VLOOKUP($A39,'Data shares'!$C:$FA,94)</f>
        <v>216775</v>
      </c>
      <c r="L39" s="86">
        <f>VLOOKUP($A39,'Data shares'!$C:$FA,96)</f>
        <v>20800</v>
      </c>
      <c r="M39" s="87">
        <f>VLOOKUP($A39,'Data shares'!$C:$FA,97)</f>
        <v>0.1061</v>
      </c>
      <c r="N39" s="86">
        <f>VLOOKUP($A39,'Data shares'!$C:$FA,78)</f>
        <v>1845025</v>
      </c>
      <c r="O39" s="87">
        <f>VLOOKUP($A39,'Data shares'!$C:$FA,81)</f>
        <v>-9.4000000000000004E-3</v>
      </c>
    </row>
    <row r="40" spans="1:15" x14ac:dyDescent="0.25">
      <c r="A40" s="100" t="str">
        <f>'OI(Value)'!A40</f>
        <v>BOSCHLTD</v>
      </c>
      <c r="B40" s="82">
        <f>VLOOKUP(A40,'Data shares'!$C$2:$CV$216,98,0)</f>
        <v>314025</v>
      </c>
      <c r="C40" s="82">
        <f>VLOOKUP(A40,'Data shares'!$C$2:$CX$216,100,0)</f>
        <v>5250</v>
      </c>
      <c r="D40" s="141">
        <f>VLOOKUP(A40,'Data shares'!$C$2:$CY$539,101,0)</f>
        <v>1.7000000000000001E-2</v>
      </c>
      <c r="E40" s="86">
        <f>VLOOKUP($A40,'Data shares'!$C:$FA,74)</f>
        <v>238125</v>
      </c>
      <c r="F40" s="86">
        <f>VLOOKUP($A40,'Data shares'!$C:$FA,76)</f>
        <v>-1700</v>
      </c>
      <c r="G40" s="87">
        <f>VLOOKUP(A40,'Data shares'!$C$2:$CA$216,77,0)</f>
        <v>-7.1000000000000004E-3</v>
      </c>
      <c r="H40" s="86">
        <f>VLOOKUP($A40,'Data shares'!$C:$FA,90)</f>
        <v>45425</v>
      </c>
      <c r="I40" s="86">
        <f>VLOOKUP($A40,'Data shares'!$C:$FA,92)</f>
        <v>5300</v>
      </c>
      <c r="J40" s="87">
        <f>VLOOKUP($A40,'Data shares'!$C:$FA,93)</f>
        <v>0.1321</v>
      </c>
      <c r="K40" s="86">
        <f>VLOOKUP($A40,'Data shares'!$C:$FA,94)</f>
        <v>30475</v>
      </c>
      <c r="L40" s="86">
        <f>VLOOKUP($A40,'Data shares'!$C:$FA,96)</f>
        <v>1650</v>
      </c>
      <c r="M40" s="87">
        <f>VLOOKUP($A40,'Data shares'!$C:$FA,97)</f>
        <v>5.7200000000000001E-2</v>
      </c>
      <c r="N40" s="86">
        <f>VLOOKUP($A40,'Data shares'!$C:$FA,78)</f>
        <v>232975</v>
      </c>
      <c r="O40" s="87">
        <f>VLOOKUP($A40,'Data shares'!$C:$FA,81)</f>
        <v>-8.6E-3</v>
      </c>
    </row>
    <row r="41" spans="1:15" x14ac:dyDescent="0.25">
      <c r="A41" s="100" t="str">
        <f>'OI(Value)'!A41</f>
        <v>BPCL</v>
      </c>
      <c r="B41" s="82">
        <f>VLOOKUP(A41,'Data shares'!$C$2:$CV$216,98,0)</f>
        <v>58157825</v>
      </c>
      <c r="C41" s="82">
        <f>VLOOKUP(A41,'Data shares'!$C$2:$CX$216,100,0)</f>
        <v>6100775</v>
      </c>
      <c r="D41" s="141">
        <f>VLOOKUP(A41,'Data shares'!$C$2:$CY$539,101,0)</f>
        <v>0.1172</v>
      </c>
      <c r="E41" s="86">
        <f>VLOOKUP($A41,'Data shares'!$C:$FA,74)</f>
        <v>35804775</v>
      </c>
      <c r="F41" s="86">
        <f>VLOOKUP($A41,'Data shares'!$C:$FA,76)</f>
        <v>1335100</v>
      </c>
      <c r="G41" s="87">
        <f>VLOOKUP(A41,'Data shares'!$C$2:$CA$216,77,0)</f>
        <v>3.8699999999999998E-2</v>
      </c>
      <c r="H41" s="86">
        <f>VLOOKUP($A41,'Data shares'!$C:$FA,90)</f>
        <v>11577450</v>
      </c>
      <c r="I41" s="86">
        <f>VLOOKUP($A41,'Data shares'!$C:$FA,92)</f>
        <v>1542475</v>
      </c>
      <c r="J41" s="87">
        <f>VLOOKUP($A41,'Data shares'!$C:$FA,93)</f>
        <v>0.1537</v>
      </c>
      <c r="K41" s="86">
        <f>VLOOKUP($A41,'Data shares'!$C:$FA,94)</f>
        <v>10775600</v>
      </c>
      <c r="L41" s="86">
        <f>VLOOKUP($A41,'Data shares'!$C:$FA,96)</f>
        <v>3223200</v>
      </c>
      <c r="M41" s="87">
        <f>VLOOKUP($A41,'Data shares'!$C:$FA,97)</f>
        <v>0.42680000000000001</v>
      </c>
      <c r="N41" s="86">
        <f>VLOOKUP($A41,'Data shares'!$C:$FA,78)</f>
        <v>35299175</v>
      </c>
      <c r="O41" s="87">
        <f>VLOOKUP($A41,'Data shares'!$C:$FA,81)</f>
        <v>3.5900000000000001E-2</v>
      </c>
    </row>
    <row r="42" spans="1:15" x14ac:dyDescent="0.25">
      <c r="A42" s="100" t="str">
        <f>'OI(Value)'!A42</f>
        <v>BRITANNIA</v>
      </c>
      <c r="B42" s="82">
        <f>VLOOKUP(A42,'Data shares'!$C$2:$CV$216,98,0)</f>
        <v>4793500</v>
      </c>
      <c r="C42" s="82">
        <f>VLOOKUP(A42,'Data shares'!$C$2:$CX$216,100,0)</f>
        <v>116000</v>
      </c>
      <c r="D42" s="141">
        <f>VLOOKUP(A42,'Data shares'!$C$2:$CY$539,101,0)</f>
        <v>2.4799999999999999E-2</v>
      </c>
      <c r="E42" s="86">
        <f>VLOOKUP($A42,'Data shares'!$C:$FA,74)</f>
        <v>3691125</v>
      </c>
      <c r="F42" s="86">
        <f>VLOOKUP($A42,'Data shares'!$C:$FA,76)</f>
        <v>-21875</v>
      </c>
      <c r="G42" s="87">
        <f>VLOOKUP(A42,'Data shares'!$C$2:$CA$216,77,0)</f>
        <v>-5.8999999999999999E-3</v>
      </c>
      <c r="H42" s="86">
        <f>VLOOKUP($A42,'Data shares'!$C:$FA,90)</f>
        <v>718375</v>
      </c>
      <c r="I42" s="86">
        <f>VLOOKUP($A42,'Data shares'!$C:$FA,92)</f>
        <v>89125</v>
      </c>
      <c r="J42" s="87">
        <f>VLOOKUP($A42,'Data shares'!$C:$FA,93)</f>
        <v>0.1416</v>
      </c>
      <c r="K42" s="86">
        <f>VLOOKUP($A42,'Data shares'!$C:$FA,94)</f>
        <v>384000</v>
      </c>
      <c r="L42" s="86">
        <f>VLOOKUP($A42,'Data shares'!$C:$FA,96)</f>
        <v>48750</v>
      </c>
      <c r="M42" s="87">
        <f>VLOOKUP($A42,'Data shares'!$C:$FA,97)</f>
        <v>0.1454</v>
      </c>
      <c r="N42" s="86">
        <f>VLOOKUP($A42,'Data shares'!$C:$FA,78)</f>
        <v>3676000</v>
      </c>
      <c r="O42" s="87">
        <f>VLOOKUP($A42,'Data shares'!$C:$FA,81)</f>
        <v>-6.1000000000000004E-3</v>
      </c>
    </row>
    <row r="43" spans="1:15" x14ac:dyDescent="0.25">
      <c r="A43" s="100" t="str">
        <f>'OI(Value)'!A43</f>
        <v>BSE</v>
      </c>
      <c r="B43" s="82">
        <f>VLOOKUP(A43,'Data shares'!$C$2:$CV$216,98,0)</f>
        <v>28260000</v>
      </c>
      <c r="C43" s="82">
        <f>VLOOKUP(A43,'Data shares'!$C$2:$CX$216,100,0)</f>
        <v>723375</v>
      </c>
      <c r="D43" s="141">
        <f>VLOOKUP(A43,'Data shares'!$C$2:$CY$539,101,0)</f>
        <v>2.63E-2</v>
      </c>
      <c r="E43" s="86">
        <f>VLOOKUP($A43,'Data shares'!$C:$FA,74)</f>
        <v>13899000</v>
      </c>
      <c r="F43" s="86">
        <f>VLOOKUP($A43,'Data shares'!$C:$FA,76)</f>
        <v>-306000</v>
      </c>
      <c r="G43" s="87">
        <f>VLOOKUP(A43,'Data shares'!$C$2:$CA$216,77,0)</f>
        <v>-2.1499999999999998E-2</v>
      </c>
      <c r="H43" s="86">
        <f>VLOOKUP($A43,'Data shares'!$C:$FA,90)</f>
        <v>7375500</v>
      </c>
      <c r="I43" s="86">
        <f>VLOOKUP($A43,'Data shares'!$C:$FA,92)</f>
        <v>396750</v>
      </c>
      <c r="J43" s="87">
        <f>VLOOKUP($A43,'Data shares'!$C:$FA,93)</f>
        <v>5.6899999999999999E-2</v>
      </c>
      <c r="K43" s="86">
        <f>VLOOKUP($A43,'Data shares'!$C:$FA,94)</f>
        <v>6985500</v>
      </c>
      <c r="L43" s="86">
        <f>VLOOKUP($A43,'Data shares'!$C:$FA,96)</f>
        <v>632625</v>
      </c>
      <c r="M43" s="87">
        <f>VLOOKUP($A43,'Data shares'!$C:$FA,97)</f>
        <v>9.9599999999999994E-2</v>
      </c>
      <c r="N43" s="86">
        <f>VLOOKUP($A43,'Data shares'!$C:$FA,78)</f>
        <v>13017000</v>
      </c>
      <c r="O43" s="87">
        <f>VLOOKUP($A43,'Data shares'!$C:$FA,81)</f>
        <v>-2.53E-2</v>
      </c>
    </row>
    <row r="44" spans="1:15" x14ac:dyDescent="0.25">
      <c r="A44" s="100" t="str">
        <f>'OI(Value)'!A44</f>
        <v>CAMS</v>
      </c>
      <c r="B44" s="82">
        <f>VLOOKUP(A44,'Data shares'!$C$2:$CV$216,98,0)</f>
        <v>2960850</v>
      </c>
      <c r="C44" s="82">
        <f>VLOOKUP(A44,'Data shares'!$C$2:$CX$216,100,0)</f>
        <v>157650</v>
      </c>
      <c r="D44" s="141">
        <f>VLOOKUP(A44,'Data shares'!$C$2:$CY$539,101,0)</f>
        <v>5.62E-2</v>
      </c>
      <c r="E44" s="86">
        <f>VLOOKUP($A44,'Data shares'!$C:$FA,74)</f>
        <v>2013600</v>
      </c>
      <c r="F44" s="86">
        <f>VLOOKUP($A44,'Data shares'!$C:$FA,76)</f>
        <v>53850</v>
      </c>
      <c r="G44" s="87">
        <f>VLOOKUP(A44,'Data shares'!$C$2:$CA$216,77,0)</f>
        <v>2.75E-2</v>
      </c>
      <c r="H44" s="86">
        <f>VLOOKUP($A44,'Data shares'!$C:$FA,90)</f>
        <v>549300</v>
      </c>
      <c r="I44" s="86">
        <f>VLOOKUP($A44,'Data shares'!$C:$FA,92)</f>
        <v>48750</v>
      </c>
      <c r="J44" s="87">
        <f>VLOOKUP($A44,'Data shares'!$C:$FA,93)</f>
        <v>9.74E-2</v>
      </c>
      <c r="K44" s="86">
        <f>VLOOKUP($A44,'Data shares'!$C:$FA,94)</f>
        <v>397950</v>
      </c>
      <c r="L44" s="86">
        <f>VLOOKUP($A44,'Data shares'!$C:$FA,96)</f>
        <v>55050</v>
      </c>
      <c r="M44" s="87">
        <f>VLOOKUP($A44,'Data shares'!$C:$FA,97)</f>
        <v>0.1605</v>
      </c>
      <c r="N44" s="86">
        <f>VLOOKUP($A44,'Data shares'!$C:$FA,78)</f>
        <v>1938750</v>
      </c>
      <c r="O44" s="87">
        <f>VLOOKUP($A44,'Data shares'!$C:$FA,81)</f>
        <v>2.7699999999999999E-2</v>
      </c>
    </row>
    <row r="45" spans="1:15" x14ac:dyDescent="0.25">
      <c r="A45" s="100" t="str">
        <f>'OI(Value)'!A45</f>
        <v>CANBK</v>
      </c>
      <c r="B45" s="82">
        <f>VLOOKUP(A45,'Data shares'!$C$2:$CV$216,98,0)</f>
        <v>413106750</v>
      </c>
      <c r="C45" s="82">
        <f>VLOOKUP(A45,'Data shares'!$C$2:$CX$216,100,0)</f>
        <v>12055500</v>
      </c>
      <c r="D45" s="141">
        <f>VLOOKUP(A45,'Data shares'!$C$2:$CY$539,101,0)</f>
        <v>3.0099999999999998E-2</v>
      </c>
      <c r="E45" s="86">
        <f>VLOOKUP($A45,'Data shares'!$C:$FA,74)</f>
        <v>273847500</v>
      </c>
      <c r="F45" s="86">
        <f>VLOOKUP($A45,'Data shares'!$C:$FA,76)</f>
        <v>3881250</v>
      </c>
      <c r="G45" s="87">
        <f>VLOOKUP(A45,'Data shares'!$C$2:$CA$216,77,0)</f>
        <v>1.44E-2</v>
      </c>
      <c r="H45" s="86">
        <f>VLOOKUP($A45,'Data shares'!$C:$FA,90)</f>
        <v>71806500</v>
      </c>
      <c r="I45" s="86">
        <f>VLOOKUP($A45,'Data shares'!$C:$FA,92)</f>
        <v>4401000</v>
      </c>
      <c r="J45" s="87">
        <f>VLOOKUP($A45,'Data shares'!$C:$FA,93)</f>
        <v>6.5299999999999997E-2</v>
      </c>
      <c r="K45" s="86">
        <f>VLOOKUP($A45,'Data shares'!$C:$FA,94)</f>
        <v>67452750</v>
      </c>
      <c r="L45" s="86">
        <f>VLOOKUP($A45,'Data shares'!$C:$FA,96)</f>
        <v>3773250</v>
      </c>
      <c r="M45" s="87">
        <f>VLOOKUP($A45,'Data shares'!$C:$FA,97)</f>
        <v>5.9299999999999999E-2</v>
      </c>
      <c r="N45" s="86">
        <f>VLOOKUP($A45,'Data shares'!$C:$FA,78)</f>
        <v>267894000</v>
      </c>
      <c r="O45" s="87">
        <f>VLOOKUP($A45,'Data shares'!$C:$FA,81)</f>
        <v>1.3100000000000001E-2</v>
      </c>
    </row>
    <row r="46" spans="1:15" x14ac:dyDescent="0.25">
      <c r="A46" s="100" t="str">
        <f>'OI(Value)'!A46</f>
        <v>CDSL</v>
      </c>
      <c r="B46" s="82">
        <f>VLOOKUP(A46,'Data shares'!$C$2:$CV$216,98,0)</f>
        <v>16349975</v>
      </c>
      <c r="C46" s="82">
        <f>VLOOKUP(A46,'Data shares'!$C$2:$CX$216,100,0)</f>
        <v>554800</v>
      </c>
      <c r="D46" s="141">
        <f>VLOOKUP(A46,'Data shares'!$C$2:$CY$539,101,0)</f>
        <v>3.5099999999999999E-2</v>
      </c>
      <c r="E46" s="86">
        <f>VLOOKUP($A46,'Data shares'!$C:$FA,74)</f>
        <v>8896750</v>
      </c>
      <c r="F46" s="86">
        <f>VLOOKUP($A46,'Data shares'!$C:$FA,76)</f>
        <v>99275</v>
      </c>
      <c r="G46" s="87">
        <f>VLOOKUP(A46,'Data shares'!$C$2:$CA$216,77,0)</f>
        <v>1.1299999999999999E-2</v>
      </c>
      <c r="H46" s="86">
        <f>VLOOKUP($A46,'Data shares'!$C:$FA,90)</f>
        <v>4322975</v>
      </c>
      <c r="I46" s="86">
        <f>VLOOKUP($A46,'Data shares'!$C:$FA,92)</f>
        <v>288325</v>
      </c>
      <c r="J46" s="87">
        <f>VLOOKUP($A46,'Data shares'!$C:$FA,93)</f>
        <v>7.1499999999999994E-2</v>
      </c>
      <c r="K46" s="86">
        <f>VLOOKUP($A46,'Data shares'!$C:$FA,94)</f>
        <v>3130250</v>
      </c>
      <c r="L46" s="86">
        <f>VLOOKUP($A46,'Data shares'!$C:$FA,96)</f>
        <v>167200</v>
      </c>
      <c r="M46" s="87">
        <f>VLOOKUP($A46,'Data shares'!$C:$FA,97)</f>
        <v>5.6399999999999999E-2</v>
      </c>
      <c r="N46" s="86">
        <f>VLOOKUP($A46,'Data shares'!$C:$FA,78)</f>
        <v>8310125</v>
      </c>
      <c r="O46" s="87">
        <f>VLOOKUP($A46,'Data shares'!$C:$FA,81)</f>
        <v>6.7000000000000002E-3</v>
      </c>
    </row>
    <row r="47" spans="1:15" x14ac:dyDescent="0.25">
      <c r="A47" s="100" t="str">
        <f>'OI(Value)'!A47</f>
        <v>CGPOWER</v>
      </c>
      <c r="B47" s="82">
        <f>VLOOKUP(A47,'Data shares'!$C$2:$CV$216,98,0)</f>
        <v>24307450</v>
      </c>
      <c r="C47" s="82">
        <f>VLOOKUP(A47,'Data shares'!$C$2:$CX$216,100,0)</f>
        <v>617950</v>
      </c>
      <c r="D47" s="141">
        <f>VLOOKUP(A47,'Data shares'!$C$2:$CY$539,101,0)</f>
        <v>2.6100000000000002E-2</v>
      </c>
      <c r="E47" s="86">
        <f>VLOOKUP($A47,'Data shares'!$C:$FA,74)</f>
        <v>17496400</v>
      </c>
      <c r="F47" s="86">
        <f>VLOOKUP($A47,'Data shares'!$C:$FA,76)</f>
        <v>192950</v>
      </c>
      <c r="G47" s="87">
        <f>VLOOKUP(A47,'Data shares'!$C$2:$CA$216,77,0)</f>
        <v>1.12E-2</v>
      </c>
      <c r="H47" s="86">
        <f>VLOOKUP($A47,'Data shares'!$C:$FA,90)</f>
        <v>4288250</v>
      </c>
      <c r="I47" s="86">
        <f>VLOOKUP($A47,'Data shares'!$C:$FA,92)</f>
        <v>310250</v>
      </c>
      <c r="J47" s="87">
        <f>VLOOKUP($A47,'Data shares'!$C:$FA,93)</f>
        <v>7.8E-2</v>
      </c>
      <c r="K47" s="86">
        <f>VLOOKUP($A47,'Data shares'!$C:$FA,94)</f>
        <v>2522800</v>
      </c>
      <c r="L47" s="86">
        <f>VLOOKUP($A47,'Data shares'!$C:$FA,96)</f>
        <v>114750</v>
      </c>
      <c r="M47" s="87">
        <f>VLOOKUP($A47,'Data shares'!$C:$FA,97)</f>
        <v>4.7699999999999999E-2</v>
      </c>
      <c r="N47" s="86">
        <f>VLOOKUP($A47,'Data shares'!$C:$FA,78)</f>
        <v>17181900</v>
      </c>
      <c r="O47" s="87">
        <f>VLOOKUP($A47,'Data shares'!$C:$FA,81)</f>
        <v>1.0200000000000001E-2</v>
      </c>
    </row>
    <row r="48" spans="1:15" x14ac:dyDescent="0.25">
      <c r="A48" s="100" t="str">
        <f>'OI(Value)'!A48</f>
        <v>CHOLAFIN</v>
      </c>
      <c r="B48" s="82">
        <f>VLOOKUP(A48,'Data shares'!$C$2:$CV$216,98,0)</f>
        <v>18148750</v>
      </c>
      <c r="C48" s="82">
        <f>VLOOKUP(A48,'Data shares'!$C$2:$CX$216,100,0)</f>
        <v>133750</v>
      </c>
      <c r="D48" s="141">
        <f>VLOOKUP(A48,'Data shares'!$C$2:$CY$539,101,0)</f>
        <v>7.4000000000000003E-3</v>
      </c>
      <c r="E48" s="86">
        <f>VLOOKUP($A48,'Data shares'!$C:$FA,74)</f>
        <v>14651875</v>
      </c>
      <c r="F48" s="86">
        <f>VLOOKUP($A48,'Data shares'!$C:$FA,76)</f>
        <v>-46875</v>
      </c>
      <c r="G48" s="87">
        <f>VLOOKUP(A48,'Data shares'!$C$2:$CA$216,77,0)</f>
        <v>-3.2000000000000002E-3</v>
      </c>
      <c r="H48" s="86">
        <f>VLOOKUP($A48,'Data shares'!$C:$FA,90)</f>
        <v>1927500</v>
      </c>
      <c r="I48" s="86">
        <f>VLOOKUP($A48,'Data shares'!$C:$FA,92)</f>
        <v>90000</v>
      </c>
      <c r="J48" s="87">
        <f>VLOOKUP($A48,'Data shares'!$C:$FA,93)</f>
        <v>4.9000000000000002E-2</v>
      </c>
      <c r="K48" s="86">
        <f>VLOOKUP($A48,'Data shares'!$C:$FA,94)</f>
        <v>1569375</v>
      </c>
      <c r="L48" s="86">
        <f>VLOOKUP($A48,'Data shares'!$C:$FA,96)</f>
        <v>90625</v>
      </c>
      <c r="M48" s="87">
        <f>VLOOKUP($A48,'Data shares'!$C:$FA,97)</f>
        <v>6.13E-2</v>
      </c>
      <c r="N48" s="86">
        <f>VLOOKUP($A48,'Data shares'!$C:$FA,78)</f>
        <v>14455000</v>
      </c>
      <c r="O48" s="87">
        <f>VLOOKUP($A48,'Data shares'!$C:$FA,81)</f>
        <v>-3.3999999999999998E-3</v>
      </c>
    </row>
    <row r="49" spans="1:15" x14ac:dyDescent="0.25">
      <c r="A49" s="100" t="str">
        <f>'OI(Value)'!A49</f>
        <v>CIPLA</v>
      </c>
      <c r="B49" s="82">
        <f>VLOOKUP(A49,'Data shares'!$C$2:$CV$216,98,0)</f>
        <v>15394875</v>
      </c>
      <c r="C49" s="82">
        <f>VLOOKUP(A49,'Data shares'!$C$2:$CX$216,100,0)</f>
        <v>564375</v>
      </c>
      <c r="D49" s="141">
        <f>VLOOKUP(A49,'Data shares'!$C$2:$CY$539,101,0)</f>
        <v>3.8100000000000002E-2</v>
      </c>
      <c r="E49" s="86">
        <f>VLOOKUP($A49,'Data shares'!$C:$FA,74)</f>
        <v>10716750</v>
      </c>
      <c r="F49" s="86">
        <f>VLOOKUP($A49,'Data shares'!$C:$FA,76)</f>
        <v>-60375</v>
      </c>
      <c r="G49" s="87">
        <f>VLOOKUP(A49,'Data shares'!$C$2:$CA$216,77,0)</f>
        <v>-5.5999999999999999E-3</v>
      </c>
      <c r="H49" s="86">
        <f>VLOOKUP($A49,'Data shares'!$C:$FA,90)</f>
        <v>2680125</v>
      </c>
      <c r="I49" s="86">
        <f>VLOOKUP($A49,'Data shares'!$C:$FA,92)</f>
        <v>555000</v>
      </c>
      <c r="J49" s="87">
        <f>VLOOKUP($A49,'Data shares'!$C:$FA,93)</f>
        <v>0.26119999999999999</v>
      </c>
      <c r="K49" s="86">
        <f>VLOOKUP($A49,'Data shares'!$C:$FA,94)</f>
        <v>1998000</v>
      </c>
      <c r="L49" s="86">
        <f>VLOOKUP($A49,'Data shares'!$C:$FA,96)</f>
        <v>69750</v>
      </c>
      <c r="M49" s="87">
        <f>VLOOKUP($A49,'Data shares'!$C:$FA,97)</f>
        <v>3.6200000000000003E-2</v>
      </c>
      <c r="N49" s="86">
        <f>VLOOKUP($A49,'Data shares'!$C:$FA,78)</f>
        <v>10635000</v>
      </c>
      <c r="O49" s="87">
        <f>VLOOKUP($A49,'Data shares'!$C:$FA,81)</f>
        <v>-7.0000000000000001E-3</v>
      </c>
    </row>
    <row r="50" spans="1:15" x14ac:dyDescent="0.25">
      <c r="A50" s="100" t="str">
        <f>'OI(Value)'!A50</f>
        <v>COALINDIA</v>
      </c>
      <c r="B50" s="82">
        <f>VLOOKUP(A50,'Data shares'!$C$2:$CV$216,98,0)</f>
        <v>112428000</v>
      </c>
      <c r="C50" s="82">
        <f>VLOOKUP(A50,'Data shares'!$C$2:$CX$216,100,0)</f>
        <v>4631850</v>
      </c>
      <c r="D50" s="141">
        <f>VLOOKUP(A50,'Data shares'!$C$2:$CY$539,101,0)</f>
        <v>4.2999999999999997E-2</v>
      </c>
      <c r="E50" s="86">
        <f>VLOOKUP($A50,'Data shares'!$C:$FA,74)</f>
        <v>70488900</v>
      </c>
      <c r="F50" s="86">
        <f>VLOOKUP($A50,'Data shares'!$C:$FA,76)</f>
        <v>631800</v>
      </c>
      <c r="G50" s="87">
        <f>VLOOKUP(A50,'Data shares'!$C$2:$CA$216,77,0)</f>
        <v>8.9999999999999993E-3</v>
      </c>
      <c r="H50" s="86">
        <f>VLOOKUP($A50,'Data shares'!$C:$FA,90)</f>
        <v>24421500</v>
      </c>
      <c r="I50" s="86">
        <f>VLOOKUP($A50,'Data shares'!$C:$FA,92)</f>
        <v>3057750</v>
      </c>
      <c r="J50" s="87">
        <f>VLOOKUP($A50,'Data shares'!$C:$FA,93)</f>
        <v>0.1431</v>
      </c>
      <c r="K50" s="86">
        <f>VLOOKUP($A50,'Data shares'!$C:$FA,94)</f>
        <v>17517600</v>
      </c>
      <c r="L50" s="86">
        <f>VLOOKUP($A50,'Data shares'!$C:$FA,96)</f>
        <v>942300</v>
      </c>
      <c r="M50" s="87">
        <f>VLOOKUP($A50,'Data shares'!$C:$FA,97)</f>
        <v>5.6800000000000003E-2</v>
      </c>
      <c r="N50" s="86">
        <f>VLOOKUP($A50,'Data shares'!$C:$FA,78)</f>
        <v>68724450</v>
      </c>
      <c r="O50" s="87">
        <f>VLOOKUP($A50,'Data shares'!$C:$FA,81)</f>
        <v>6.1999999999999998E-3</v>
      </c>
    </row>
    <row r="51" spans="1:15" x14ac:dyDescent="0.25">
      <c r="A51" s="100" t="str">
        <f>'OI(Value)'!A51</f>
        <v>COFORGE</v>
      </c>
      <c r="B51" s="82">
        <f>VLOOKUP(A51,'Data shares'!$C$2:$CV$216,98,0)</f>
        <v>19674000</v>
      </c>
      <c r="C51" s="82">
        <f>VLOOKUP(A51,'Data shares'!$C$2:$CX$216,100,0)</f>
        <v>-24000</v>
      </c>
      <c r="D51" s="141">
        <f>VLOOKUP(A51,'Data shares'!$C$2:$CY$539,101,0)</f>
        <v>-1.1999999999999999E-3</v>
      </c>
      <c r="E51" s="86">
        <f>VLOOKUP($A51,'Data shares'!$C:$FA,74)</f>
        <v>13149000</v>
      </c>
      <c r="F51" s="86">
        <f>VLOOKUP($A51,'Data shares'!$C:$FA,76)</f>
        <v>-247500</v>
      </c>
      <c r="G51" s="87">
        <f>VLOOKUP(A51,'Data shares'!$C$2:$CA$216,77,0)</f>
        <v>-1.8499999999999999E-2</v>
      </c>
      <c r="H51" s="86">
        <f>VLOOKUP($A51,'Data shares'!$C:$FA,90)</f>
        <v>4099875</v>
      </c>
      <c r="I51" s="86">
        <f>VLOOKUP($A51,'Data shares'!$C:$FA,92)</f>
        <v>157125</v>
      </c>
      <c r="J51" s="87">
        <f>VLOOKUP($A51,'Data shares'!$C:$FA,93)</f>
        <v>3.9899999999999998E-2</v>
      </c>
      <c r="K51" s="86">
        <f>VLOOKUP($A51,'Data shares'!$C:$FA,94)</f>
        <v>2425125</v>
      </c>
      <c r="L51" s="86">
        <f>VLOOKUP($A51,'Data shares'!$C:$FA,96)</f>
        <v>66375</v>
      </c>
      <c r="M51" s="87">
        <f>VLOOKUP($A51,'Data shares'!$C:$FA,97)</f>
        <v>2.81E-2</v>
      </c>
      <c r="N51" s="86">
        <f>VLOOKUP($A51,'Data shares'!$C:$FA,78)</f>
        <v>12891750</v>
      </c>
      <c r="O51" s="87">
        <f>VLOOKUP($A51,'Data shares'!$C:$FA,81)</f>
        <v>-1.84E-2</v>
      </c>
    </row>
    <row r="52" spans="1:15" x14ac:dyDescent="0.25">
      <c r="A52" s="100" t="str">
        <f>'OI(Value)'!A52</f>
        <v>COLPAL</v>
      </c>
      <c r="B52" s="82">
        <f>VLOOKUP(A52,'Data shares'!$C$2:$CV$216,98,0)</f>
        <v>7889625</v>
      </c>
      <c r="C52" s="82">
        <f>VLOOKUP(A52,'Data shares'!$C$2:$CX$216,100,0)</f>
        <v>13275</v>
      </c>
      <c r="D52" s="141">
        <f>VLOOKUP(A52,'Data shares'!$C$2:$CY$539,101,0)</f>
        <v>1.6999999999999999E-3</v>
      </c>
      <c r="E52" s="86">
        <f>VLOOKUP($A52,'Data shares'!$C:$FA,74)</f>
        <v>5258925</v>
      </c>
      <c r="F52" s="86">
        <f>VLOOKUP($A52,'Data shares'!$C:$FA,76)</f>
        <v>-34200</v>
      </c>
      <c r="G52" s="87">
        <f>VLOOKUP(A52,'Data shares'!$C$2:$CA$216,77,0)</f>
        <v>-6.4999999999999997E-3</v>
      </c>
      <c r="H52" s="86">
        <f>VLOOKUP($A52,'Data shares'!$C:$FA,90)</f>
        <v>1468575</v>
      </c>
      <c r="I52" s="86">
        <f>VLOOKUP($A52,'Data shares'!$C:$FA,92)</f>
        <v>20025</v>
      </c>
      <c r="J52" s="87">
        <f>VLOOKUP($A52,'Data shares'!$C:$FA,93)</f>
        <v>1.38E-2</v>
      </c>
      <c r="K52" s="86">
        <f>VLOOKUP($A52,'Data shares'!$C:$FA,94)</f>
        <v>1162125</v>
      </c>
      <c r="L52" s="86">
        <f>VLOOKUP($A52,'Data shares'!$C:$FA,96)</f>
        <v>27450</v>
      </c>
      <c r="M52" s="87">
        <f>VLOOKUP($A52,'Data shares'!$C:$FA,97)</f>
        <v>2.4199999999999999E-2</v>
      </c>
      <c r="N52" s="86">
        <f>VLOOKUP($A52,'Data shares'!$C:$FA,78)</f>
        <v>4827150</v>
      </c>
      <c r="O52" s="87">
        <f>VLOOKUP($A52,'Data shares'!$C:$FA,81)</f>
        <v>-8.8000000000000005E-3</v>
      </c>
    </row>
    <row r="53" spans="1:15" x14ac:dyDescent="0.25">
      <c r="A53" s="100" t="str">
        <f>'OI(Value)'!A53</f>
        <v>CONCOR</v>
      </c>
      <c r="B53" s="82">
        <f>VLOOKUP(A53,'Data shares'!$C$2:$CV$216,98,0)</f>
        <v>39386250</v>
      </c>
      <c r="C53" s="82">
        <f>VLOOKUP(A53,'Data shares'!$C$2:$CX$216,100,0)</f>
        <v>1576250</v>
      </c>
      <c r="D53" s="141">
        <f>VLOOKUP(A53,'Data shares'!$C$2:$CY$539,101,0)</f>
        <v>4.1700000000000001E-2</v>
      </c>
      <c r="E53" s="86">
        <f>VLOOKUP($A53,'Data shares'!$C:$FA,74)</f>
        <v>25516250</v>
      </c>
      <c r="F53" s="86">
        <f>VLOOKUP($A53,'Data shares'!$C:$FA,76)</f>
        <v>677500</v>
      </c>
      <c r="G53" s="87">
        <f>VLOOKUP(A53,'Data shares'!$C$2:$CA$216,77,0)</f>
        <v>2.7300000000000001E-2</v>
      </c>
      <c r="H53" s="86">
        <f>VLOOKUP($A53,'Data shares'!$C:$FA,90)</f>
        <v>7722500</v>
      </c>
      <c r="I53" s="86">
        <f>VLOOKUP($A53,'Data shares'!$C:$FA,92)</f>
        <v>622500</v>
      </c>
      <c r="J53" s="87">
        <f>VLOOKUP($A53,'Data shares'!$C:$FA,93)</f>
        <v>8.77E-2</v>
      </c>
      <c r="K53" s="86">
        <f>VLOOKUP($A53,'Data shares'!$C:$FA,94)</f>
        <v>6147500</v>
      </c>
      <c r="L53" s="86">
        <f>VLOOKUP($A53,'Data shares'!$C:$FA,96)</f>
        <v>276250</v>
      </c>
      <c r="M53" s="87">
        <f>VLOOKUP($A53,'Data shares'!$C:$FA,97)</f>
        <v>4.7100000000000003E-2</v>
      </c>
      <c r="N53" s="86">
        <f>VLOOKUP($A53,'Data shares'!$C:$FA,78)</f>
        <v>23790000</v>
      </c>
      <c r="O53" s="87">
        <f>VLOOKUP($A53,'Data shares'!$C:$FA,81)</f>
        <v>2.4E-2</v>
      </c>
    </row>
    <row r="54" spans="1:15" x14ac:dyDescent="0.25">
      <c r="A54" s="100" t="str">
        <f>'OI(Value)'!A54</f>
        <v>CROMPTON</v>
      </c>
      <c r="B54" s="82">
        <f>VLOOKUP(A54,'Data shares'!$C$2:$CV$216,98,0)</f>
        <v>69708600</v>
      </c>
      <c r="C54" s="82">
        <f>VLOOKUP(A54,'Data shares'!$C$2:$CX$216,100,0)</f>
        <v>4635000</v>
      </c>
      <c r="D54" s="141">
        <f>VLOOKUP(A54,'Data shares'!$C$2:$CY$539,101,0)</f>
        <v>7.1199999999999999E-2</v>
      </c>
      <c r="E54" s="86">
        <f>VLOOKUP($A54,'Data shares'!$C:$FA,74)</f>
        <v>49901400</v>
      </c>
      <c r="F54" s="86">
        <f>VLOOKUP($A54,'Data shares'!$C:$FA,76)</f>
        <v>1432800</v>
      </c>
      <c r="G54" s="87">
        <f>VLOOKUP(A54,'Data shares'!$C$2:$CA$216,77,0)</f>
        <v>2.9600000000000001E-2</v>
      </c>
      <c r="H54" s="86">
        <f>VLOOKUP($A54,'Data shares'!$C:$FA,90)</f>
        <v>11813400</v>
      </c>
      <c r="I54" s="86">
        <f>VLOOKUP($A54,'Data shares'!$C:$FA,92)</f>
        <v>2394000</v>
      </c>
      <c r="J54" s="87">
        <f>VLOOKUP($A54,'Data shares'!$C:$FA,93)</f>
        <v>0.25419999999999998</v>
      </c>
      <c r="K54" s="86">
        <f>VLOOKUP($A54,'Data shares'!$C:$FA,94)</f>
        <v>7993800</v>
      </c>
      <c r="L54" s="86">
        <f>VLOOKUP($A54,'Data shares'!$C:$FA,96)</f>
        <v>808200</v>
      </c>
      <c r="M54" s="87">
        <f>VLOOKUP($A54,'Data shares'!$C:$FA,97)</f>
        <v>0.1125</v>
      </c>
      <c r="N54" s="86">
        <f>VLOOKUP($A54,'Data shares'!$C:$FA,78)</f>
        <v>47797200</v>
      </c>
      <c r="O54" s="87">
        <f>VLOOKUP($A54,'Data shares'!$C:$FA,81)</f>
        <v>1.9300000000000001E-2</v>
      </c>
    </row>
    <row r="55" spans="1:15" x14ac:dyDescent="0.25">
      <c r="A55" s="100" t="str">
        <f>'OI(Value)'!A55</f>
        <v>CUMMINSIND</v>
      </c>
      <c r="B55" s="82">
        <f>VLOOKUP(A55,'Data shares'!$C$2:$CV$216,98,0)</f>
        <v>4047200</v>
      </c>
      <c r="C55" s="82">
        <f>VLOOKUP(A55,'Data shares'!$C$2:$CX$216,100,0)</f>
        <v>71800</v>
      </c>
      <c r="D55" s="141">
        <f>VLOOKUP(A55,'Data shares'!$C$2:$CY$539,101,0)</f>
        <v>1.8100000000000002E-2</v>
      </c>
      <c r="E55" s="86">
        <f>VLOOKUP($A55,'Data shares'!$C:$FA,74)</f>
        <v>3015000</v>
      </c>
      <c r="F55" s="86">
        <f>VLOOKUP($A55,'Data shares'!$C:$FA,76)</f>
        <v>-2600</v>
      </c>
      <c r="G55" s="87">
        <f>VLOOKUP(A55,'Data shares'!$C$2:$CA$216,77,0)</f>
        <v>-8.9999999999999998E-4</v>
      </c>
      <c r="H55" s="86">
        <f>VLOOKUP($A55,'Data shares'!$C:$FA,90)</f>
        <v>579800</v>
      </c>
      <c r="I55" s="86">
        <f>VLOOKUP($A55,'Data shares'!$C:$FA,92)</f>
        <v>62200</v>
      </c>
      <c r="J55" s="87">
        <f>VLOOKUP($A55,'Data shares'!$C:$FA,93)</f>
        <v>0.1202</v>
      </c>
      <c r="K55" s="86">
        <f>VLOOKUP($A55,'Data shares'!$C:$FA,94)</f>
        <v>452400</v>
      </c>
      <c r="L55" s="86">
        <f>VLOOKUP($A55,'Data shares'!$C:$FA,96)</f>
        <v>12200</v>
      </c>
      <c r="M55" s="87">
        <f>VLOOKUP($A55,'Data shares'!$C:$FA,97)</f>
        <v>2.7699999999999999E-2</v>
      </c>
      <c r="N55" s="86">
        <f>VLOOKUP($A55,'Data shares'!$C:$FA,78)</f>
        <v>2985600</v>
      </c>
      <c r="O55" s="87">
        <f>VLOOKUP($A55,'Data shares'!$C:$FA,81)</f>
        <v>-1.1999999999999999E-3</v>
      </c>
    </row>
    <row r="56" spans="1:15" x14ac:dyDescent="0.25">
      <c r="A56" s="100" t="str">
        <f>'OI(Value)'!A56</f>
        <v>CYIENT</v>
      </c>
      <c r="B56" s="82">
        <f>VLOOKUP(A56,'Data shares'!$C$2:$CV$216,98,0)</f>
        <v>5790200</v>
      </c>
      <c r="C56" s="82">
        <f>VLOOKUP(A56,'Data shares'!$C$2:$CX$216,100,0)</f>
        <v>504050</v>
      </c>
      <c r="D56" s="141">
        <f>VLOOKUP(A56,'Data shares'!$C$2:$CY$539,101,0)</f>
        <v>9.5399999999999999E-2</v>
      </c>
      <c r="E56" s="86">
        <f>VLOOKUP($A56,'Data shares'!$C:$FA,74)</f>
        <v>3549175</v>
      </c>
      <c r="F56" s="86">
        <f>VLOOKUP($A56,'Data shares'!$C:$FA,76)</f>
        <v>269875</v>
      </c>
      <c r="G56" s="87">
        <f>VLOOKUP(A56,'Data shares'!$C$2:$CA$216,77,0)</f>
        <v>8.2299999999999998E-2</v>
      </c>
      <c r="H56" s="86">
        <f>VLOOKUP($A56,'Data shares'!$C:$FA,90)</f>
        <v>1390600</v>
      </c>
      <c r="I56" s="86">
        <f>VLOOKUP($A56,'Data shares'!$C:$FA,92)</f>
        <v>141525</v>
      </c>
      <c r="J56" s="87">
        <f>VLOOKUP($A56,'Data shares'!$C:$FA,93)</f>
        <v>0.1133</v>
      </c>
      <c r="K56" s="86">
        <f>VLOOKUP($A56,'Data shares'!$C:$FA,94)</f>
        <v>850425</v>
      </c>
      <c r="L56" s="86">
        <f>VLOOKUP($A56,'Data shares'!$C:$FA,96)</f>
        <v>92650</v>
      </c>
      <c r="M56" s="87">
        <f>VLOOKUP($A56,'Data shares'!$C:$FA,97)</f>
        <v>0.12230000000000001</v>
      </c>
      <c r="N56" s="86">
        <f>VLOOKUP($A56,'Data shares'!$C:$FA,78)</f>
        <v>3292900</v>
      </c>
      <c r="O56" s="87">
        <f>VLOOKUP($A56,'Data shares'!$C:$FA,81)</f>
        <v>8.4500000000000006E-2</v>
      </c>
    </row>
    <row r="57" spans="1:15" x14ac:dyDescent="0.25">
      <c r="A57" s="100" t="str">
        <f>'OI(Value)'!A57</f>
        <v>DABUR</v>
      </c>
      <c r="B57" s="82">
        <f>VLOOKUP(A57,'Data shares'!$C$2:$CV$216,98,0)</f>
        <v>44995000</v>
      </c>
      <c r="C57" s="82">
        <f>VLOOKUP(A57,'Data shares'!$C$2:$CX$216,100,0)</f>
        <v>1902500</v>
      </c>
      <c r="D57" s="141">
        <f>VLOOKUP(A57,'Data shares'!$C$2:$CY$539,101,0)</f>
        <v>4.41E-2</v>
      </c>
      <c r="E57" s="86">
        <f>VLOOKUP($A57,'Data shares'!$C:$FA,74)</f>
        <v>26901250</v>
      </c>
      <c r="F57" s="86">
        <f>VLOOKUP($A57,'Data shares'!$C:$FA,76)</f>
        <v>557500</v>
      </c>
      <c r="G57" s="87">
        <f>VLOOKUP(A57,'Data shares'!$C$2:$CA$216,77,0)</f>
        <v>2.12E-2</v>
      </c>
      <c r="H57" s="86">
        <f>VLOOKUP($A57,'Data shares'!$C:$FA,90)</f>
        <v>11947500</v>
      </c>
      <c r="I57" s="86">
        <f>VLOOKUP($A57,'Data shares'!$C:$FA,92)</f>
        <v>1117500</v>
      </c>
      <c r="J57" s="87">
        <f>VLOOKUP($A57,'Data shares'!$C:$FA,93)</f>
        <v>0.1032</v>
      </c>
      <c r="K57" s="86">
        <f>VLOOKUP($A57,'Data shares'!$C:$FA,94)</f>
        <v>6146250</v>
      </c>
      <c r="L57" s="86">
        <f>VLOOKUP($A57,'Data shares'!$C:$FA,96)</f>
        <v>227500</v>
      </c>
      <c r="M57" s="87">
        <f>VLOOKUP($A57,'Data shares'!$C:$FA,97)</f>
        <v>3.8399999999999997E-2</v>
      </c>
      <c r="N57" s="86">
        <f>VLOOKUP($A57,'Data shares'!$C:$FA,78)</f>
        <v>25713750</v>
      </c>
      <c r="O57" s="87">
        <f>VLOOKUP($A57,'Data shares'!$C:$FA,81)</f>
        <v>1.8599999999999998E-2</v>
      </c>
    </row>
    <row r="58" spans="1:15" x14ac:dyDescent="0.25">
      <c r="A58" s="100" t="str">
        <f>'OI(Value)'!A58</f>
        <v>DALBHARAT</v>
      </c>
      <c r="B58" s="82">
        <f>VLOOKUP(A58,'Data shares'!$C$2:$CV$216,98,0)</f>
        <v>2843750</v>
      </c>
      <c r="C58" s="82">
        <f>VLOOKUP(A58,'Data shares'!$C$2:$CX$216,100,0)</f>
        <v>56550</v>
      </c>
      <c r="D58" s="141">
        <f>VLOOKUP(A58,'Data shares'!$C$2:$CY$539,101,0)</f>
        <v>2.0299999999999999E-2</v>
      </c>
      <c r="E58" s="86">
        <f>VLOOKUP($A58,'Data shares'!$C:$FA,74)</f>
        <v>2404025</v>
      </c>
      <c r="F58" s="86">
        <f>VLOOKUP($A58,'Data shares'!$C:$FA,76)</f>
        <v>29575</v>
      </c>
      <c r="G58" s="87">
        <f>VLOOKUP(A58,'Data shares'!$C$2:$CA$216,77,0)</f>
        <v>1.2500000000000001E-2</v>
      </c>
      <c r="H58" s="86">
        <f>VLOOKUP($A58,'Data shares'!$C:$FA,90)</f>
        <v>292175</v>
      </c>
      <c r="I58" s="86">
        <f>VLOOKUP($A58,'Data shares'!$C:$FA,92)</f>
        <v>20150</v>
      </c>
      <c r="J58" s="87">
        <f>VLOOKUP($A58,'Data shares'!$C:$FA,93)</f>
        <v>7.4099999999999999E-2</v>
      </c>
      <c r="K58" s="86">
        <f>VLOOKUP($A58,'Data shares'!$C:$FA,94)</f>
        <v>147550</v>
      </c>
      <c r="L58" s="86">
        <f>VLOOKUP($A58,'Data shares'!$C:$FA,96)</f>
        <v>6825</v>
      </c>
      <c r="M58" s="87">
        <f>VLOOKUP($A58,'Data shares'!$C:$FA,97)</f>
        <v>4.8500000000000001E-2</v>
      </c>
      <c r="N58" s="86">
        <f>VLOOKUP($A58,'Data shares'!$C:$FA,78)</f>
        <v>2380300</v>
      </c>
      <c r="O58" s="87">
        <f>VLOOKUP($A58,'Data shares'!$C:$FA,81)</f>
        <v>1.15E-2</v>
      </c>
    </row>
    <row r="59" spans="1:15" x14ac:dyDescent="0.25">
      <c r="A59" s="100" t="str">
        <f>'OI(Value)'!A59</f>
        <v>DELHIVERY</v>
      </c>
      <c r="B59" s="82">
        <f>VLOOKUP(A59,'Data shares'!$C$2:$CV$216,98,0)</f>
        <v>29303150</v>
      </c>
      <c r="C59" s="82">
        <f>VLOOKUP(A59,'Data shares'!$C$2:$CX$216,100,0)</f>
        <v>3842900</v>
      </c>
      <c r="D59" s="141">
        <f>VLOOKUP(A59,'Data shares'!$C$2:$CY$539,101,0)</f>
        <v>0.15090000000000001</v>
      </c>
      <c r="E59" s="86">
        <f>VLOOKUP($A59,'Data shares'!$C:$FA,74)</f>
        <v>17981950</v>
      </c>
      <c r="F59" s="86">
        <f>VLOOKUP($A59,'Data shares'!$C:$FA,76)</f>
        <v>1743000</v>
      </c>
      <c r="G59" s="87">
        <f>VLOOKUP(A59,'Data shares'!$C$2:$CA$216,77,0)</f>
        <v>0.10730000000000001</v>
      </c>
      <c r="H59" s="86">
        <f>VLOOKUP($A59,'Data shares'!$C:$FA,90)</f>
        <v>6444950</v>
      </c>
      <c r="I59" s="86">
        <f>VLOOKUP($A59,'Data shares'!$C:$FA,92)</f>
        <v>545725</v>
      </c>
      <c r="J59" s="87">
        <f>VLOOKUP($A59,'Data shares'!$C:$FA,93)</f>
        <v>9.2499999999999999E-2</v>
      </c>
      <c r="K59" s="86">
        <f>VLOOKUP($A59,'Data shares'!$C:$FA,94)</f>
        <v>4876250</v>
      </c>
      <c r="L59" s="86">
        <f>VLOOKUP($A59,'Data shares'!$C:$FA,96)</f>
        <v>1554175</v>
      </c>
      <c r="M59" s="87">
        <f>VLOOKUP($A59,'Data shares'!$C:$FA,97)</f>
        <v>0.46779999999999999</v>
      </c>
      <c r="N59" s="86">
        <f>VLOOKUP($A59,'Data shares'!$C:$FA,78)</f>
        <v>17515075</v>
      </c>
      <c r="O59" s="87">
        <f>VLOOKUP($A59,'Data shares'!$C:$FA,81)</f>
        <v>0.11070000000000001</v>
      </c>
    </row>
    <row r="60" spans="1:15" x14ac:dyDescent="0.25">
      <c r="A60" s="100" t="str">
        <f>'OI(Value)'!A60</f>
        <v>DIVISLAB</v>
      </c>
      <c r="B60" s="82">
        <f>VLOOKUP(A60,'Data shares'!$C$2:$CV$216,98,0)</f>
        <v>3929400</v>
      </c>
      <c r="C60" s="82">
        <f>VLOOKUP(A60,'Data shares'!$C$2:$CX$216,100,0)</f>
        <v>52300</v>
      </c>
      <c r="D60" s="141">
        <f>VLOOKUP(A60,'Data shares'!$C$2:$CY$539,101,0)</f>
        <v>1.35E-2</v>
      </c>
      <c r="E60" s="86">
        <f>VLOOKUP($A60,'Data shares'!$C:$FA,74)</f>
        <v>2718000</v>
      </c>
      <c r="F60" s="86">
        <f>VLOOKUP($A60,'Data shares'!$C:$FA,76)</f>
        <v>1500</v>
      </c>
      <c r="G60" s="87">
        <f>VLOOKUP(A60,'Data shares'!$C$2:$CA$216,77,0)</f>
        <v>5.9999999999999995E-4</v>
      </c>
      <c r="H60" s="86">
        <f>VLOOKUP($A60,'Data shares'!$C:$FA,90)</f>
        <v>755300</v>
      </c>
      <c r="I60" s="86">
        <f>VLOOKUP($A60,'Data shares'!$C:$FA,92)</f>
        <v>50400</v>
      </c>
      <c r="J60" s="87">
        <f>VLOOKUP($A60,'Data shares'!$C:$FA,93)</f>
        <v>7.1499999999999994E-2</v>
      </c>
      <c r="K60" s="86">
        <f>VLOOKUP($A60,'Data shares'!$C:$FA,94)</f>
        <v>456100</v>
      </c>
      <c r="L60" s="86">
        <f>VLOOKUP($A60,'Data shares'!$C:$FA,96)</f>
        <v>400</v>
      </c>
      <c r="M60" s="87">
        <f>VLOOKUP($A60,'Data shares'!$C:$FA,97)</f>
        <v>8.9999999999999998E-4</v>
      </c>
      <c r="N60" s="86">
        <f>VLOOKUP($A60,'Data shares'!$C:$FA,78)</f>
        <v>2666400</v>
      </c>
      <c r="O60" s="87">
        <f>VLOOKUP($A60,'Data shares'!$C:$FA,81)</f>
        <v>-2.7000000000000001E-3</v>
      </c>
    </row>
    <row r="61" spans="1:15" x14ac:dyDescent="0.25">
      <c r="A61" s="100" t="str">
        <f>'OI(Value)'!A61</f>
        <v>DIXON</v>
      </c>
      <c r="B61" s="82">
        <f>VLOOKUP(A61,'Data shares'!$C$2:$CV$216,98,0)</f>
        <v>3183200</v>
      </c>
      <c r="C61" s="82">
        <f>VLOOKUP(A61,'Data shares'!$C$2:$CX$216,100,0)</f>
        <v>-93900</v>
      </c>
      <c r="D61" s="141">
        <f>VLOOKUP(A61,'Data shares'!$C$2:$CY$539,101,0)</f>
        <v>-2.87E-2</v>
      </c>
      <c r="E61" s="86">
        <f>VLOOKUP($A61,'Data shares'!$C:$FA,74)</f>
        <v>1633650</v>
      </c>
      <c r="F61" s="86">
        <f>VLOOKUP($A61,'Data shares'!$C:$FA,76)</f>
        <v>4250</v>
      </c>
      <c r="G61" s="87">
        <f>VLOOKUP(A61,'Data shares'!$C$2:$CA$216,77,0)</f>
        <v>2.5999999999999999E-3</v>
      </c>
      <c r="H61" s="86">
        <f>VLOOKUP($A61,'Data shares'!$C:$FA,90)</f>
        <v>880600</v>
      </c>
      <c r="I61" s="86">
        <f>VLOOKUP($A61,'Data shares'!$C:$FA,92)</f>
        <v>-138050</v>
      </c>
      <c r="J61" s="87">
        <f>VLOOKUP($A61,'Data shares'!$C:$FA,93)</f>
        <v>-0.13550000000000001</v>
      </c>
      <c r="K61" s="86">
        <f>VLOOKUP($A61,'Data shares'!$C:$FA,94)</f>
        <v>668950</v>
      </c>
      <c r="L61" s="86">
        <f>VLOOKUP($A61,'Data shares'!$C:$FA,96)</f>
        <v>39900</v>
      </c>
      <c r="M61" s="87">
        <f>VLOOKUP($A61,'Data shares'!$C:$FA,97)</f>
        <v>6.3399999999999998E-2</v>
      </c>
      <c r="N61" s="86">
        <f>VLOOKUP($A61,'Data shares'!$C:$FA,78)</f>
        <v>1574500</v>
      </c>
      <c r="O61" s="87">
        <f>VLOOKUP($A61,'Data shares'!$C:$FA,81)</f>
        <v>-5.7000000000000002E-3</v>
      </c>
    </row>
    <row r="62" spans="1:15" x14ac:dyDescent="0.25">
      <c r="A62" s="100" t="str">
        <f>'OI(Value)'!A62</f>
        <v>DLF</v>
      </c>
      <c r="B62" s="82">
        <f>VLOOKUP(A62,'Data shares'!$C$2:$CV$216,98,0)</f>
        <v>68841300</v>
      </c>
      <c r="C62" s="82">
        <f>VLOOKUP(A62,'Data shares'!$C$2:$CX$216,100,0)</f>
        <v>720225</v>
      </c>
      <c r="D62" s="141">
        <f>VLOOKUP(A62,'Data shares'!$C$2:$CY$539,101,0)</f>
        <v>1.06E-2</v>
      </c>
      <c r="E62" s="86">
        <f>VLOOKUP($A62,'Data shares'!$C:$FA,74)</f>
        <v>43782750</v>
      </c>
      <c r="F62" s="86">
        <f>VLOOKUP($A62,'Data shares'!$C:$FA,76)</f>
        <v>-193875</v>
      </c>
      <c r="G62" s="87">
        <f>VLOOKUP(A62,'Data shares'!$C$2:$CA$216,77,0)</f>
        <v>-4.4000000000000003E-3</v>
      </c>
      <c r="H62" s="86">
        <f>VLOOKUP($A62,'Data shares'!$C:$FA,90)</f>
        <v>15065325</v>
      </c>
      <c r="I62" s="86">
        <f>VLOOKUP($A62,'Data shares'!$C:$FA,92)</f>
        <v>698775</v>
      </c>
      <c r="J62" s="87">
        <f>VLOOKUP($A62,'Data shares'!$C:$FA,93)</f>
        <v>4.8599999999999997E-2</v>
      </c>
      <c r="K62" s="86">
        <f>VLOOKUP($A62,'Data shares'!$C:$FA,94)</f>
        <v>9993225</v>
      </c>
      <c r="L62" s="86">
        <f>VLOOKUP($A62,'Data shares'!$C:$FA,96)</f>
        <v>215325</v>
      </c>
      <c r="M62" s="87">
        <f>VLOOKUP($A62,'Data shares'!$C:$FA,97)</f>
        <v>2.1999999999999999E-2</v>
      </c>
      <c r="N62" s="86">
        <f>VLOOKUP($A62,'Data shares'!$C:$FA,78)</f>
        <v>42471000</v>
      </c>
      <c r="O62" s="87">
        <f>VLOOKUP($A62,'Data shares'!$C:$FA,81)</f>
        <v>-5.4999999999999997E-3</v>
      </c>
    </row>
    <row r="63" spans="1:15" x14ac:dyDescent="0.25">
      <c r="A63" s="100" t="str">
        <f>'OI(Value)'!A63</f>
        <v>DMART</v>
      </c>
      <c r="B63" s="82">
        <f>VLOOKUP(A63,'Data shares'!$C$2:$CV$216,98,0)</f>
        <v>8674650</v>
      </c>
      <c r="C63" s="82">
        <f>VLOOKUP(A63,'Data shares'!$C$2:$CX$216,100,0)</f>
        <v>898500</v>
      </c>
      <c r="D63" s="141">
        <f>VLOOKUP(A63,'Data shares'!$C$2:$CY$539,101,0)</f>
        <v>0.11550000000000001</v>
      </c>
      <c r="E63" s="86">
        <f>VLOOKUP($A63,'Data shares'!$C:$FA,74)</f>
        <v>5939850</v>
      </c>
      <c r="F63" s="86">
        <f>VLOOKUP($A63,'Data shares'!$C:$FA,76)</f>
        <v>6300</v>
      </c>
      <c r="G63" s="87">
        <f>VLOOKUP(A63,'Data shares'!$C$2:$CA$216,77,0)</f>
        <v>1.1000000000000001E-3</v>
      </c>
      <c r="H63" s="86">
        <f>VLOOKUP($A63,'Data shares'!$C:$FA,90)</f>
        <v>1690650</v>
      </c>
      <c r="I63" s="86">
        <f>VLOOKUP($A63,'Data shares'!$C:$FA,92)</f>
        <v>587250</v>
      </c>
      <c r="J63" s="87">
        <f>VLOOKUP($A63,'Data shares'!$C:$FA,93)</f>
        <v>0.53220000000000001</v>
      </c>
      <c r="K63" s="86">
        <f>VLOOKUP($A63,'Data shares'!$C:$FA,94)</f>
        <v>1044150</v>
      </c>
      <c r="L63" s="86">
        <f>VLOOKUP($A63,'Data shares'!$C:$FA,96)</f>
        <v>304950</v>
      </c>
      <c r="M63" s="87">
        <f>VLOOKUP($A63,'Data shares'!$C:$FA,97)</f>
        <v>0.41249999999999998</v>
      </c>
      <c r="N63" s="86">
        <f>VLOOKUP($A63,'Data shares'!$C:$FA,78)</f>
        <v>5856300</v>
      </c>
      <c r="O63" s="87">
        <f>VLOOKUP($A63,'Data shares'!$C:$FA,81)</f>
        <v>-3.8999999999999998E-3</v>
      </c>
    </row>
    <row r="64" spans="1:15" x14ac:dyDescent="0.25">
      <c r="A64" s="100" t="str">
        <f>'OI(Value)'!A64</f>
        <v>DRREDDY</v>
      </c>
      <c r="B64" s="82">
        <f>VLOOKUP(A64,'Data shares'!$C$2:$CV$216,98,0)</f>
        <v>18621250</v>
      </c>
      <c r="C64" s="82">
        <f>VLOOKUP(A64,'Data shares'!$C$2:$CX$216,100,0)</f>
        <v>920625</v>
      </c>
      <c r="D64" s="141">
        <f>VLOOKUP(A64,'Data shares'!$C$2:$CY$539,101,0)</f>
        <v>5.1999999999999998E-2</v>
      </c>
      <c r="E64" s="86">
        <f>VLOOKUP($A64,'Data shares'!$C:$FA,74)</f>
        <v>12178125</v>
      </c>
      <c r="F64" s="86">
        <f>VLOOKUP($A64,'Data shares'!$C:$FA,76)</f>
        <v>110000</v>
      </c>
      <c r="G64" s="87">
        <f>VLOOKUP(A64,'Data shares'!$C$2:$CA$216,77,0)</f>
        <v>9.1000000000000004E-3</v>
      </c>
      <c r="H64" s="86">
        <f>VLOOKUP($A64,'Data shares'!$C:$FA,90)</f>
        <v>3910000</v>
      </c>
      <c r="I64" s="86">
        <f>VLOOKUP($A64,'Data shares'!$C:$FA,92)</f>
        <v>725625</v>
      </c>
      <c r="J64" s="87">
        <f>VLOOKUP($A64,'Data shares'!$C:$FA,93)</f>
        <v>0.22789999999999999</v>
      </c>
      <c r="K64" s="86">
        <f>VLOOKUP($A64,'Data shares'!$C:$FA,94)</f>
        <v>2533125</v>
      </c>
      <c r="L64" s="86">
        <f>VLOOKUP($A64,'Data shares'!$C:$FA,96)</f>
        <v>85000</v>
      </c>
      <c r="M64" s="87">
        <f>VLOOKUP($A64,'Data shares'!$C:$FA,97)</f>
        <v>3.4700000000000002E-2</v>
      </c>
      <c r="N64" s="86">
        <f>VLOOKUP($A64,'Data shares'!$C:$FA,78)</f>
        <v>12016875</v>
      </c>
      <c r="O64" s="87">
        <f>VLOOKUP($A64,'Data shares'!$C:$FA,81)</f>
        <v>7.0000000000000001E-3</v>
      </c>
    </row>
    <row r="65" spans="1:15" x14ac:dyDescent="0.25">
      <c r="A65" s="100" t="str">
        <f>'OI(Value)'!A65</f>
        <v>EICHERMOT</v>
      </c>
      <c r="B65" s="82">
        <f>VLOOKUP(A65,'Data shares'!$C$2:$CV$216,98,0)</f>
        <v>6787900</v>
      </c>
      <c r="C65" s="82">
        <f>VLOOKUP(A65,'Data shares'!$C$2:$CX$216,100,0)</f>
        <v>-42875</v>
      </c>
      <c r="D65" s="141">
        <f>VLOOKUP(A65,'Data shares'!$C$2:$CY$539,101,0)</f>
        <v>-6.3E-3</v>
      </c>
      <c r="E65" s="86">
        <f>VLOOKUP($A65,'Data shares'!$C:$FA,74)</f>
        <v>3650325</v>
      </c>
      <c r="F65" s="86">
        <f>VLOOKUP($A65,'Data shares'!$C:$FA,76)</f>
        <v>-161700</v>
      </c>
      <c r="G65" s="87">
        <f>VLOOKUP(A65,'Data shares'!$C$2:$CA$216,77,0)</f>
        <v>-4.24E-2</v>
      </c>
      <c r="H65" s="86">
        <f>VLOOKUP($A65,'Data shares'!$C:$FA,90)</f>
        <v>1783250</v>
      </c>
      <c r="I65" s="86">
        <f>VLOOKUP($A65,'Data shares'!$C:$FA,92)</f>
        <v>145950</v>
      </c>
      <c r="J65" s="87">
        <f>VLOOKUP($A65,'Data shares'!$C:$FA,93)</f>
        <v>8.9099999999999999E-2</v>
      </c>
      <c r="K65" s="86">
        <f>VLOOKUP($A65,'Data shares'!$C:$FA,94)</f>
        <v>1354325</v>
      </c>
      <c r="L65" s="86">
        <f>VLOOKUP($A65,'Data shares'!$C:$FA,96)</f>
        <v>-27125</v>
      </c>
      <c r="M65" s="87">
        <f>VLOOKUP($A65,'Data shares'!$C:$FA,97)</f>
        <v>-1.9599999999999999E-2</v>
      </c>
      <c r="N65" s="86">
        <f>VLOOKUP($A65,'Data shares'!$C:$FA,78)</f>
        <v>3589075</v>
      </c>
      <c r="O65" s="87">
        <f>VLOOKUP($A65,'Data shares'!$C:$FA,81)</f>
        <v>-4.1000000000000002E-2</v>
      </c>
    </row>
    <row r="66" spans="1:15" x14ac:dyDescent="0.25">
      <c r="A66" s="100" t="str">
        <f>'OI(Value)'!A66</f>
        <v>ETERNAL</v>
      </c>
      <c r="B66" s="82">
        <f>VLOOKUP(A66,'Data shares'!$C$2:$CV$216,98,0)</f>
        <v>337758850</v>
      </c>
      <c r="C66" s="82">
        <f>VLOOKUP(A66,'Data shares'!$C$2:$CX$216,100,0)</f>
        <v>2231000</v>
      </c>
      <c r="D66" s="141">
        <f>VLOOKUP(A66,'Data shares'!$C$2:$CY$539,101,0)</f>
        <v>6.6E-3</v>
      </c>
      <c r="E66" s="86">
        <f>VLOOKUP($A66,'Data shares'!$C:$FA,74)</f>
        <v>253186975</v>
      </c>
      <c r="F66" s="86">
        <f>VLOOKUP($A66,'Data shares'!$C:$FA,76)</f>
        <v>417100</v>
      </c>
      <c r="G66" s="87">
        <f>VLOOKUP(A66,'Data shares'!$C$2:$CA$216,77,0)</f>
        <v>1.6999999999999999E-3</v>
      </c>
      <c r="H66" s="86">
        <f>VLOOKUP($A66,'Data shares'!$C:$FA,90)</f>
        <v>48892850</v>
      </c>
      <c r="I66" s="86">
        <f>VLOOKUP($A66,'Data shares'!$C:$FA,92)</f>
        <v>26675</v>
      </c>
      <c r="J66" s="87">
        <f>VLOOKUP($A66,'Data shares'!$C:$FA,93)</f>
        <v>5.0000000000000001E-4</v>
      </c>
      <c r="K66" s="86">
        <f>VLOOKUP($A66,'Data shares'!$C:$FA,94)</f>
        <v>35679025</v>
      </c>
      <c r="L66" s="86">
        <f>VLOOKUP($A66,'Data shares'!$C:$FA,96)</f>
        <v>1787225</v>
      </c>
      <c r="M66" s="87">
        <f>VLOOKUP($A66,'Data shares'!$C:$FA,97)</f>
        <v>5.2699999999999997E-2</v>
      </c>
      <c r="N66" s="86">
        <f>VLOOKUP($A66,'Data shares'!$C:$FA,78)</f>
        <v>250638300</v>
      </c>
      <c r="O66" s="87">
        <f>VLOOKUP($A66,'Data shares'!$C:$FA,81)</f>
        <v>5.9999999999999995E-4</v>
      </c>
    </row>
    <row r="67" spans="1:15" x14ac:dyDescent="0.25">
      <c r="A67" s="100" t="str">
        <f>'OI(Value)'!A67</f>
        <v>EXIDEIND</v>
      </c>
      <c r="B67" s="82">
        <f>VLOOKUP(A67,'Data shares'!$C$2:$CV$216,98,0)</f>
        <v>45925200</v>
      </c>
      <c r="C67" s="82">
        <f>VLOOKUP(A67,'Data shares'!$C$2:$CX$216,100,0)</f>
        <v>491400</v>
      </c>
      <c r="D67" s="141">
        <f>VLOOKUP(A67,'Data shares'!$C$2:$CY$539,101,0)</f>
        <v>1.0800000000000001E-2</v>
      </c>
      <c r="E67" s="86">
        <f>VLOOKUP($A67,'Data shares'!$C:$FA,74)</f>
        <v>30560400</v>
      </c>
      <c r="F67" s="86">
        <f>VLOOKUP($A67,'Data shares'!$C:$FA,76)</f>
        <v>196200</v>
      </c>
      <c r="G67" s="87">
        <f>VLOOKUP(A67,'Data shares'!$C$2:$CA$216,77,0)</f>
        <v>6.4999999999999997E-3</v>
      </c>
      <c r="H67" s="86">
        <f>VLOOKUP($A67,'Data shares'!$C:$FA,90)</f>
        <v>8785800</v>
      </c>
      <c r="I67" s="86">
        <f>VLOOKUP($A67,'Data shares'!$C:$FA,92)</f>
        <v>129600</v>
      </c>
      <c r="J67" s="87">
        <f>VLOOKUP($A67,'Data shares'!$C:$FA,93)</f>
        <v>1.4999999999999999E-2</v>
      </c>
      <c r="K67" s="86">
        <f>VLOOKUP($A67,'Data shares'!$C:$FA,94)</f>
        <v>6579000</v>
      </c>
      <c r="L67" s="86">
        <f>VLOOKUP($A67,'Data shares'!$C:$FA,96)</f>
        <v>165600</v>
      </c>
      <c r="M67" s="87">
        <f>VLOOKUP($A67,'Data shares'!$C:$FA,97)</f>
        <v>2.58E-2</v>
      </c>
      <c r="N67" s="86">
        <f>VLOOKUP($A67,'Data shares'!$C:$FA,78)</f>
        <v>29467800</v>
      </c>
      <c r="O67" s="87">
        <f>VLOOKUP($A67,'Data shares'!$C:$FA,81)</f>
        <v>6.6E-3</v>
      </c>
    </row>
    <row r="68" spans="1:15" x14ac:dyDescent="0.25">
      <c r="A68" s="100" t="str">
        <f>'OI(Value)'!A68</f>
        <v>FEDERALBNK</v>
      </c>
      <c r="B68" s="82">
        <f>VLOOKUP(A68,'Data shares'!$C$2:$CV$216,98,0)</f>
        <v>164080000</v>
      </c>
      <c r="C68" s="82">
        <f>VLOOKUP(A68,'Data shares'!$C$2:$CX$216,100,0)</f>
        <v>18050000</v>
      </c>
      <c r="D68" s="141">
        <f>VLOOKUP(A68,'Data shares'!$C$2:$CY$539,101,0)</f>
        <v>0.1236</v>
      </c>
      <c r="E68" s="86">
        <f>VLOOKUP($A68,'Data shares'!$C:$FA,74)</f>
        <v>92005000</v>
      </c>
      <c r="F68" s="86">
        <f>VLOOKUP($A68,'Data shares'!$C:$FA,76)</f>
        <v>1150000</v>
      </c>
      <c r="G68" s="87">
        <f>VLOOKUP(A68,'Data shares'!$C$2:$CA$216,77,0)</f>
        <v>1.2699999999999999E-2</v>
      </c>
      <c r="H68" s="86">
        <f>VLOOKUP($A68,'Data shares'!$C:$FA,90)</f>
        <v>42590000</v>
      </c>
      <c r="I68" s="86">
        <f>VLOOKUP($A68,'Data shares'!$C:$FA,92)</f>
        <v>12625000</v>
      </c>
      <c r="J68" s="87">
        <f>VLOOKUP($A68,'Data shares'!$C:$FA,93)</f>
        <v>0.42130000000000001</v>
      </c>
      <c r="K68" s="86">
        <f>VLOOKUP($A68,'Data shares'!$C:$FA,94)</f>
        <v>29485000</v>
      </c>
      <c r="L68" s="86">
        <f>VLOOKUP($A68,'Data shares'!$C:$FA,96)</f>
        <v>4275000</v>
      </c>
      <c r="M68" s="87">
        <f>VLOOKUP($A68,'Data shares'!$C:$FA,97)</f>
        <v>0.1696</v>
      </c>
      <c r="N68" s="86">
        <f>VLOOKUP($A68,'Data shares'!$C:$FA,78)</f>
        <v>89630000</v>
      </c>
      <c r="O68" s="87">
        <f>VLOOKUP($A68,'Data shares'!$C:$FA,81)</f>
        <v>1.1599999999999999E-2</v>
      </c>
    </row>
    <row r="69" spans="1:15" x14ac:dyDescent="0.25">
      <c r="A69" s="100" t="str">
        <f>'OI(Value)'!A69</f>
        <v>FINNIFTY</v>
      </c>
      <c r="B69" s="82">
        <f>VLOOKUP(A69,'Data shares'!$C$2:$CV$216,98,0)</f>
        <v>1306890</v>
      </c>
      <c r="C69" s="82">
        <f>VLOOKUP(A69,'Data shares'!$C$2:$CX$216,100,0)</f>
        <v>651625</v>
      </c>
      <c r="D69" s="141">
        <f>VLOOKUP(A69,'Data shares'!$C$2:$CY$539,101,0)</f>
        <v>0.99439999999999995</v>
      </c>
      <c r="E69" s="86">
        <f>VLOOKUP($A69,'Data shares'!$C:$FA,74)</f>
        <v>30550</v>
      </c>
      <c r="F69" s="86">
        <f>VLOOKUP($A69,'Data shares'!$C:$FA,76)</f>
        <v>-4225</v>
      </c>
      <c r="G69" s="87">
        <f>VLOOKUP(A69,'Data shares'!$C$2:$CA$216,77,0)</f>
        <v>-0.1215</v>
      </c>
      <c r="H69" s="86">
        <f>VLOOKUP($A69,'Data shares'!$C:$FA,90)</f>
        <v>745485</v>
      </c>
      <c r="I69" s="86">
        <f>VLOOKUP($A69,'Data shares'!$C:$FA,92)</f>
        <v>353665</v>
      </c>
      <c r="J69" s="87">
        <f>VLOOKUP($A69,'Data shares'!$C:$FA,93)</f>
        <v>0.90259999999999996</v>
      </c>
      <c r="K69" s="86">
        <f>VLOOKUP($A69,'Data shares'!$C:$FA,94)</f>
        <v>530855</v>
      </c>
      <c r="L69" s="86">
        <f>VLOOKUP($A69,'Data shares'!$C:$FA,96)</f>
        <v>302185</v>
      </c>
      <c r="M69" s="87">
        <f>VLOOKUP($A69,'Data shares'!$C:$FA,97)</f>
        <v>1.3214999999999999</v>
      </c>
      <c r="N69" s="86">
        <f>VLOOKUP($A69,'Data shares'!$C:$FA,78)</f>
        <v>29575</v>
      </c>
      <c r="O69" s="87">
        <f>VLOOKUP($A69,'Data shares'!$C:$FA,81)</f>
        <v>-0.11990000000000001</v>
      </c>
    </row>
    <row r="70" spans="1:15" x14ac:dyDescent="0.25">
      <c r="A70" s="100" t="str">
        <f>'OI(Value)'!A70</f>
        <v>FORTIS</v>
      </c>
      <c r="B70" s="82">
        <f>VLOOKUP(A70,'Data shares'!$C$2:$CV$216,98,0)</f>
        <v>15906875</v>
      </c>
      <c r="C70" s="82">
        <f>VLOOKUP(A70,'Data shares'!$C$2:$CX$216,100,0)</f>
        <v>5338200</v>
      </c>
      <c r="D70" s="141">
        <f>VLOOKUP(A70,'Data shares'!$C$2:$CY$539,101,0)</f>
        <v>0.50509999999999999</v>
      </c>
      <c r="E70" s="86">
        <f>VLOOKUP($A70,'Data shares'!$C:$FA,74)</f>
        <v>8730375</v>
      </c>
      <c r="F70" s="86">
        <f>VLOOKUP($A70,'Data shares'!$C:$FA,76)</f>
        <v>1036175</v>
      </c>
      <c r="G70" s="87">
        <f>VLOOKUP(A70,'Data shares'!$C$2:$CA$216,77,0)</f>
        <v>0.13469999999999999</v>
      </c>
      <c r="H70" s="86">
        <f>VLOOKUP($A70,'Data shares'!$C:$FA,90)</f>
        <v>4226075</v>
      </c>
      <c r="I70" s="86">
        <f>VLOOKUP($A70,'Data shares'!$C:$FA,92)</f>
        <v>2407925</v>
      </c>
      <c r="J70" s="87">
        <f>VLOOKUP($A70,'Data shares'!$C:$FA,93)</f>
        <v>1.3244</v>
      </c>
      <c r="K70" s="86">
        <f>VLOOKUP($A70,'Data shares'!$C:$FA,94)</f>
        <v>2950425</v>
      </c>
      <c r="L70" s="86">
        <f>VLOOKUP($A70,'Data shares'!$C:$FA,96)</f>
        <v>1894100</v>
      </c>
      <c r="M70" s="87">
        <f>VLOOKUP($A70,'Data shares'!$C:$FA,97)</f>
        <v>1.7930999999999999</v>
      </c>
      <c r="N70" s="86">
        <f>VLOOKUP($A70,'Data shares'!$C:$FA,78)</f>
        <v>8417275</v>
      </c>
      <c r="O70" s="87">
        <f>VLOOKUP($A70,'Data shares'!$C:$FA,81)</f>
        <v>0.13639999999999999</v>
      </c>
    </row>
    <row r="71" spans="1:15" x14ac:dyDescent="0.25">
      <c r="A71" s="100" t="str">
        <f>'OI(Value)'!A71</f>
        <v>GAIL</v>
      </c>
      <c r="B71" s="82">
        <f>VLOOKUP(A71,'Data shares'!$C$2:$CV$216,98,0)</f>
        <v>161834400</v>
      </c>
      <c r="C71" s="82">
        <f>VLOOKUP(A71,'Data shares'!$C$2:$CX$216,100,0)</f>
        <v>6564600</v>
      </c>
      <c r="D71" s="141">
        <f>VLOOKUP(A71,'Data shares'!$C$2:$CY$539,101,0)</f>
        <v>4.2299999999999997E-2</v>
      </c>
      <c r="E71" s="86">
        <f>VLOOKUP($A71,'Data shares'!$C:$FA,74)</f>
        <v>102560850</v>
      </c>
      <c r="F71" s="86">
        <f>VLOOKUP($A71,'Data shares'!$C:$FA,76)</f>
        <v>494550</v>
      </c>
      <c r="G71" s="87">
        <f>VLOOKUP(A71,'Data shares'!$C$2:$CA$216,77,0)</f>
        <v>4.7999999999999996E-3</v>
      </c>
      <c r="H71" s="86">
        <f>VLOOKUP($A71,'Data shares'!$C:$FA,90)</f>
        <v>35985600</v>
      </c>
      <c r="I71" s="86">
        <f>VLOOKUP($A71,'Data shares'!$C:$FA,92)</f>
        <v>4948650</v>
      </c>
      <c r="J71" s="87">
        <f>VLOOKUP($A71,'Data shares'!$C:$FA,93)</f>
        <v>0.15939999999999999</v>
      </c>
      <c r="K71" s="86">
        <f>VLOOKUP($A71,'Data shares'!$C:$FA,94)</f>
        <v>23287950</v>
      </c>
      <c r="L71" s="86">
        <f>VLOOKUP($A71,'Data shares'!$C:$FA,96)</f>
        <v>1121400</v>
      </c>
      <c r="M71" s="87">
        <f>VLOOKUP($A71,'Data shares'!$C:$FA,97)</f>
        <v>5.0599999999999999E-2</v>
      </c>
      <c r="N71" s="86">
        <f>VLOOKUP($A71,'Data shares'!$C:$FA,78)</f>
        <v>99543150</v>
      </c>
      <c r="O71" s="87">
        <f>VLOOKUP($A71,'Data shares'!$C:$FA,81)</f>
        <v>2.8999999999999998E-3</v>
      </c>
    </row>
    <row r="72" spans="1:15" x14ac:dyDescent="0.25">
      <c r="A72" s="100" t="str">
        <f>'OI(Value)'!A72</f>
        <v>GLENMARK</v>
      </c>
      <c r="B72" s="82">
        <f>VLOOKUP(A72,'Data shares'!$C$2:$CV$216,98,0)</f>
        <v>9644625</v>
      </c>
      <c r="C72" s="82">
        <f>VLOOKUP(A72,'Data shares'!$C$2:$CX$216,100,0)</f>
        <v>40875</v>
      </c>
      <c r="D72" s="141">
        <f>VLOOKUP(A72,'Data shares'!$C$2:$CY$539,101,0)</f>
        <v>4.3E-3</v>
      </c>
      <c r="E72" s="86">
        <f>VLOOKUP($A72,'Data shares'!$C:$FA,74)</f>
        <v>7305375</v>
      </c>
      <c r="F72" s="86">
        <f>VLOOKUP($A72,'Data shares'!$C:$FA,76)</f>
        <v>-33750</v>
      </c>
      <c r="G72" s="87">
        <f>VLOOKUP(A72,'Data shares'!$C$2:$CA$216,77,0)</f>
        <v>-4.5999999999999999E-3</v>
      </c>
      <c r="H72" s="86">
        <f>VLOOKUP($A72,'Data shares'!$C:$FA,90)</f>
        <v>1380375</v>
      </c>
      <c r="I72" s="86">
        <f>VLOOKUP($A72,'Data shares'!$C:$FA,92)</f>
        <v>70125</v>
      </c>
      <c r="J72" s="87">
        <f>VLOOKUP($A72,'Data shares'!$C:$FA,93)</f>
        <v>5.3499999999999999E-2</v>
      </c>
      <c r="K72" s="86">
        <f>VLOOKUP($A72,'Data shares'!$C:$FA,94)</f>
        <v>958875</v>
      </c>
      <c r="L72" s="86">
        <f>VLOOKUP($A72,'Data shares'!$C:$FA,96)</f>
        <v>4500</v>
      </c>
      <c r="M72" s="87">
        <f>VLOOKUP($A72,'Data shares'!$C:$FA,97)</f>
        <v>4.7000000000000002E-3</v>
      </c>
      <c r="N72" s="86">
        <f>VLOOKUP($A72,'Data shares'!$C:$FA,78)</f>
        <v>7230000</v>
      </c>
      <c r="O72" s="87">
        <f>VLOOKUP($A72,'Data shares'!$C:$FA,81)</f>
        <v>-4.7999999999999996E-3</v>
      </c>
    </row>
    <row r="73" spans="1:15" x14ac:dyDescent="0.25">
      <c r="A73" s="100" t="str">
        <f>'OI(Value)'!A73</f>
        <v>GMRAIRPORT</v>
      </c>
      <c r="B73" s="82">
        <f>VLOOKUP(A73,'Data shares'!$C$2:$CV$216,98,0)</f>
        <v>302966100</v>
      </c>
      <c r="C73" s="82">
        <f>VLOOKUP(A73,'Data shares'!$C$2:$CX$216,100,0)</f>
        <v>6835500</v>
      </c>
      <c r="D73" s="141">
        <f>VLOOKUP(A73,'Data shares'!$C$2:$CY$539,101,0)</f>
        <v>2.3099999999999999E-2</v>
      </c>
      <c r="E73" s="86">
        <f>VLOOKUP($A73,'Data shares'!$C:$FA,74)</f>
        <v>213281550</v>
      </c>
      <c r="F73" s="86">
        <f>VLOOKUP($A73,'Data shares'!$C:$FA,76)</f>
        <v>1290375</v>
      </c>
      <c r="G73" s="87">
        <f>VLOOKUP(A73,'Data shares'!$C$2:$CA$216,77,0)</f>
        <v>6.1000000000000004E-3</v>
      </c>
      <c r="H73" s="86">
        <f>VLOOKUP($A73,'Data shares'!$C:$FA,90)</f>
        <v>59217750</v>
      </c>
      <c r="I73" s="86">
        <f>VLOOKUP($A73,'Data shares'!$C:$FA,92)</f>
        <v>4066425</v>
      </c>
      <c r="J73" s="87">
        <f>VLOOKUP($A73,'Data shares'!$C:$FA,93)</f>
        <v>7.3700000000000002E-2</v>
      </c>
      <c r="K73" s="86">
        <f>VLOOKUP($A73,'Data shares'!$C:$FA,94)</f>
        <v>30466800</v>
      </c>
      <c r="L73" s="86">
        <f>VLOOKUP($A73,'Data shares'!$C:$FA,96)</f>
        <v>1478700</v>
      </c>
      <c r="M73" s="87">
        <f>VLOOKUP($A73,'Data shares'!$C:$FA,97)</f>
        <v>5.0999999999999997E-2</v>
      </c>
      <c r="N73" s="86">
        <f>VLOOKUP($A73,'Data shares'!$C:$FA,78)</f>
        <v>206348400</v>
      </c>
      <c r="O73" s="87">
        <f>VLOOKUP($A73,'Data shares'!$C:$FA,81)</f>
        <v>-4.4999999999999997E-3</v>
      </c>
    </row>
    <row r="74" spans="1:15" x14ac:dyDescent="0.25">
      <c r="A74" s="100" t="str">
        <f>'OI(Value)'!A74</f>
        <v>GODREJCP</v>
      </c>
      <c r="B74" s="82">
        <f>VLOOKUP(A74,'Data shares'!$C$2:$CV$216,98,0)</f>
        <v>15561500</v>
      </c>
      <c r="C74" s="82">
        <f>VLOOKUP(A74,'Data shares'!$C$2:$CX$216,100,0)</f>
        <v>467000</v>
      </c>
      <c r="D74" s="141">
        <f>VLOOKUP(A74,'Data shares'!$C$2:$CY$539,101,0)</f>
        <v>3.09E-2</v>
      </c>
      <c r="E74" s="86">
        <f>VLOOKUP($A74,'Data shares'!$C:$FA,74)</f>
        <v>11471000</v>
      </c>
      <c r="F74" s="86">
        <f>VLOOKUP($A74,'Data shares'!$C:$FA,76)</f>
        <v>-141000</v>
      </c>
      <c r="G74" s="87">
        <f>VLOOKUP(A74,'Data shares'!$C$2:$CA$216,77,0)</f>
        <v>-1.21E-2</v>
      </c>
      <c r="H74" s="86">
        <f>VLOOKUP($A74,'Data shares'!$C:$FA,90)</f>
        <v>2386000</v>
      </c>
      <c r="I74" s="86">
        <f>VLOOKUP($A74,'Data shares'!$C:$FA,92)</f>
        <v>279000</v>
      </c>
      <c r="J74" s="87">
        <f>VLOOKUP($A74,'Data shares'!$C:$FA,93)</f>
        <v>0.13239999999999999</v>
      </c>
      <c r="K74" s="86">
        <f>VLOOKUP($A74,'Data shares'!$C:$FA,94)</f>
        <v>1704500</v>
      </c>
      <c r="L74" s="86">
        <f>VLOOKUP($A74,'Data shares'!$C:$FA,96)</f>
        <v>329000</v>
      </c>
      <c r="M74" s="87">
        <f>VLOOKUP($A74,'Data shares'!$C:$FA,97)</f>
        <v>0.2392</v>
      </c>
      <c r="N74" s="86">
        <f>VLOOKUP($A74,'Data shares'!$C:$FA,78)</f>
        <v>11184000</v>
      </c>
      <c r="O74" s="87">
        <f>VLOOKUP($A74,'Data shares'!$C:$FA,81)</f>
        <v>-1.2999999999999999E-2</v>
      </c>
    </row>
    <row r="75" spans="1:15" x14ac:dyDescent="0.25">
      <c r="A75" s="100" t="str">
        <f>'OI(Value)'!A75</f>
        <v>GODREJPROP</v>
      </c>
      <c r="B75" s="82">
        <f>VLOOKUP(A75,'Data shares'!$C$2:$CV$216,98,0)</f>
        <v>13890525</v>
      </c>
      <c r="C75" s="82">
        <f>VLOOKUP(A75,'Data shares'!$C$2:$CX$216,100,0)</f>
        <v>68750</v>
      </c>
      <c r="D75" s="141">
        <f>VLOOKUP(A75,'Data shares'!$C$2:$CY$539,101,0)</f>
        <v>5.0000000000000001E-3</v>
      </c>
      <c r="E75" s="86">
        <f>VLOOKUP($A75,'Data shares'!$C:$FA,74)</f>
        <v>9823550</v>
      </c>
      <c r="F75" s="86">
        <f>VLOOKUP($A75,'Data shares'!$C:$FA,76)</f>
        <v>34925</v>
      </c>
      <c r="G75" s="87">
        <f>VLOOKUP(A75,'Data shares'!$C$2:$CA$216,77,0)</f>
        <v>3.5999999999999999E-3</v>
      </c>
      <c r="H75" s="86">
        <f>VLOOKUP($A75,'Data shares'!$C:$FA,90)</f>
        <v>2451625</v>
      </c>
      <c r="I75" s="86">
        <f>VLOOKUP($A75,'Data shares'!$C:$FA,92)</f>
        <v>40425</v>
      </c>
      <c r="J75" s="87">
        <f>VLOOKUP($A75,'Data shares'!$C:$FA,93)</f>
        <v>1.6799999999999999E-2</v>
      </c>
      <c r="K75" s="86">
        <f>VLOOKUP($A75,'Data shares'!$C:$FA,94)</f>
        <v>1615350</v>
      </c>
      <c r="L75" s="86">
        <f>VLOOKUP($A75,'Data shares'!$C:$FA,96)</f>
        <v>-6600</v>
      </c>
      <c r="M75" s="87">
        <f>VLOOKUP($A75,'Data shares'!$C:$FA,97)</f>
        <v>-4.1000000000000003E-3</v>
      </c>
      <c r="N75" s="86">
        <f>VLOOKUP($A75,'Data shares'!$C:$FA,78)</f>
        <v>9607125</v>
      </c>
      <c r="O75" s="87">
        <f>VLOOKUP($A75,'Data shares'!$C:$FA,81)</f>
        <v>2.8E-3</v>
      </c>
    </row>
    <row r="76" spans="1:15" x14ac:dyDescent="0.25">
      <c r="A76" s="100" t="str">
        <f>'OI(Value)'!A76</f>
        <v>GRASIM</v>
      </c>
      <c r="B76" s="82">
        <f>VLOOKUP(A76,'Data shares'!$C$2:$CV$216,98,0)</f>
        <v>16453500</v>
      </c>
      <c r="C76" s="82">
        <f>VLOOKUP(A76,'Data shares'!$C$2:$CX$216,100,0)</f>
        <v>202750</v>
      </c>
      <c r="D76" s="141">
        <f>VLOOKUP(A76,'Data shares'!$C$2:$CY$539,101,0)</f>
        <v>1.2500000000000001E-2</v>
      </c>
      <c r="E76" s="86">
        <f>VLOOKUP($A76,'Data shares'!$C:$FA,74)</f>
        <v>14153000</v>
      </c>
      <c r="F76" s="86">
        <f>VLOOKUP($A76,'Data shares'!$C:$FA,76)</f>
        <v>-24000</v>
      </c>
      <c r="G76" s="87">
        <f>VLOOKUP(A76,'Data shares'!$C$2:$CA$216,77,0)</f>
        <v>-1.6999999999999999E-3</v>
      </c>
      <c r="H76" s="86">
        <f>VLOOKUP($A76,'Data shares'!$C:$FA,90)</f>
        <v>1422000</v>
      </c>
      <c r="I76" s="86">
        <f>VLOOKUP($A76,'Data shares'!$C:$FA,92)</f>
        <v>146750</v>
      </c>
      <c r="J76" s="87">
        <f>VLOOKUP($A76,'Data shares'!$C:$FA,93)</f>
        <v>0.11509999999999999</v>
      </c>
      <c r="K76" s="86">
        <f>VLOOKUP($A76,'Data shares'!$C:$FA,94)</f>
        <v>878500</v>
      </c>
      <c r="L76" s="86">
        <f>VLOOKUP($A76,'Data shares'!$C:$FA,96)</f>
        <v>80000</v>
      </c>
      <c r="M76" s="87">
        <f>VLOOKUP($A76,'Data shares'!$C:$FA,97)</f>
        <v>0.1002</v>
      </c>
      <c r="N76" s="86">
        <f>VLOOKUP($A76,'Data shares'!$C:$FA,78)</f>
        <v>14107000</v>
      </c>
      <c r="O76" s="87">
        <f>VLOOKUP($A76,'Data shares'!$C:$FA,81)</f>
        <v>-1.8E-3</v>
      </c>
    </row>
    <row r="77" spans="1:15" x14ac:dyDescent="0.25">
      <c r="A77" s="100" t="str">
        <f>'OI(Value)'!A77</f>
        <v>HAL</v>
      </c>
      <c r="B77" s="82">
        <f>VLOOKUP(A77,'Data shares'!$C$2:$CV$216,98,0)</f>
        <v>14685600</v>
      </c>
      <c r="C77" s="82">
        <f>VLOOKUP(A77,'Data shares'!$C$2:$CX$216,100,0)</f>
        <v>629250</v>
      </c>
      <c r="D77" s="141">
        <f>VLOOKUP(A77,'Data shares'!$C$2:$CY$539,101,0)</f>
        <v>4.48E-2</v>
      </c>
      <c r="E77" s="86">
        <f>VLOOKUP($A77,'Data shares'!$C:$FA,74)</f>
        <v>8854500</v>
      </c>
      <c r="F77" s="86">
        <f>VLOOKUP($A77,'Data shares'!$C:$FA,76)</f>
        <v>156150</v>
      </c>
      <c r="G77" s="87">
        <f>VLOOKUP(A77,'Data shares'!$C$2:$CA$216,77,0)</f>
        <v>1.7999999999999999E-2</v>
      </c>
      <c r="H77" s="86">
        <f>VLOOKUP($A77,'Data shares'!$C:$FA,90)</f>
        <v>3567300</v>
      </c>
      <c r="I77" s="86">
        <f>VLOOKUP($A77,'Data shares'!$C:$FA,92)</f>
        <v>424650</v>
      </c>
      <c r="J77" s="87">
        <f>VLOOKUP($A77,'Data shares'!$C:$FA,93)</f>
        <v>0.1351</v>
      </c>
      <c r="K77" s="86">
        <f>VLOOKUP($A77,'Data shares'!$C:$FA,94)</f>
        <v>2263800</v>
      </c>
      <c r="L77" s="86">
        <f>VLOOKUP($A77,'Data shares'!$C:$FA,96)</f>
        <v>48450</v>
      </c>
      <c r="M77" s="87">
        <f>VLOOKUP($A77,'Data shares'!$C:$FA,97)</f>
        <v>2.1899999999999999E-2</v>
      </c>
      <c r="N77" s="86">
        <f>VLOOKUP($A77,'Data shares'!$C:$FA,78)</f>
        <v>8464500</v>
      </c>
      <c r="O77" s="87">
        <f>VLOOKUP($A77,'Data shares'!$C:$FA,81)</f>
        <v>1.37E-2</v>
      </c>
    </row>
    <row r="78" spans="1:15" x14ac:dyDescent="0.25">
      <c r="A78" s="100" t="str">
        <f>'OI(Value)'!A78</f>
        <v>HAVELLS</v>
      </c>
      <c r="B78" s="82">
        <f>VLOOKUP(A78,'Data shares'!$C$2:$CV$216,98,0)</f>
        <v>14513000</v>
      </c>
      <c r="C78" s="82">
        <f>VLOOKUP(A78,'Data shares'!$C$2:$CX$216,100,0)</f>
        <v>449000</v>
      </c>
      <c r="D78" s="141">
        <f>VLOOKUP(A78,'Data shares'!$C$2:$CY$539,101,0)</f>
        <v>3.1899999999999998E-2</v>
      </c>
      <c r="E78" s="86">
        <f>VLOOKUP($A78,'Data shares'!$C:$FA,74)</f>
        <v>10408000</v>
      </c>
      <c r="F78" s="86">
        <f>VLOOKUP($A78,'Data shares'!$C:$FA,76)</f>
        <v>179500</v>
      </c>
      <c r="G78" s="87">
        <f>VLOOKUP(A78,'Data shares'!$C$2:$CA$216,77,0)</f>
        <v>1.7500000000000002E-2</v>
      </c>
      <c r="H78" s="86">
        <f>VLOOKUP($A78,'Data shares'!$C:$FA,90)</f>
        <v>2492000</v>
      </c>
      <c r="I78" s="86">
        <f>VLOOKUP($A78,'Data shares'!$C:$FA,92)</f>
        <v>157500</v>
      </c>
      <c r="J78" s="87">
        <f>VLOOKUP($A78,'Data shares'!$C:$FA,93)</f>
        <v>6.7500000000000004E-2</v>
      </c>
      <c r="K78" s="86">
        <f>VLOOKUP($A78,'Data shares'!$C:$FA,94)</f>
        <v>1613000</v>
      </c>
      <c r="L78" s="86">
        <f>VLOOKUP($A78,'Data shares'!$C:$FA,96)</f>
        <v>112000</v>
      </c>
      <c r="M78" s="87">
        <f>VLOOKUP($A78,'Data shares'!$C:$FA,97)</f>
        <v>7.46E-2</v>
      </c>
      <c r="N78" s="86">
        <f>VLOOKUP($A78,'Data shares'!$C:$FA,78)</f>
        <v>10222000</v>
      </c>
      <c r="O78" s="87">
        <f>VLOOKUP($A78,'Data shares'!$C:$FA,81)</f>
        <v>1.52E-2</v>
      </c>
    </row>
    <row r="79" spans="1:15" x14ac:dyDescent="0.25">
      <c r="A79" s="100" t="str">
        <f>'OI(Value)'!A79</f>
        <v>HCLTECH</v>
      </c>
      <c r="B79" s="82">
        <f>VLOOKUP(A79,'Data shares'!$C$2:$CV$216,98,0)</f>
        <v>29956500</v>
      </c>
      <c r="C79" s="82">
        <f>VLOOKUP(A79,'Data shares'!$C$2:$CX$216,100,0)</f>
        <v>687750</v>
      </c>
      <c r="D79" s="141">
        <f>VLOOKUP(A79,'Data shares'!$C$2:$CY$539,101,0)</f>
        <v>2.35E-2</v>
      </c>
      <c r="E79" s="86">
        <f>VLOOKUP($A79,'Data shares'!$C:$FA,74)</f>
        <v>20948550</v>
      </c>
      <c r="F79" s="86">
        <f>VLOOKUP($A79,'Data shares'!$C:$FA,76)</f>
        <v>72100</v>
      </c>
      <c r="G79" s="87">
        <f>VLOOKUP(A79,'Data shares'!$C$2:$CA$216,77,0)</f>
        <v>3.5000000000000001E-3</v>
      </c>
      <c r="H79" s="86">
        <f>VLOOKUP($A79,'Data shares'!$C:$FA,90)</f>
        <v>5046300</v>
      </c>
      <c r="I79" s="86">
        <f>VLOOKUP($A79,'Data shares'!$C:$FA,92)</f>
        <v>475650</v>
      </c>
      <c r="J79" s="87">
        <f>VLOOKUP($A79,'Data shares'!$C:$FA,93)</f>
        <v>0.1041</v>
      </c>
      <c r="K79" s="86">
        <f>VLOOKUP($A79,'Data shares'!$C:$FA,94)</f>
        <v>3961650</v>
      </c>
      <c r="L79" s="86">
        <f>VLOOKUP($A79,'Data shares'!$C:$FA,96)</f>
        <v>140000</v>
      </c>
      <c r="M79" s="87">
        <f>VLOOKUP($A79,'Data shares'!$C:$FA,97)</f>
        <v>3.6600000000000001E-2</v>
      </c>
      <c r="N79" s="86">
        <f>VLOOKUP($A79,'Data shares'!$C:$FA,78)</f>
        <v>20447000</v>
      </c>
      <c r="O79" s="87">
        <f>VLOOKUP($A79,'Data shares'!$C:$FA,81)</f>
        <v>2.5999999999999999E-3</v>
      </c>
    </row>
    <row r="80" spans="1:15" x14ac:dyDescent="0.25">
      <c r="A80" s="100" t="str">
        <f>'OI(Value)'!A80</f>
        <v>HDFCAMC</v>
      </c>
      <c r="B80" s="82">
        <f>VLOOKUP(A80,'Data shares'!$C$2:$CV$216,98,0)</f>
        <v>3019650</v>
      </c>
      <c r="C80" s="82">
        <f>VLOOKUP(A80,'Data shares'!$C$2:$CX$216,100,0)</f>
        <v>65850</v>
      </c>
      <c r="D80" s="141">
        <f>VLOOKUP(A80,'Data shares'!$C$2:$CY$539,101,0)</f>
        <v>2.23E-2</v>
      </c>
      <c r="E80" s="86">
        <f>VLOOKUP($A80,'Data shares'!$C:$FA,74)</f>
        <v>2064150</v>
      </c>
      <c r="F80" s="86">
        <f>VLOOKUP($A80,'Data shares'!$C:$FA,76)</f>
        <v>45150</v>
      </c>
      <c r="G80" s="87">
        <f>VLOOKUP(A80,'Data shares'!$C$2:$CA$216,77,0)</f>
        <v>2.24E-2</v>
      </c>
      <c r="H80" s="86">
        <f>VLOOKUP($A80,'Data shares'!$C:$FA,90)</f>
        <v>505650</v>
      </c>
      <c r="I80" s="86">
        <f>VLOOKUP($A80,'Data shares'!$C:$FA,92)</f>
        <v>24300</v>
      </c>
      <c r="J80" s="87">
        <f>VLOOKUP($A80,'Data shares'!$C:$FA,93)</f>
        <v>5.0500000000000003E-2</v>
      </c>
      <c r="K80" s="86">
        <f>VLOOKUP($A80,'Data shares'!$C:$FA,94)</f>
        <v>449850</v>
      </c>
      <c r="L80" s="86">
        <f>VLOOKUP($A80,'Data shares'!$C:$FA,96)</f>
        <v>-3600</v>
      </c>
      <c r="M80" s="87">
        <f>VLOOKUP($A80,'Data shares'!$C:$FA,97)</f>
        <v>-7.9000000000000008E-3</v>
      </c>
      <c r="N80" s="86">
        <f>VLOOKUP($A80,'Data shares'!$C:$FA,78)</f>
        <v>2035800</v>
      </c>
      <c r="O80" s="87">
        <f>VLOOKUP($A80,'Data shares'!$C:$FA,81)</f>
        <v>1.66E-2</v>
      </c>
    </row>
    <row r="81" spans="1:15" x14ac:dyDescent="0.25">
      <c r="A81" s="100" t="str">
        <f>'OI(Value)'!A81</f>
        <v>HDFCBANK</v>
      </c>
      <c r="B81" s="82">
        <f>VLOOKUP(A81,'Data shares'!$C$2:$CV$216,98,0)</f>
        <v>267776300</v>
      </c>
      <c r="C81" s="82">
        <f>VLOOKUP(A81,'Data shares'!$C$2:$CX$216,100,0)</f>
        <v>-2825900</v>
      </c>
      <c r="D81" s="141">
        <f>VLOOKUP(A81,'Data shares'!$C$2:$CY$539,101,0)</f>
        <v>-1.04E-2</v>
      </c>
      <c r="E81" s="86">
        <f>VLOOKUP($A81,'Data shares'!$C:$FA,74)</f>
        <v>213117300</v>
      </c>
      <c r="F81" s="86">
        <f>VLOOKUP($A81,'Data shares'!$C:$FA,76)</f>
        <v>-4095300</v>
      </c>
      <c r="G81" s="87">
        <f>VLOOKUP(A81,'Data shares'!$C$2:$CA$216,77,0)</f>
        <v>-1.89E-2</v>
      </c>
      <c r="H81" s="86">
        <f>VLOOKUP($A81,'Data shares'!$C:$FA,90)</f>
        <v>29918900</v>
      </c>
      <c r="I81" s="86">
        <f>VLOOKUP($A81,'Data shares'!$C:$FA,92)</f>
        <v>20900</v>
      </c>
      <c r="J81" s="87">
        <f>VLOOKUP($A81,'Data shares'!$C:$FA,93)</f>
        <v>6.9999999999999999E-4</v>
      </c>
      <c r="K81" s="86">
        <f>VLOOKUP($A81,'Data shares'!$C:$FA,94)</f>
        <v>24740100</v>
      </c>
      <c r="L81" s="86">
        <f>VLOOKUP($A81,'Data shares'!$C:$FA,96)</f>
        <v>1248500</v>
      </c>
      <c r="M81" s="87">
        <f>VLOOKUP($A81,'Data shares'!$C:$FA,97)</f>
        <v>5.3100000000000001E-2</v>
      </c>
      <c r="N81" s="86">
        <f>VLOOKUP($A81,'Data shares'!$C:$FA,78)</f>
        <v>208418100</v>
      </c>
      <c r="O81" s="87">
        <f>VLOOKUP($A81,'Data shares'!$C:$FA,81)</f>
        <v>-1.9599999999999999E-2</v>
      </c>
    </row>
    <row r="82" spans="1:15" x14ac:dyDescent="0.25">
      <c r="A82" s="100" t="str">
        <f>'OI(Value)'!A82</f>
        <v>HDFCLIFE</v>
      </c>
      <c r="B82" s="82">
        <f>VLOOKUP(A82,'Data shares'!$C$2:$CV$216,98,0)</f>
        <v>38756300</v>
      </c>
      <c r="C82" s="82">
        <f>VLOOKUP(A82,'Data shares'!$C$2:$CX$216,100,0)</f>
        <v>1403600</v>
      </c>
      <c r="D82" s="141">
        <f>VLOOKUP(A82,'Data shares'!$C$2:$CY$539,101,0)</f>
        <v>3.7600000000000001E-2</v>
      </c>
      <c r="E82" s="86">
        <f>VLOOKUP($A82,'Data shares'!$C:$FA,74)</f>
        <v>28113800</v>
      </c>
      <c r="F82" s="86">
        <f>VLOOKUP($A82,'Data shares'!$C:$FA,76)</f>
        <v>15400</v>
      </c>
      <c r="G82" s="87">
        <f>VLOOKUP(A82,'Data shares'!$C$2:$CA$216,77,0)</f>
        <v>5.0000000000000001E-4</v>
      </c>
      <c r="H82" s="86">
        <f>VLOOKUP($A82,'Data shares'!$C:$FA,90)</f>
        <v>6469100</v>
      </c>
      <c r="I82" s="86">
        <f>VLOOKUP($A82,'Data shares'!$C:$FA,92)</f>
        <v>979000</v>
      </c>
      <c r="J82" s="87">
        <f>VLOOKUP($A82,'Data shares'!$C:$FA,93)</f>
        <v>0.17829999999999999</v>
      </c>
      <c r="K82" s="86">
        <f>VLOOKUP($A82,'Data shares'!$C:$FA,94)</f>
        <v>4173400</v>
      </c>
      <c r="L82" s="86">
        <f>VLOOKUP($A82,'Data shares'!$C:$FA,96)</f>
        <v>409200</v>
      </c>
      <c r="M82" s="87">
        <f>VLOOKUP($A82,'Data shares'!$C:$FA,97)</f>
        <v>0.1087</v>
      </c>
      <c r="N82" s="86">
        <f>VLOOKUP($A82,'Data shares'!$C:$FA,78)</f>
        <v>27821200</v>
      </c>
      <c r="O82" s="87">
        <f>VLOOKUP($A82,'Data shares'!$C:$FA,81)</f>
        <v>5.0000000000000001E-4</v>
      </c>
    </row>
    <row r="83" spans="1:15" x14ac:dyDescent="0.25">
      <c r="A83" s="100" t="str">
        <f>'OI(Value)'!A83</f>
        <v>HEROMOTOCO</v>
      </c>
      <c r="B83" s="82">
        <f>VLOOKUP(A83,'Data shares'!$C$2:$CV$216,98,0)</f>
        <v>8661600</v>
      </c>
      <c r="C83" s="82">
        <f>VLOOKUP(A83,'Data shares'!$C$2:$CX$216,100,0)</f>
        <v>-37050</v>
      </c>
      <c r="D83" s="141">
        <f>VLOOKUP(A83,'Data shares'!$C$2:$CY$539,101,0)</f>
        <v>-4.3E-3</v>
      </c>
      <c r="E83" s="86">
        <f>VLOOKUP($A83,'Data shares'!$C:$FA,74)</f>
        <v>4767750</v>
      </c>
      <c r="F83" s="86">
        <f>VLOOKUP($A83,'Data shares'!$C:$FA,76)</f>
        <v>-105750</v>
      </c>
      <c r="G83" s="87">
        <f>VLOOKUP(A83,'Data shares'!$C$2:$CA$216,77,0)</f>
        <v>-2.1700000000000001E-2</v>
      </c>
      <c r="H83" s="86">
        <f>VLOOKUP($A83,'Data shares'!$C:$FA,90)</f>
        <v>2189400</v>
      </c>
      <c r="I83" s="86">
        <f>VLOOKUP($A83,'Data shares'!$C:$FA,92)</f>
        <v>7500</v>
      </c>
      <c r="J83" s="87">
        <f>VLOOKUP($A83,'Data shares'!$C:$FA,93)</f>
        <v>3.3999999999999998E-3</v>
      </c>
      <c r="K83" s="86">
        <f>VLOOKUP($A83,'Data shares'!$C:$FA,94)</f>
        <v>1704450</v>
      </c>
      <c r="L83" s="86">
        <f>VLOOKUP($A83,'Data shares'!$C:$FA,96)</f>
        <v>61200</v>
      </c>
      <c r="M83" s="87">
        <f>VLOOKUP($A83,'Data shares'!$C:$FA,97)</f>
        <v>3.7199999999999997E-2</v>
      </c>
      <c r="N83" s="86">
        <f>VLOOKUP($A83,'Data shares'!$C:$FA,78)</f>
        <v>4490550</v>
      </c>
      <c r="O83" s="87">
        <f>VLOOKUP($A83,'Data shares'!$C:$FA,81)</f>
        <v>-2.6200000000000001E-2</v>
      </c>
    </row>
    <row r="84" spans="1:15" x14ac:dyDescent="0.25">
      <c r="A84" s="100" t="str">
        <f>'OI(Value)'!A84</f>
        <v>HFCL</v>
      </c>
      <c r="B84" s="82">
        <f>VLOOKUP(A84,'Data shares'!$C$2:$CV$216,98,0)</f>
        <v>170860500</v>
      </c>
      <c r="C84" s="82">
        <f>VLOOKUP(A84,'Data shares'!$C$2:$CX$216,100,0)</f>
        <v>11055300</v>
      </c>
      <c r="D84" s="141">
        <f>VLOOKUP(A84,'Data shares'!$C$2:$CY$539,101,0)</f>
        <v>6.9199999999999998E-2</v>
      </c>
      <c r="E84" s="86">
        <f>VLOOKUP($A84,'Data shares'!$C:$FA,74)</f>
        <v>118170450</v>
      </c>
      <c r="F84" s="86">
        <f>VLOOKUP($A84,'Data shares'!$C:$FA,76)</f>
        <v>5450250</v>
      </c>
      <c r="G84" s="87">
        <f>VLOOKUP(A84,'Data shares'!$C$2:$CA$216,77,0)</f>
        <v>4.8399999999999999E-2</v>
      </c>
      <c r="H84" s="86">
        <f>VLOOKUP($A84,'Data shares'!$C:$FA,90)</f>
        <v>33933450</v>
      </c>
      <c r="I84" s="86">
        <f>VLOOKUP($A84,'Data shares'!$C:$FA,92)</f>
        <v>4979400</v>
      </c>
      <c r="J84" s="87">
        <f>VLOOKUP($A84,'Data shares'!$C:$FA,93)</f>
        <v>0.17199999999999999</v>
      </c>
      <c r="K84" s="86">
        <f>VLOOKUP($A84,'Data shares'!$C:$FA,94)</f>
        <v>18756600</v>
      </c>
      <c r="L84" s="86">
        <f>VLOOKUP($A84,'Data shares'!$C:$FA,96)</f>
        <v>625650</v>
      </c>
      <c r="M84" s="87">
        <f>VLOOKUP($A84,'Data shares'!$C:$FA,97)</f>
        <v>3.4500000000000003E-2</v>
      </c>
      <c r="N84" s="86">
        <f>VLOOKUP($A84,'Data shares'!$C:$FA,78)</f>
        <v>111391500</v>
      </c>
      <c r="O84" s="87">
        <f>VLOOKUP($A84,'Data shares'!$C:$FA,81)</f>
        <v>3.6499999999999998E-2</v>
      </c>
    </row>
    <row r="85" spans="1:15" x14ac:dyDescent="0.25">
      <c r="A85" s="100" t="str">
        <f>'OI(Value)'!A85</f>
        <v>HINDALCO</v>
      </c>
      <c r="B85" s="82">
        <f>VLOOKUP(A85,'Data shares'!$C$2:$CV$216,98,0)</f>
        <v>86485000</v>
      </c>
      <c r="C85" s="82">
        <f>VLOOKUP(A85,'Data shares'!$C$2:$CX$216,100,0)</f>
        <v>1519000</v>
      </c>
      <c r="D85" s="141">
        <f>VLOOKUP(A85,'Data shares'!$C$2:$CY$539,101,0)</f>
        <v>1.7899999999999999E-2</v>
      </c>
      <c r="E85" s="86">
        <f>VLOOKUP($A85,'Data shares'!$C:$FA,74)</f>
        <v>62290200</v>
      </c>
      <c r="F85" s="86">
        <f>VLOOKUP($A85,'Data shares'!$C:$FA,76)</f>
        <v>-102200</v>
      </c>
      <c r="G85" s="87">
        <f>VLOOKUP(A85,'Data shares'!$C$2:$CA$216,77,0)</f>
        <v>-1.6000000000000001E-3</v>
      </c>
      <c r="H85" s="86">
        <f>VLOOKUP($A85,'Data shares'!$C:$FA,90)</f>
        <v>13599600</v>
      </c>
      <c r="I85" s="86">
        <f>VLOOKUP($A85,'Data shares'!$C:$FA,92)</f>
        <v>1220800</v>
      </c>
      <c r="J85" s="87">
        <f>VLOOKUP($A85,'Data shares'!$C:$FA,93)</f>
        <v>9.8599999999999993E-2</v>
      </c>
      <c r="K85" s="86">
        <f>VLOOKUP($A85,'Data shares'!$C:$FA,94)</f>
        <v>10595200</v>
      </c>
      <c r="L85" s="86">
        <f>VLOOKUP($A85,'Data shares'!$C:$FA,96)</f>
        <v>400400</v>
      </c>
      <c r="M85" s="87">
        <f>VLOOKUP($A85,'Data shares'!$C:$FA,97)</f>
        <v>3.9300000000000002E-2</v>
      </c>
      <c r="N85" s="86">
        <f>VLOOKUP($A85,'Data shares'!$C:$FA,78)</f>
        <v>61588800</v>
      </c>
      <c r="O85" s="87">
        <f>VLOOKUP($A85,'Data shares'!$C:$FA,81)</f>
        <v>-2E-3</v>
      </c>
    </row>
    <row r="86" spans="1:15" x14ac:dyDescent="0.25">
      <c r="A86" s="100" t="str">
        <f>'OI(Value)'!A86</f>
        <v>HINDPETRO</v>
      </c>
      <c r="B86" s="82">
        <f>VLOOKUP(A86,'Data shares'!$C$2:$CV$216,98,0)</f>
        <v>76553100</v>
      </c>
      <c r="C86" s="82">
        <f>VLOOKUP(A86,'Data shares'!$C$2:$CX$216,100,0)</f>
        <v>3373650</v>
      </c>
      <c r="D86" s="141">
        <f>VLOOKUP(A86,'Data shares'!$C$2:$CY$539,101,0)</f>
        <v>4.6100000000000002E-2</v>
      </c>
      <c r="E86" s="86">
        <f>VLOOKUP($A86,'Data shares'!$C:$FA,74)</f>
        <v>50062050</v>
      </c>
      <c r="F86" s="86">
        <f>VLOOKUP($A86,'Data shares'!$C:$FA,76)</f>
        <v>1441800</v>
      </c>
      <c r="G86" s="87">
        <f>VLOOKUP(A86,'Data shares'!$C$2:$CA$216,77,0)</f>
        <v>2.9700000000000001E-2</v>
      </c>
      <c r="H86" s="86">
        <f>VLOOKUP($A86,'Data shares'!$C:$FA,90)</f>
        <v>16943175</v>
      </c>
      <c r="I86" s="86">
        <f>VLOOKUP($A86,'Data shares'!$C:$FA,92)</f>
        <v>959850</v>
      </c>
      <c r="J86" s="87">
        <f>VLOOKUP($A86,'Data shares'!$C:$FA,93)</f>
        <v>6.0100000000000001E-2</v>
      </c>
      <c r="K86" s="86">
        <f>VLOOKUP($A86,'Data shares'!$C:$FA,94)</f>
        <v>9547875</v>
      </c>
      <c r="L86" s="86">
        <f>VLOOKUP($A86,'Data shares'!$C:$FA,96)</f>
        <v>972000</v>
      </c>
      <c r="M86" s="87">
        <f>VLOOKUP($A86,'Data shares'!$C:$FA,97)</f>
        <v>0.1133</v>
      </c>
      <c r="N86" s="86">
        <f>VLOOKUP($A86,'Data shares'!$C:$FA,78)</f>
        <v>49410000</v>
      </c>
      <c r="O86" s="87">
        <f>VLOOKUP($A86,'Data shares'!$C:$FA,81)</f>
        <v>2.75E-2</v>
      </c>
    </row>
    <row r="87" spans="1:15" x14ac:dyDescent="0.25">
      <c r="A87" s="100" t="str">
        <f>'OI(Value)'!A87</f>
        <v>HINDUNILVR</v>
      </c>
      <c r="B87" s="82">
        <f>VLOOKUP(A87,'Data shares'!$C$2:$CV$216,98,0)</f>
        <v>20557200</v>
      </c>
      <c r="C87" s="82">
        <f>VLOOKUP(A87,'Data shares'!$C$2:$CX$216,100,0)</f>
        <v>-373500</v>
      </c>
      <c r="D87" s="141">
        <f>VLOOKUP(A87,'Data shares'!$C$2:$CY$539,101,0)</f>
        <v>-1.78E-2</v>
      </c>
      <c r="E87" s="86">
        <f>VLOOKUP($A87,'Data shares'!$C:$FA,74)</f>
        <v>14598900</v>
      </c>
      <c r="F87" s="86">
        <f>VLOOKUP($A87,'Data shares'!$C:$FA,76)</f>
        <v>-288300</v>
      </c>
      <c r="G87" s="87">
        <f>VLOOKUP(A87,'Data shares'!$C$2:$CA$216,77,0)</f>
        <v>-1.9400000000000001E-2</v>
      </c>
      <c r="H87" s="86">
        <f>VLOOKUP($A87,'Data shares'!$C:$FA,90)</f>
        <v>3600300</v>
      </c>
      <c r="I87" s="86">
        <f>VLOOKUP($A87,'Data shares'!$C:$FA,92)</f>
        <v>-59700</v>
      </c>
      <c r="J87" s="87">
        <f>VLOOKUP($A87,'Data shares'!$C:$FA,93)</f>
        <v>-1.6299999999999999E-2</v>
      </c>
      <c r="K87" s="86">
        <f>VLOOKUP($A87,'Data shares'!$C:$FA,94)</f>
        <v>2358000</v>
      </c>
      <c r="L87" s="86">
        <f>VLOOKUP($A87,'Data shares'!$C:$FA,96)</f>
        <v>-25500</v>
      </c>
      <c r="M87" s="87">
        <f>VLOOKUP($A87,'Data shares'!$C:$FA,97)</f>
        <v>-1.0699999999999999E-2</v>
      </c>
      <c r="N87" s="86">
        <f>VLOOKUP($A87,'Data shares'!$C:$FA,78)</f>
        <v>14246400</v>
      </c>
      <c r="O87" s="87">
        <f>VLOOKUP($A87,'Data shares'!$C:$FA,81)</f>
        <v>-2.1999999999999999E-2</v>
      </c>
    </row>
    <row r="88" spans="1:15" x14ac:dyDescent="0.25">
      <c r="A88" s="100" t="str">
        <f>'OI(Value)'!A88</f>
        <v>HINDZINC</v>
      </c>
      <c r="B88" s="82">
        <f>VLOOKUP(A88,'Data shares'!$C$2:$CV$216,98,0)</f>
        <v>57174425</v>
      </c>
      <c r="C88" s="82">
        <f>VLOOKUP(A88,'Data shares'!$C$2:$CX$216,100,0)</f>
        <v>2720725</v>
      </c>
      <c r="D88" s="141">
        <f>VLOOKUP(A88,'Data shares'!$C$2:$CY$539,101,0)</f>
        <v>0.05</v>
      </c>
      <c r="E88" s="86">
        <f>VLOOKUP($A88,'Data shares'!$C:$FA,74)</f>
        <v>32638900</v>
      </c>
      <c r="F88" s="86">
        <f>VLOOKUP($A88,'Data shares'!$C:$FA,76)</f>
        <v>721525</v>
      </c>
      <c r="G88" s="87">
        <f>VLOOKUP(A88,'Data shares'!$C$2:$CA$216,77,0)</f>
        <v>2.2599999999999999E-2</v>
      </c>
      <c r="H88" s="86">
        <f>VLOOKUP($A88,'Data shares'!$C:$FA,90)</f>
        <v>15594250</v>
      </c>
      <c r="I88" s="86">
        <f>VLOOKUP($A88,'Data shares'!$C:$FA,92)</f>
        <v>1608425</v>
      </c>
      <c r="J88" s="87">
        <f>VLOOKUP($A88,'Data shares'!$C:$FA,93)</f>
        <v>0.115</v>
      </c>
      <c r="K88" s="86">
        <f>VLOOKUP($A88,'Data shares'!$C:$FA,94)</f>
        <v>8941275</v>
      </c>
      <c r="L88" s="86">
        <f>VLOOKUP($A88,'Data shares'!$C:$FA,96)</f>
        <v>390775</v>
      </c>
      <c r="M88" s="87">
        <f>VLOOKUP($A88,'Data shares'!$C:$FA,97)</f>
        <v>4.5699999999999998E-2</v>
      </c>
      <c r="N88" s="86">
        <f>VLOOKUP($A88,'Data shares'!$C:$FA,78)</f>
        <v>31112550</v>
      </c>
      <c r="O88" s="87">
        <f>VLOOKUP($A88,'Data shares'!$C:$FA,81)</f>
        <v>1.3599999999999999E-2</v>
      </c>
    </row>
    <row r="89" spans="1:15" x14ac:dyDescent="0.25">
      <c r="A89" s="100" t="str">
        <f>'OI(Value)'!A89</f>
        <v>HUDCO</v>
      </c>
      <c r="B89" s="82">
        <f>VLOOKUP(A89,'Data shares'!$C$2:$CV$216,98,0)</f>
        <v>47957550</v>
      </c>
      <c r="C89" s="82">
        <f>VLOOKUP(A89,'Data shares'!$C$2:$CX$216,100,0)</f>
        <v>3074700</v>
      </c>
      <c r="D89" s="141">
        <f>VLOOKUP(A89,'Data shares'!$C$2:$CY$539,101,0)</f>
        <v>6.8500000000000005E-2</v>
      </c>
      <c r="E89" s="86">
        <f>VLOOKUP($A89,'Data shares'!$C:$FA,74)</f>
        <v>27275475</v>
      </c>
      <c r="F89" s="86">
        <f>VLOOKUP($A89,'Data shares'!$C:$FA,76)</f>
        <v>55500</v>
      </c>
      <c r="G89" s="87">
        <f>VLOOKUP(A89,'Data shares'!$C$2:$CA$216,77,0)</f>
        <v>2E-3</v>
      </c>
      <c r="H89" s="86">
        <f>VLOOKUP($A89,'Data shares'!$C:$FA,90)</f>
        <v>13153500</v>
      </c>
      <c r="I89" s="86">
        <f>VLOOKUP($A89,'Data shares'!$C:$FA,92)</f>
        <v>2106225</v>
      </c>
      <c r="J89" s="87">
        <f>VLOOKUP($A89,'Data shares'!$C:$FA,93)</f>
        <v>0.19070000000000001</v>
      </c>
      <c r="K89" s="86">
        <f>VLOOKUP($A89,'Data shares'!$C:$FA,94)</f>
        <v>7528575</v>
      </c>
      <c r="L89" s="86">
        <f>VLOOKUP($A89,'Data shares'!$C:$FA,96)</f>
        <v>912975</v>
      </c>
      <c r="M89" s="87">
        <f>VLOOKUP($A89,'Data shares'!$C:$FA,97)</f>
        <v>0.13800000000000001</v>
      </c>
      <c r="N89" s="86">
        <f>VLOOKUP($A89,'Data shares'!$C:$FA,78)</f>
        <v>26376375</v>
      </c>
      <c r="O89" s="87">
        <f>VLOOKUP($A89,'Data shares'!$C:$FA,81)</f>
        <v>-2.0000000000000001E-4</v>
      </c>
    </row>
    <row r="90" spans="1:15" x14ac:dyDescent="0.25">
      <c r="A90" s="100" t="str">
        <f>'OI(Value)'!A90</f>
        <v>ICICIBANK</v>
      </c>
      <c r="B90" s="82">
        <f>VLOOKUP(A90,'Data shares'!$C$2:$CV$216,98,0)</f>
        <v>159332600</v>
      </c>
      <c r="C90" s="82">
        <f>VLOOKUP(A90,'Data shares'!$C$2:$CX$216,100,0)</f>
        <v>6381900</v>
      </c>
      <c r="D90" s="141">
        <f>VLOOKUP(A90,'Data shares'!$C$2:$CY$539,101,0)</f>
        <v>4.1700000000000001E-2</v>
      </c>
      <c r="E90" s="86">
        <f>VLOOKUP($A90,'Data shares'!$C:$FA,74)</f>
        <v>119729400</v>
      </c>
      <c r="F90" s="86">
        <f>VLOOKUP($A90,'Data shares'!$C:$FA,76)</f>
        <v>-284200</v>
      </c>
      <c r="G90" s="87">
        <f>VLOOKUP(A90,'Data shares'!$C$2:$CA$216,77,0)</f>
        <v>-2.3999999999999998E-3</v>
      </c>
      <c r="H90" s="86">
        <f>VLOOKUP($A90,'Data shares'!$C:$FA,90)</f>
        <v>22659700</v>
      </c>
      <c r="I90" s="86">
        <f>VLOOKUP($A90,'Data shares'!$C:$FA,92)</f>
        <v>4313400</v>
      </c>
      <c r="J90" s="87">
        <f>VLOOKUP($A90,'Data shares'!$C:$FA,93)</f>
        <v>0.2351</v>
      </c>
      <c r="K90" s="86">
        <f>VLOOKUP($A90,'Data shares'!$C:$FA,94)</f>
        <v>16943500</v>
      </c>
      <c r="L90" s="86">
        <f>VLOOKUP($A90,'Data shares'!$C:$FA,96)</f>
        <v>2352700</v>
      </c>
      <c r="M90" s="87">
        <f>VLOOKUP($A90,'Data shares'!$C:$FA,97)</f>
        <v>0.16120000000000001</v>
      </c>
      <c r="N90" s="86">
        <f>VLOOKUP($A90,'Data shares'!$C:$FA,78)</f>
        <v>115868900</v>
      </c>
      <c r="O90" s="87">
        <f>VLOOKUP($A90,'Data shares'!$C:$FA,81)</f>
        <v>-3.8E-3</v>
      </c>
    </row>
    <row r="91" spans="1:15" x14ac:dyDescent="0.25">
      <c r="A91" s="100" t="str">
        <f>'OI(Value)'!A91</f>
        <v>ICICIGI</v>
      </c>
      <c r="B91" s="82">
        <f>VLOOKUP(A91,'Data shares'!$C$2:$CV$216,98,0)</f>
        <v>6464250</v>
      </c>
      <c r="C91" s="82">
        <f>VLOOKUP(A91,'Data shares'!$C$2:$CX$216,100,0)</f>
        <v>86775</v>
      </c>
      <c r="D91" s="141">
        <f>VLOOKUP(A91,'Data shares'!$C$2:$CY$539,101,0)</f>
        <v>1.3599999999999999E-2</v>
      </c>
      <c r="E91" s="86">
        <f>VLOOKUP($A91,'Data shares'!$C:$FA,74)</f>
        <v>5145400</v>
      </c>
      <c r="F91" s="86">
        <f>VLOOKUP($A91,'Data shares'!$C:$FA,76)</f>
        <v>10725</v>
      </c>
      <c r="G91" s="87">
        <f>VLOOKUP(A91,'Data shares'!$C$2:$CA$216,77,0)</f>
        <v>2.0999999999999999E-3</v>
      </c>
      <c r="H91" s="86">
        <f>VLOOKUP($A91,'Data shares'!$C:$FA,90)</f>
        <v>742950</v>
      </c>
      <c r="I91" s="86">
        <f>VLOOKUP($A91,'Data shares'!$C:$FA,92)</f>
        <v>48100</v>
      </c>
      <c r="J91" s="87">
        <f>VLOOKUP($A91,'Data shares'!$C:$FA,93)</f>
        <v>6.9199999999999998E-2</v>
      </c>
      <c r="K91" s="86">
        <f>VLOOKUP($A91,'Data shares'!$C:$FA,94)</f>
        <v>575900</v>
      </c>
      <c r="L91" s="86">
        <f>VLOOKUP($A91,'Data shares'!$C:$FA,96)</f>
        <v>27950</v>
      </c>
      <c r="M91" s="87">
        <f>VLOOKUP($A91,'Data shares'!$C:$FA,97)</f>
        <v>5.0999999999999997E-2</v>
      </c>
      <c r="N91" s="86">
        <f>VLOOKUP($A91,'Data shares'!$C:$FA,78)</f>
        <v>5124600</v>
      </c>
      <c r="O91" s="87">
        <f>VLOOKUP($A91,'Data shares'!$C:$FA,81)</f>
        <v>2.2000000000000001E-3</v>
      </c>
    </row>
    <row r="92" spans="1:15" x14ac:dyDescent="0.25">
      <c r="A92" s="100" t="str">
        <f>'OI(Value)'!A92</f>
        <v>ICICIPRULI</v>
      </c>
      <c r="B92" s="82">
        <f>VLOOKUP(A92,'Data shares'!$C$2:$CV$216,98,0)</f>
        <v>15778650</v>
      </c>
      <c r="C92" s="82">
        <f>VLOOKUP(A92,'Data shares'!$C$2:$CX$216,100,0)</f>
        <v>149850</v>
      </c>
      <c r="D92" s="141">
        <f>VLOOKUP(A92,'Data shares'!$C$2:$CY$539,101,0)</f>
        <v>9.5999999999999992E-3</v>
      </c>
      <c r="E92" s="86">
        <f>VLOOKUP($A92,'Data shares'!$C:$FA,74)</f>
        <v>11729925</v>
      </c>
      <c r="F92" s="86">
        <f>VLOOKUP($A92,'Data shares'!$C:$FA,76)</f>
        <v>-60125</v>
      </c>
      <c r="G92" s="87">
        <f>VLOOKUP(A92,'Data shares'!$C$2:$CA$216,77,0)</f>
        <v>-5.1000000000000004E-3</v>
      </c>
      <c r="H92" s="86">
        <f>VLOOKUP($A92,'Data shares'!$C:$FA,90)</f>
        <v>2251450</v>
      </c>
      <c r="I92" s="86">
        <f>VLOOKUP($A92,'Data shares'!$C:$FA,92)</f>
        <v>157250</v>
      </c>
      <c r="J92" s="87">
        <f>VLOOKUP($A92,'Data shares'!$C:$FA,93)</f>
        <v>7.51E-2</v>
      </c>
      <c r="K92" s="86">
        <f>VLOOKUP($A92,'Data shares'!$C:$FA,94)</f>
        <v>1797275</v>
      </c>
      <c r="L92" s="86">
        <f>VLOOKUP($A92,'Data shares'!$C:$FA,96)</f>
        <v>52725</v>
      </c>
      <c r="M92" s="87">
        <f>VLOOKUP($A92,'Data shares'!$C:$FA,97)</f>
        <v>3.0200000000000001E-2</v>
      </c>
      <c r="N92" s="86">
        <f>VLOOKUP($A92,'Data shares'!$C:$FA,78)</f>
        <v>11525500</v>
      </c>
      <c r="O92" s="87">
        <f>VLOOKUP($A92,'Data shares'!$C:$FA,81)</f>
        <v>-6.0000000000000001E-3</v>
      </c>
    </row>
    <row r="93" spans="1:15" x14ac:dyDescent="0.25">
      <c r="A93" s="100" t="str">
        <f>'OI(Value)'!A93</f>
        <v>IDEA</v>
      </c>
      <c r="B93" s="82">
        <f>VLOOKUP(A93,'Data shares'!$C$2:$CV$216,98,0)</f>
        <v>9245934525</v>
      </c>
      <c r="C93" s="82">
        <f>VLOOKUP(A93,'Data shares'!$C$2:$CX$216,100,0)</f>
        <v>720468000</v>
      </c>
      <c r="D93" s="141">
        <f>VLOOKUP(A93,'Data shares'!$C$2:$CY$539,101,0)</f>
        <v>8.4500000000000006E-2</v>
      </c>
      <c r="E93" s="86">
        <f>VLOOKUP($A93,'Data shares'!$C:$FA,74)</f>
        <v>6215537475</v>
      </c>
      <c r="F93" s="86">
        <f>VLOOKUP($A93,'Data shares'!$C:$FA,76)</f>
        <v>209707650</v>
      </c>
      <c r="G93" s="87">
        <f>VLOOKUP(A93,'Data shares'!$C$2:$CA$216,77,0)</f>
        <v>3.49E-2</v>
      </c>
      <c r="H93" s="86">
        <f>VLOOKUP($A93,'Data shares'!$C:$FA,90)</f>
        <v>2007732750</v>
      </c>
      <c r="I93" s="86">
        <f>VLOOKUP($A93,'Data shares'!$C:$FA,92)</f>
        <v>373957200</v>
      </c>
      <c r="J93" s="87">
        <f>VLOOKUP($A93,'Data shares'!$C:$FA,93)</f>
        <v>0.22889999999999999</v>
      </c>
      <c r="K93" s="86">
        <f>VLOOKUP($A93,'Data shares'!$C:$FA,94)</f>
        <v>1022664300</v>
      </c>
      <c r="L93" s="86">
        <f>VLOOKUP($A93,'Data shares'!$C:$FA,96)</f>
        <v>136803150</v>
      </c>
      <c r="M93" s="87">
        <f>VLOOKUP($A93,'Data shares'!$C:$FA,97)</f>
        <v>0.15440000000000001</v>
      </c>
      <c r="N93" s="86">
        <f>VLOOKUP($A93,'Data shares'!$C:$FA,78)</f>
        <v>5915842800</v>
      </c>
      <c r="O93" s="87">
        <f>VLOOKUP($A93,'Data shares'!$C:$FA,81)</f>
        <v>2.8799999999999999E-2</v>
      </c>
    </row>
    <row r="94" spans="1:15" x14ac:dyDescent="0.25">
      <c r="A94" s="100" t="str">
        <f>'OI(Value)'!A94</f>
        <v>IDFCFIRSTB</v>
      </c>
      <c r="B94" s="82">
        <f>VLOOKUP(A94,'Data shares'!$C$2:$CV$216,98,0)</f>
        <v>604229150</v>
      </c>
      <c r="C94" s="82">
        <f>VLOOKUP(A94,'Data shares'!$C$2:$CX$216,100,0)</f>
        <v>1122275</v>
      </c>
      <c r="D94" s="141">
        <f>VLOOKUP(A94,'Data shares'!$C$2:$CY$539,101,0)</f>
        <v>1.9E-3</v>
      </c>
      <c r="E94" s="86">
        <f>VLOOKUP($A94,'Data shares'!$C:$FA,74)</f>
        <v>405261850</v>
      </c>
      <c r="F94" s="86">
        <f>VLOOKUP($A94,'Data shares'!$C:$FA,76)</f>
        <v>-7568400</v>
      </c>
      <c r="G94" s="87">
        <f>VLOOKUP(A94,'Data shares'!$C$2:$CA$216,77,0)</f>
        <v>-1.83E-2</v>
      </c>
      <c r="H94" s="86">
        <f>VLOOKUP($A94,'Data shares'!$C:$FA,90)</f>
        <v>124628175</v>
      </c>
      <c r="I94" s="86">
        <f>VLOOKUP($A94,'Data shares'!$C:$FA,92)</f>
        <v>3839850</v>
      </c>
      <c r="J94" s="87">
        <f>VLOOKUP($A94,'Data shares'!$C:$FA,93)</f>
        <v>3.1800000000000002E-2</v>
      </c>
      <c r="K94" s="86">
        <f>VLOOKUP($A94,'Data shares'!$C:$FA,94)</f>
        <v>74339125</v>
      </c>
      <c r="L94" s="86">
        <f>VLOOKUP($A94,'Data shares'!$C:$FA,96)</f>
        <v>4850825</v>
      </c>
      <c r="M94" s="87">
        <f>VLOOKUP($A94,'Data shares'!$C:$FA,97)</f>
        <v>6.9800000000000001E-2</v>
      </c>
      <c r="N94" s="86">
        <f>VLOOKUP($A94,'Data shares'!$C:$FA,78)</f>
        <v>384402375</v>
      </c>
      <c r="O94" s="87">
        <f>VLOOKUP($A94,'Data shares'!$C:$FA,81)</f>
        <v>-1.9E-2</v>
      </c>
    </row>
    <row r="95" spans="1:15" x14ac:dyDescent="0.25">
      <c r="A95" s="100" t="str">
        <f>'OI(Value)'!A95</f>
        <v>IEX</v>
      </c>
      <c r="B95" s="82">
        <f>VLOOKUP(A95,'Data shares'!$C$2:$CV$216,98,0)</f>
        <v>93491250</v>
      </c>
      <c r="C95" s="82">
        <f>VLOOKUP(A95,'Data shares'!$C$2:$CX$216,100,0)</f>
        <v>3266250</v>
      </c>
      <c r="D95" s="141">
        <f>VLOOKUP(A95,'Data shares'!$C$2:$CY$539,101,0)</f>
        <v>3.6200000000000003E-2</v>
      </c>
      <c r="E95" s="86">
        <f>VLOOKUP($A95,'Data shares'!$C:$FA,74)</f>
        <v>53433750</v>
      </c>
      <c r="F95" s="86">
        <f>VLOOKUP($A95,'Data shares'!$C:$FA,76)</f>
        <v>806250</v>
      </c>
      <c r="G95" s="87">
        <f>VLOOKUP(A95,'Data shares'!$C$2:$CA$216,77,0)</f>
        <v>1.5299999999999999E-2</v>
      </c>
      <c r="H95" s="86">
        <f>VLOOKUP($A95,'Data shares'!$C:$FA,90)</f>
        <v>22233750</v>
      </c>
      <c r="I95" s="86">
        <f>VLOOKUP($A95,'Data shares'!$C:$FA,92)</f>
        <v>1893750</v>
      </c>
      <c r="J95" s="87">
        <f>VLOOKUP($A95,'Data shares'!$C:$FA,93)</f>
        <v>9.3100000000000002E-2</v>
      </c>
      <c r="K95" s="86">
        <f>VLOOKUP($A95,'Data shares'!$C:$FA,94)</f>
        <v>17823750</v>
      </c>
      <c r="L95" s="86">
        <f>VLOOKUP($A95,'Data shares'!$C:$FA,96)</f>
        <v>566250</v>
      </c>
      <c r="M95" s="87">
        <f>VLOOKUP($A95,'Data shares'!$C:$FA,97)</f>
        <v>3.2800000000000003E-2</v>
      </c>
      <c r="N95" s="86">
        <f>VLOOKUP($A95,'Data shares'!$C:$FA,78)</f>
        <v>50542500</v>
      </c>
      <c r="O95" s="87">
        <f>VLOOKUP($A95,'Data shares'!$C:$FA,81)</f>
        <v>9.4000000000000004E-3</v>
      </c>
    </row>
    <row r="96" spans="1:15" x14ac:dyDescent="0.25">
      <c r="A96" s="100" t="str">
        <f>'OI(Value)'!A96</f>
        <v>IGL</v>
      </c>
      <c r="B96" s="82">
        <f>VLOOKUP(A96,'Data shares'!$C$2:$CV$216,98,0)</f>
        <v>27797000</v>
      </c>
      <c r="C96" s="82">
        <f>VLOOKUP(A96,'Data shares'!$C$2:$CX$216,100,0)</f>
        <v>1963500</v>
      </c>
      <c r="D96" s="141">
        <f>VLOOKUP(A96,'Data shares'!$C$2:$CY$539,101,0)</f>
        <v>7.5999999999999998E-2</v>
      </c>
      <c r="E96" s="86">
        <f>VLOOKUP($A96,'Data shares'!$C:$FA,74)</f>
        <v>15367000</v>
      </c>
      <c r="F96" s="86">
        <f>VLOOKUP($A96,'Data shares'!$C:$FA,76)</f>
        <v>844250</v>
      </c>
      <c r="G96" s="87">
        <f>VLOOKUP(A96,'Data shares'!$C$2:$CA$216,77,0)</f>
        <v>5.8099999999999999E-2</v>
      </c>
      <c r="H96" s="86">
        <f>VLOOKUP($A96,'Data shares'!$C:$FA,90)</f>
        <v>7463500</v>
      </c>
      <c r="I96" s="86">
        <f>VLOOKUP($A96,'Data shares'!$C:$FA,92)</f>
        <v>591250</v>
      </c>
      <c r="J96" s="87">
        <f>VLOOKUP($A96,'Data shares'!$C:$FA,93)</f>
        <v>8.5999999999999993E-2</v>
      </c>
      <c r="K96" s="86">
        <f>VLOOKUP($A96,'Data shares'!$C:$FA,94)</f>
        <v>4966500</v>
      </c>
      <c r="L96" s="86">
        <f>VLOOKUP($A96,'Data shares'!$C:$FA,96)</f>
        <v>528000</v>
      </c>
      <c r="M96" s="87">
        <f>VLOOKUP($A96,'Data shares'!$C:$FA,97)</f>
        <v>0.11899999999999999</v>
      </c>
      <c r="N96" s="86">
        <f>VLOOKUP($A96,'Data shares'!$C:$FA,78)</f>
        <v>14286250</v>
      </c>
      <c r="O96" s="87">
        <f>VLOOKUP($A96,'Data shares'!$C:$FA,81)</f>
        <v>5.6099999999999997E-2</v>
      </c>
    </row>
    <row r="97" spans="1:15" x14ac:dyDescent="0.25">
      <c r="A97" s="100" t="str">
        <f>'OI(Value)'!A97</f>
        <v>IIFL</v>
      </c>
      <c r="B97" s="82">
        <f>VLOOKUP(A97,'Data shares'!$C$2:$CV$216,98,0)</f>
        <v>21233850</v>
      </c>
      <c r="C97" s="82">
        <f>VLOOKUP(A97,'Data shares'!$C$2:$CX$216,100,0)</f>
        <v>737550</v>
      </c>
      <c r="D97" s="141">
        <f>VLOOKUP(A97,'Data shares'!$C$2:$CY$539,101,0)</f>
        <v>3.5999999999999997E-2</v>
      </c>
      <c r="E97" s="86">
        <f>VLOOKUP($A97,'Data shares'!$C:$FA,74)</f>
        <v>15516600</v>
      </c>
      <c r="F97" s="86">
        <f>VLOOKUP($A97,'Data shares'!$C:$FA,76)</f>
        <v>468600</v>
      </c>
      <c r="G97" s="87">
        <f>VLOOKUP(A97,'Data shares'!$C$2:$CA$216,77,0)</f>
        <v>3.1099999999999999E-2</v>
      </c>
      <c r="H97" s="86">
        <f>VLOOKUP($A97,'Data shares'!$C:$FA,90)</f>
        <v>3917100</v>
      </c>
      <c r="I97" s="86">
        <f>VLOOKUP($A97,'Data shares'!$C:$FA,92)</f>
        <v>176550</v>
      </c>
      <c r="J97" s="87">
        <f>VLOOKUP($A97,'Data shares'!$C:$FA,93)</f>
        <v>4.7199999999999999E-2</v>
      </c>
      <c r="K97" s="86">
        <f>VLOOKUP($A97,'Data shares'!$C:$FA,94)</f>
        <v>1800150</v>
      </c>
      <c r="L97" s="86">
        <f>VLOOKUP($A97,'Data shares'!$C:$FA,96)</f>
        <v>92400</v>
      </c>
      <c r="M97" s="87">
        <f>VLOOKUP($A97,'Data shares'!$C:$FA,97)</f>
        <v>5.4100000000000002E-2</v>
      </c>
      <c r="N97" s="86">
        <f>VLOOKUP($A97,'Data shares'!$C:$FA,78)</f>
        <v>15318600</v>
      </c>
      <c r="O97" s="87">
        <f>VLOOKUP($A97,'Data shares'!$C:$FA,81)</f>
        <v>2.9700000000000001E-2</v>
      </c>
    </row>
    <row r="98" spans="1:15" x14ac:dyDescent="0.25">
      <c r="A98" s="100" t="str">
        <f>'OI(Value)'!A98</f>
        <v>INDHOTEL</v>
      </c>
      <c r="B98" s="82">
        <f>VLOOKUP(A98,'Data shares'!$C$2:$CV$216,98,0)</f>
        <v>45219000</v>
      </c>
      <c r="C98" s="82">
        <f>VLOOKUP(A98,'Data shares'!$C$2:$CX$216,100,0)</f>
        <v>2120000</v>
      </c>
      <c r="D98" s="141">
        <f>VLOOKUP(A98,'Data shares'!$C$2:$CY$539,101,0)</f>
        <v>4.9200000000000001E-2</v>
      </c>
      <c r="E98" s="86">
        <f>VLOOKUP($A98,'Data shares'!$C:$FA,74)</f>
        <v>27953000</v>
      </c>
      <c r="F98" s="86">
        <f>VLOOKUP($A98,'Data shares'!$C:$FA,76)</f>
        <v>853000</v>
      </c>
      <c r="G98" s="87">
        <f>VLOOKUP(A98,'Data shares'!$C$2:$CA$216,77,0)</f>
        <v>3.15E-2</v>
      </c>
      <c r="H98" s="86">
        <f>VLOOKUP($A98,'Data shares'!$C:$FA,90)</f>
        <v>10982000</v>
      </c>
      <c r="I98" s="86">
        <f>VLOOKUP($A98,'Data shares'!$C:$FA,92)</f>
        <v>1041000</v>
      </c>
      <c r="J98" s="87">
        <f>VLOOKUP($A98,'Data shares'!$C:$FA,93)</f>
        <v>0.1047</v>
      </c>
      <c r="K98" s="86">
        <f>VLOOKUP($A98,'Data shares'!$C:$FA,94)</f>
        <v>6284000</v>
      </c>
      <c r="L98" s="86">
        <f>VLOOKUP($A98,'Data shares'!$C:$FA,96)</f>
        <v>226000</v>
      </c>
      <c r="M98" s="87">
        <f>VLOOKUP($A98,'Data shares'!$C:$FA,97)</f>
        <v>3.73E-2</v>
      </c>
      <c r="N98" s="86">
        <f>VLOOKUP($A98,'Data shares'!$C:$FA,78)</f>
        <v>26923000</v>
      </c>
      <c r="O98" s="87">
        <f>VLOOKUP($A98,'Data shares'!$C:$FA,81)</f>
        <v>2.9399999999999999E-2</v>
      </c>
    </row>
    <row r="99" spans="1:15" x14ac:dyDescent="0.25">
      <c r="A99" s="100" t="str">
        <f>'OI(Value)'!A99</f>
        <v>INDIANB</v>
      </c>
      <c r="B99" s="82">
        <f>VLOOKUP(A99,'Data shares'!$C$2:$CV$216,98,0)</f>
        <v>12722000</v>
      </c>
      <c r="C99" s="82">
        <f>VLOOKUP(A99,'Data shares'!$C$2:$CX$216,100,0)</f>
        <v>406000</v>
      </c>
      <c r="D99" s="141">
        <f>VLOOKUP(A99,'Data shares'!$C$2:$CY$539,101,0)</f>
        <v>3.3000000000000002E-2</v>
      </c>
      <c r="E99" s="86">
        <f>VLOOKUP($A99,'Data shares'!$C:$FA,74)</f>
        <v>7653000</v>
      </c>
      <c r="F99" s="86">
        <f>VLOOKUP($A99,'Data shares'!$C:$FA,76)</f>
        <v>132000</v>
      </c>
      <c r="G99" s="87">
        <f>VLOOKUP(A99,'Data shares'!$C$2:$CA$216,77,0)</f>
        <v>1.7600000000000001E-2</v>
      </c>
      <c r="H99" s="86">
        <f>VLOOKUP($A99,'Data shares'!$C:$FA,90)</f>
        <v>2680000</v>
      </c>
      <c r="I99" s="86">
        <f>VLOOKUP($A99,'Data shares'!$C:$FA,92)</f>
        <v>163000</v>
      </c>
      <c r="J99" s="87">
        <f>VLOOKUP($A99,'Data shares'!$C:$FA,93)</f>
        <v>6.4799999999999996E-2</v>
      </c>
      <c r="K99" s="86">
        <f>VLOOKUP($A99,'Data shares'!$C:$FA,94)</f>
        <v>2389000</v>
      </c>
      <c r="L99" s="86">
        <f>VLOOKUP($A99,'Data shares'!$C:$FA,96)</f>
        <v>111000</v>
      </c>
      <c r="M99" s="87">
        <f>VLOOKUP($A99,'Data shares'!$C:$FA,97)</f>
        <v>4.87E-2</v>
      </c>
      <c r="N99" s="86">
        <f>VLOOKUP($A99,'Data shares'!$C:$FA,78)</f>
        <v>7497000</v>
      </c>
      <c r="O99" s="87">
        <f>VLOOKUP($A99,'Data shares'!$C:$FA,81)</f>
        <v>1.37E-2</v>
      </c>
    </row>
    <row r="100" spans="1:15" x14ac:dyDescent="0.25">
      <c r="A100" s="100" t="str">
        <f>'OI(Value)'!A100</f>
        <v>INDIAVIX</v>
      </c>
      <c r="B100" s="82">
        <f>VLOOKUP(A100,'Data shares'!$C$2:$CV$216,98,0)</f>
        <v>0</v>
      </c>
      <c r="C100" s="82">
        <f>VLOOKUP(A100,'Data shares'!$C$2:$CX$216,100,0)</f>
        <v>0</v>
      </c>
      <c r="D100" s="141">
        <f>VLOOKUP(A100,'Data shares'!$C$2:$CY$539,101,0)</f>
        <v>0</v>
      </c>
      <c r="E100" s="86">
        <f>VLOOKUP($A100,'Data shares'!$C:$FA,74)</f>
        <v>0</v>
      </c>
      <c r="F100" s="86">
        <f>VLOOKUP($A100,'Data shares'!$C:$FA,76)</f>
        <v>0</v>
      </c>
      <c r="G100" s="87">
        <f>VLOOKUP(A100,'Data shares'!$C$2:$CA$216,77,0)</f>
        <v>0</v>
      </c>
      <c r="H100" s="86">
        <f>VLOOKUP($A100,'Data shares'!$C:$FA,90)</f>
        <v>0</v>
      </c>
      <c r="I100" s="86">
        <f>VLOOKUP($A100,'Data shares'!$C:$FA,92)</f>
        <v>0</v>
      </c>
      <c r="J100" s="87">
        <f>VLOOKUP($A100,'Data shares'!$C:$FA,93)</f>
        <v>0</v>
      </c>
      <c r="K100" s="86">
        <f>VLOOKUP($A100,'Data shares'!$C:$FA,94)</f>
        <v>0</v>
      </c>
      <c r="L100" s="86">
        <f>VLOOKUP($A100,'Data shares'!$C:$FA,96)</f>
        <v>0</v>
      </c>
      <c r="M100" s="87">
        <f>VLOOKUP($A100,'Data shares'!$C:$FA,97)</f>
        <v>0</v>
      </c>
      <c r="N100" s="86">
        <f>VLOOKUP($A100,'Data shares'!$C:$FA,78)</f>
        <v>0</v>
      </c>
      <c r="O100" s="87">
        <f>VLOOKUP($A100,'Data shares'!$C:$FA,81)</f>
        <v>0</v>
      </c>
    </row>
    <row r="101" spans="1:15" x14ac:dyDescent="0.25">
      <c r="A101" s="100" t="str">
        <f>'OI(Value)'!A101</f>
        <v>INDIGO</v>
      </c>
      <c r="B101" s="82">
        <f>VLOOKUP(A101,'Data shares'!$C$2:$CV$216,98,0)</f>
        <v>11128650</v>
      </c>
      <c r="C101" s="82">
        <f>VLOOKUP(A101,'Data shares'!$C$2:$CX$216,100,0)</f>
        <v>-1800</v>
      </c>
      <c r="D101" s="141">
        <f>VLOOKUP(A101,'Data shares'!$C$2:$CY$539,101,0)</f>
        <v>-2.0000000000000001E-4</v>
      </c>
      <c r="E101" s="86">
        <f>VLOOKUP($A101,'Data shares'!$C:$FA,74)</f>
        <v>8198400</v>
      </c>
      <c r="F101" s="86">
        <f>VLOOKUP($A101,'Data shares'!$C:$FA,76)</f>
        <v>-91650</v>
      </c>
      <c r="G101" s="87">
        <f>VLOOKUP(A101,'Data shares'!$C$2:$CA$216,77,0)</f>
        <v>-1.11E-2</v>
      </c>
      <c r="H101" s="86">
        <f>VLOOKUP($A101,'Data shares'!$C:$FA,90)</f>
        <v>1707600</v>
      </c>
      <c r="I101" s="86">
        <f>VLOOKUP($A101,'Data shares'!$C:$FA,92)</f>
        <v>50100</v>
      </c>
      <c r="J101" s="87">
        <f>VLOOKUP($A101,'Data shares'!$C:$FA,93)</f>
        <v>3.0200000000000001E-2</v>
      </c>
      <c r="K101" s="86">
        <f>VLOOKUP($A101,'Data shares'!$C:$FA,94)</f>
        <v>1222650</v>
      </c>
      <c r="L101" s="86">
        <f>VLOOKUP($A101,'Data shares'!$C:$FA,96)</f>
        <v>39750</v>
      </c>
      <c r="M101" s="87">
        <f>VLOOKUP($A101,'Data shares'!$C:$FA,97)</f>
        <v>3.3599999999999998E-2</v>
      </c>
      <c r="N101" s="86">
        <f>VLOOKUP($A101,'Data shares'!$C:$FA,78)</f>
        <v>8088300</v>
      </c>
      <c r="O101" s="87">
        <f>VLOOKUP($A101,'Data shares'!$C:$FA,81)</f>
        <v>-1.1599999999999999E-2</v>
      </c>
    </row>
    <row r="102" spans="1:15" x14ac:dyDescent="0.25">
      <c r="A102" s="100" t="str">
        <f>'OI(Value)'!A102</f>
        <v>INDUSINDBK</v>
      </c>
      <c r="B102" s="82">
        <f>VLOOKUP(A102,'Data shares'!$C$2:$CV$216,98,0)</f>
        <v>75327000</v>
      </c>
      <c r="C102" s="82">
        <f>VLOOKUP(A102,'Data shares'!$C$2:$CX$216,100,0)</f>
        <v>1300600</v>
      </c>
      <c r="D102" s="141">
        <f>VLOOKUP(A102,'Data shares'!$C$2:$CY$539,101,0)</f>
        <v>1.7600000000000001E-2</v>
      </c>
      <c r="E102" s="86">
        <f>VLOOKUP($A102,'Data shares'!$C:$FA,74)</f>
        <v>54534200</v>
      </c>
      <c r="F102" s="86">
        <f>VLOOKUP($A102,'Data shares'!$C:$FA,76)</f>
        <v>178500</v>
      </c>
      <c r="G102" s="87">
        <f>VLOOKUP(A102,'Data shares'!$C$2:$CA$216,77,0)</f>
        <v>3.3E-3</v>
      </c>
      <c r="H102" s="86">
        <f>VLOOKUP($A102,'Data shares'!$C:$FA,90)</f>
        <v>10465700</v>
      </c>
      <c r="I102" s="86">
        <f>VLOOKUP($A102,'Data shares'!$C:$FA,92)</f>
        <v>1077300</v>
      </c>
      <c r="J102" s="87">
        <f>VLOOKUP($A102,'Data shares'!$C:$FA,93)</f>
        <v>0.1147</v>
      </c>
      <c r="K102" s="86">
        <f>VLOOKUP($A102,'Data shares'!$C:$FA,94)</f>
        <v>10327100</v>
      </c>
      <c r="L102" s="86">
        <f>VLOOKUP($A102,'Data shares'!$C:$FA,96)</f>
        <v>44800</v>
      </c>
      <c r="M102" s="87">
        <f>VLOOKUP($A102,'Data shares'!$C:$FA,97)</f>
        <v>4.4000000000000003E-3</v>
      </c>
      <c r="N102" s="86">
        <f>VLOOKUP($A102,'Data shares'!$C:$FA,78)</f>
        <v>52994200</v>
      </c>
      <c r="O102" s="87">
        <f>VLOOKUP($A102,'Data shares'!$C:$FA,81)</f>
        <v>1.6000000000000001E-3</v>
      </c>
    </row>
    <row r="103" spans="1:15" x14ac:dyDescent="0.25">
      <c r="A103" s="100" t="str">
        <f>'OI(Value)'!A103</f>
        <v>INDUSTOWER</v>
      </c>
      <c r="B103" s="82">
        <f>VLOOKUP(A103,'Data shares'!$C$2:$CV$216,98,0)</f>
        <v>114903000</v>
      </c>
      <c r="C103" s="82">
        <f>VLOOKUP(A103,'Data shares'!$C$2:$CX$216,100,0)</f>
        <v>1550400</v>
      </c>
      <c r="D103" s="141">
        <f>VLOOKUP(A103,'Data shares'!$C$2:$CY$539,101,0)</f>
        <v>1.37E-2</v>
      </c>
      <c r="E103" s="86">
        <f>VLOOKUP($A103,'Data shares'!$C:$FA,74)</f>
        <v>85702100</v>
      </c>
      <c r="F103" s="86">
        <f>VLOOKUP($A103,'Data shares'!$C:$FA,76)</f>
        <v>-372300</v>
      </c>
      <c r="G103" s="87">
        <f>VLOOKUP(A103,'Data shares'!$C$2:$CA$216,77,0)</f>
        <v>-4.3E-3</v>
      </c>
      <c r="H103" s="86">
        <f>VLOOKUP($A103,'Data shares'!$C:$FA,90)</f>
        <v>17198900</v>
      </c>
      <c r="I103" s="86">
        <f>VLOOKUP($A103,'Data shares'!$C:$FA,92)</f>
        <v>1497700</v>
      </c>
      <c r="J103" s="87">
        <f>VLOOKUP($A103,'Data shares'!$C:$FA,93)</f>
        <v>9.5399999999999999E-2</v>
      </c>
      <c r="K103" s="86">
        <f>VLOOKUP($A103,'Data shares'!$C:$FA,94)</f>
        <v>12002000</v>
      </c>
      <c r="L103" s="86">
        <f>VLOOKUP($A103,'Data shares'!$C:$FA,96)</f>
        <v>425000</v>
      </c>
      <c r="M103" s="87">
        <f>VLOOKUP($A103,'Data shares'!$C:$FA,97)</f>
        <v>3.6700000000000003E-2</v>
      </c>
      <c r="N103" s="86">
        <f>VLOOKUP($A103,'Data shares'!$C:$FA,78)</f>
        <v>84435600</v>
      </c>
      <c r="O103" s="87">
        <f>VLOOKUP($A103,'Data shares'!$C:$FA,81)</f>
        <v>-5.4000000000000003E-3</v>
      </c>
    </row>
    <row r="104" spans="1:15" x14ac:dyDescent="0.25">
      <c r="A104" s="100" t="str">
        <f>'OI(Value)'!A104</f>
        <v>INFY</v>
      </c>
      <c r="B104" s="82">
        <f>VLOOKUP(A104,'Data shares'!$C$2:$CV$216,98,0)</f>
        <v>93449200</v>
      </c>
      <c r="C104" s="82">
        <f>VLOOKUP(A104,'Data shares'!$C$2:$CX$216,100,0)</f>
        <v>49600</v>
      </c>
      <c r="D104" s="141">
        <f>VLOOKUP(A104,'Data shares'!$C$2:$CY$539,101,0)</f>
        <v>5.0000000000000001E-4</v>
      </c>
      <c r="E104" s="86">
        <f>VLOOKUP($A104,'Data shares'!$C:$FA,74)</f>
        <v>61686000</v>
      </c>
      <c r="F104" s="86">
        <f>VLOOKUP($A104,'Data shares'!$C:$FA,76)</f>
        <v>476000</v>
      </c>
      <c r="G104" s="87">
        <f>VLOOKUP(A104,'Data shares'!$C$2:$CA$216,77,0)</f>
        <v>7.7999999999999996E-3</v>
      </c>
      <c r="H104" s="86">
        <f>VLOOKUP($A104,'Data shares'!$C:$FA,90)</f>
        <v>16860800</v>
      </c>
      <c r="I104" s="86">
        <f>VLOOKUP($A104,'Data shares'!$C:$FA,92)</f>
        <v>-282000</v>
      </c>
      <c r="J104" s="87">
        <f>VLOOKUP($A104,'Data shares'!$C:$FA,93)</f>
        <v>-1.6500000000000001E-2</v>
      </c>
      <c r="K104" s="86">
        <f>VLOOKUP($A104,'Data shares'!$C:$FA,94)</f>
        <v>14902400</v>
      </c>
      <c r="L104" s="86">
        <f>VLOOKUP($A104,'Data shares'!$C:$FA,96)</f>
        <v>-144400</v>
      </c>
      <c r="M104" s="87">
        <f>VLOOKUP($A104,'Data shares'!$C:$FA,97)</f>
        <v>-9.5999999999999992E-3</v>
      </c>
      <c r="N104" s="86">
        <f>VLOOKUP($A104,'Data shares'!$C:$FA,78)</f>
        <v>41775600</v>
      </c>
      <c r="O104" s="87">
        <f>VLOOKUP($A104,'Data shares'!$C:$FA,81)</f>
        <v>4.7999999999999996E-3</v>
      </c>
    </row>
    <row r="105" spans="1:15" x14ac:dyDescent="0.25">
      <c r="A105" s="100" t="str">
        <f>'OI(Value)'!A105</f>
        <v>INOXWIND</v>
      </c>
      <c r="B105" s="82">
        <f>VLOOKUP(A105,'Data shares'!$C$2:$CV$216,98,0)</f>
        <v>69922640</v>
      </c>
      <c r="C105" s="82">
        <f>VLOOKUP(A105,'Data shares'!$C$2:$CX$216,100,0)</f>
        <v>3546848</v>
      </c>
      <c r="D105" s="141">
        <f>VLOOKUP(A105,'Data shares'!$C$2:$CY$539,101,0)</f>
        <v>5.3400000000000003E-2</v>
      </c>
      <c r="E105" s="86">
        <f>VLOOKUP($A105,'Data shares'!$C:$FA,74)</f>
        <v>48857504</v>
      </c>
      <c r="F105" s="86">
        <f>VLOOKUP($A105,'Data shares'!$C:$FA,76)</f>
        <v>1079760</v>
      </c>
      <c r="G105" s="87">
        <f>VLOOKUP(A105,'Data shares'!$C$2:$CA$216,77,0)</f>
        <v>2.2599999999999999E-2</v>
      </c>
      <c r="H105" s="86">
        <f>VLOOKUP($A105,'Data shares'!$C:$FA,90)</f>
        <v>13559168</v>
      </c>
      <c r="I105" s="86">
        <f>VLOOKUP($A105,'Data shares'!$C:$FA,92)</f>
        <v>1832320</v>
      </c>
      <c r="J105" s="87">
        <f>VLOOKUP($A105,'Data shares'!$C:$FA,93)</f>
        <v>0.15629999999999999</v>
      </c>
      <c r="K105" s="86">
        <f>VLOOKUP($A105,'Data shares'!$C:$FA,94)</f>
        <v>7505968</v>
      </c>
      <c r="L105" s="86">
        <f>VLOOKUP($A105,'Data shares'!$C:$FA,96)</f>
        <v>634768</v>
      </c>
      <c r="M105" s="87">
        <f>VLOOKUP($A105,'Data shares'!$C:$FA,97)</f>
        <v>9.2399999999999996E-2</v>
      </c>
      <c r="N105" s="86">
        <f>VLOOKUP($A105,'Data shares'!$C:$FA,78)</f>
        <v>47440728</v>
      </c>
      <c r="O105" s="87">
        <f>VLOOKUP($A105,'Data shares'!$C:$FA,81)</f>
        <v>1.9400000000000001E-2</v>
      </c>
    </row>
    <row r="106" spans="1:15" x14ac:dyDescent="0.25">
      <c r="A106" s="100" t="str">
        <f>'OI(Value)'!A106</f>
        <v>IOC</v>
      </c>
      <c r="B106" s="82">
        <f>VLOOKUP(A106,'Data shares'!$C$2:$CV$216,98,0)</f>
        <v>144631500</v>
      </c>
      <c r="C106" s="82">
        <f>VLOOKUP(A106,'Data shares'!$C$2:$CX$216,100,0)</f>
        <v>10583625</v>
      </c>
      <c r="D106" s="141">
        <f>VLOOKUP(A106,'Data shares'!$C$2:$CY$539,101,0)</f>
        <v>7.9000000000000001E-2</v>
      </c>
      <c r="E106" s="86">
        <f>VLOOKUP($A106,'Data shares'!$C:$FA,74)</f>
        <v>89446500</v>
      </c>
      <c r="F106" s="86">
        <f>VLOOKUP($A106,'Data shares'!$C:$FA,76)</f>
        <v>4528875</v>
      </c>
      <c r="G106" s="87">
        <f>VLOOKUP(A106,'Data shares'!$C$2:$CA$216,77,0)</f>
        <v>5.33E-2</v>
      </c>
      <c r="H106" s="86">
        <f>VLOOKUP($A106,'Data shares'!$C:$FA,90)</f>
        <v>31697250</v>
      </c>
      <c r="I106" s="86">
        <f>VLOOKUP($A106,'Data shares'!$C:$FA,92)</f>
        <v>2081625</v>
      </c>
      <c r="J106" s="87">
        <f>VLOOKUP($A106,'Data shares'!$C:$FA,93)</f>
        <v>7.0300000000000001E-2</v>
      </c>
      <c r="K106" s="86">
        <f>VLOOKUP($A106,'Data shares'!$C:$FA,94)</f>
        <v>23487750</v>
      </c>
      <c r="L106" s="86">
        <f>VLOOKUP($A106,'Data shares'!$C:$FA,96)</f>
        <v>3973125</v>
      </c>
      <c r="M106" s="87">
        <f>VLOOKUP($A106,'Data shares'!$C:$FA,97)</f>
        <v>0.2036</v>
      </c>
      <c r="N106" s="86">
        <f>VLOOKUP($A106,'Data shares'!$C:$FA,78)</f>
        <v>86814000</v>
      </c>
      <c r="O106" s="87">
        <f>VLOOKUP($A106,'Data shares'!$C:$FA,81)</f>
        <v>5.2299999999999999E-2</v>
      </c>
    </row>
    <row r="107" spans="1:15" x14ac:dyDescent="0.25">
      <c r="A107" s="100" t="str">
        <f>'OI(Value)'!A107</f>
        <v>IRCTC</v>
      </c>
      <c r="B107" s="82">
        <f>VLOOKUP(A107,'Data shares'!$C$2:$CV$216,98,0)</f>
        <v>24981250</v>
      </c>
      <c r="C107" s="82">
        <f>VLOOKUP(A107,'Data shares'!$C$2:$CX$216,100,0)</f>
        <v>797125</v>
      </c>
      <c r="D107" s="141">
        <f>VLOOKUP(A107,'Data shares'!$C$2:$CY$539,101,0)</f>
        <v>3.3000000000000002E-2</v>
      </c>
      <c r="E107" s="86">
        <f>VLOOKUP($A107,'Data shares'!$C:$FA,74)</f>
        <v>15572375</v>
      </c>
      <c r="F107" s="86">
        <f>VLOOKUP($A107,'Data shares'!$C:$FA,76)</f>
        <v>233625</v>
      </c>
      <c r="G107" s="87">
        <f>VLOOKUP(A107,'Data shares'!$C$2:$CA$216,77,0)</f>
        <v>1.52E-2</v>
      </c>
      <c r="H107" s="86">
        <f>VLOOKUP($A107,'Data shares'!$C:$FA,90)</f>
        <v>5333125</v>
      </c>
      <c r="I107" s="86">
        <f>VLOOKUP($A107,'Data shares'!$C:$FA,92)</f>
        <v>388500</v>
      </c>
      <c r="J107" s="87">
        <f>VLOOKUP($A107,'Data shares'!$C:$FA,93)</f>
        <v>7.8600000000000003E-2</v>
      </c>
      <c r="K107" s="86">
        <f>VLOOKUP($A107,'Data shares'!$C:$FA,94)</f>
        <v>4075750</v>
      </c>
      <c r="L107" s="86">
        <f>VLOOKUP($A107,'Data shares'!$C:$FA,96)</f>
        <v>175000</v>
      </c>
      <c r="M107" s="87">
        <f>VLOOKUP($A107,'Data shares'!$C:$FA,97)</f>
        <v>4.4900000000000002E-2</v>
      </c>
      <c r="N107" s="86">
        <f>VLOOKUP($A107,'Data shares'!$C:$FA,78)</f>
        <v>14120750</v>
      </c>
      <c r="O107" s="87">
        <f>VLOOKUP($A107,'Data shares'!$C:$FA,81)</f>
        <v>6.4000000000000003E-3</v>
      </c>
    </row>
    <row r="108" spans="1:15" x14ac:dyDescent="0.25">
      <c r="A108" s="100" t="str">
        <f>'OI(Value)'!A108</f>
        <v>IREDA</v>
      </c>
      <c r="B108" s="82">
        <f>VLOOKUP(A108,'Data shares'!$C$2:$CV$216,98,0)</f>
        <v>82406700</v>
      </c>
      <c r="C108" s="82">
        <f>VLOOKUP(A108,'Data shares'!$C$2:$CX$216,100,0)</f>
        <v>9863550</v>
      </c>
      <c r="D108" s="141">
        <f>VLOOKUP(A108,'Data shares'!$C$2:$CY$539,101,0)</f>
        <v>0.13600000000000001</v>
      </c>
      <c r="E108" s="86">
        <f>VLOOKUP($A108,'Data shares'!$C:$FA,74)</f>
        <v>42835200</v>
      </c>
      <c r="F108" s="86">
        <f>VLOOKUP($A108,'Data shares'!$C:$FA,76)</f>
        <v>3381000</v>
      </c>
      <c r="G108" s="87">
        <f>VLOOKUP(A108,'Data shares'!$C$2:$CA$216,77,0)</f>
        <v>8.5699999999999998E-2</v>
      </c>
      <c r="H108" s="86">
        <f>VLOOKUP($A108,'Data shares'!$C:$FA,90)</f>
        <v>27938100</v>
      </c>
      <c r="I108" s="86">
        <f>VLOOKUP($A108,'Data shares'!$C:$FA,92)</f>
        <v>4702350</v>
      </c>
      <c r="J108" s="87">
        <f>VLOOKUP($A108,'Data shares'!$C:$FA,93)</f>
        <v>0.2024</v>
      </c>
      <c r="K108" s="86">
        <f>VLOOKUP($A108,'Data shares'!$C:$FA,94)</f>
        <v>11633400</v>
      </c>
      <c r="L108" s="86">
        <f>VLOOKUP($A108,'Data shares'!$C:$FA,96)</f>
        <v>1780200</v>
      </c>
      <c r="M108" s="87">
        <f>VLOOKUP($A108,'Data shares'!$C:$FA,97)</f>
        <v>0.1807</v>
      </c>
      <c r="N108" s="86">
        <f>VLOOKUP($A108,'Data shares'!$C:$FA,78)</f>
        <v>37743000</v>
      </c>
      <c r="O108" s="87">
        <f>VLOOKUP($A108,'Data shares'!$C:$FA,81)</f>
        <v>6.6500000000000004E-2</v>
      </c>
    </row>
    <row r="109" spans="1:15" x14ac:dyDescent="0.25">
      <c r="A109" s="100" t="str">
        <f>'OI(Value)'!A109</f>
        <v>IRFC</v>
      </c>
      <c r="B109" s="82">
        <f>VLOOKUP(A109,'Data shares'!$C$2:$CV$216,98,0)</f>
        <v>67868250</v>
      </c>
      <c r="C109" s="82">
        <f>VLOOKUP(A109,'Data shares'!$C$2:$CX$216,100,0)</f>
        <v>2554250</v>
      </c>
      <c r="D109" s="141">
        <f>VLOOKUP(A109,'Data shares'!$C$2:$CY$539,101,0)</f>
        <v>3.9100000000000003E-2</v>
      </c>
      <c r="E109" s="86">
        <f>VLOOKUP($A109,'Data shares'!$C:$FA,74)</f>
        <v>39979750</v>
      </c>
      <c r="F109" s="86">
        <f>VLOOKUP($A109,'Data shares'!$C:$FA,76)</f>
        <v>943500</v>
      </c>
      <c r="G109" s="87">
        <f>VLOOKUP(A109,'Data shares'!$C$2:$CA$216,77,0)</f>
        <v>2.4199999999999999E-2</v>
      </c>
      <c r="H109" s="86">
        <f>VLOOKUP($A109,'Data shares'!$C:$FA,90)</f>
        <v>18049750</v>
      </c>
      <c r="I109" s="86">
        <f>VLOOKUP($A109,'Data shares'!$C:$FA,92)</f>
        <v>1202750</v>
      </c>
      <c r="J109" s="87">
        <f>VLOOKUP($A109,'Data shares'!$C:$FA,93)</f>
        <v>7.1400000000000005E-2</v>
      </c>
      <c r="K109" s="86">
        <f>VLOOKUP($A109,'Data shares'!$C:$FA,94)</f>
        <v>9838750</v>
      </c>
      <c r="L109" s="86">
        <f>VLOOKUP($A109,'Data shares'!$C:$FA,96)</f>
        <v>408000</v>
      </c>
      <c r="M109" s="87">
        <f>VLOOKUP($A109,'Data shares'!$C:$FA,97)</f>
        <v>4.3299999999999998E-2</v>
      </c>
      <c r="N109" s="86">
        <f>VLOOKUP($A109,'Data shares'!$C:$FA,78)</f>
        <v>36048500</v>
      </c>
      <c r="O109" s="87">
        <f>VLOOKUP($A109,'Data shares'!$C:$FA,81)</f>
        <v>1.9300000000000001E-2</v>
      </c>
    </row>
    <row r="110" spans="1:15" x14ac:dyDescent="0.25">
      <c r="A110" s="100" t="str">
        <f>'OI(Value)'!A110</f>
        <v>ITC</v>
      </c>
      <c r="B110" s="82">
        <f>VLOOKUP(A110,'Data shares'!$C$2:$CV$216,98,0)</f>
        <v>183708800</v>
      </c>
      <c r="C110" s="82">
        <f>VLOOKUP(A110,'Data shares'!$C$2:$CX$216,100,0)</f>
        <v>13576000</v>
      </c>
      <c r="D110" s="141">
        <f>VLOOKUP(A110,'Data shares'!$C$2:$CY$539,101,0)</f>
        <v>7.9799999999999996E-2</v>
      </c>
      <c r="E110" s="86">
        <f>VLOOKUP($A110,'Data shares'!$C:$FA,74)</f>
        <v>114969600</v>
      </c>
      <c r="F110" s="86">
        <f>VLOOKUP($A110,'Data shares'!$C:$FA,76)</f>
        <v>4827200</v>
      </c>
      <c r="G110" s="87">
        <f>VLOOKUP(A110,'Data shares'!$C$2:$CA$216,77,0)</f>
        <v>4.3799999999999999E-2</v>
      </c>
      <c r="H110" s="86">
        <f>VLOOKUP($A110,'Data shares'!$C:$FA,90)</f>
        <v>40446400</v>
      </c>
      <c r="I110" s="86">
        <f>VLOOKUP($A110,'Data shares'!$C:$FA,92)</f>
        <v>5184000</v>
      </c>
      <c r="J110" s="87">
        <f>VLOOKUP($A110,'Data shares'!$C:$FA,93)</f>
        <v>0.14699999999999999</v>
      </c>
      <c r="K110" s="86">
        <f>VLOOKUP($A110,'Data shares'!$C:$FA,94)</f>
        <v>28292800</v>
      </c>
      <c r="L110" s="86">
        <f>VLOOKUP($A110,'Data shares'!$C:$FA,96)</f>
        <v>3564800</v>
      </c>
      <c r="M110" s="87">
        <f>VLOOKUP($A110,'Data shares'!$C:$FA,97)</f>
        <v>0.14419999999999999</v>
      </c>
      <c r="N110" s="86">
        <f>VLOOKUP($A110,'Data shares'!$C:$FA,78)</f>
        <v>110899200</v>
      </c>
      <c r="O110" s="87">
        <f>VLOOKUP($A110,'Data shares'!$C:$FA,81)</f>
        <v>3.9300000000000002E-2</v>
      </c>
    </row>
    <row r="111" spans="1:15" x14ac:dyDescent="0.25">
      <c r="A111" s="100" t="str">
        <f>'OI(Value)'!A111</f>
        <v>JINDALSTEL</v>
      </c>
      <c r="B111" s="82">
        <f>VLOOKUP(A111,'Data shares'!$C$2:$CV$216,98,0)</f>
        <v>19403125</v>
      </c>
      <c r="C111" s="82">
        <f>VLOOKUP(A111,'Data shares'!$C$2:$CX$216,100,0)</f>
        <v>1352500</v>
      </c>
      <c r="D111" s="141">
        <f>VLOOKUP(A111,'Data shares'!$C$2:$CY$539,101,0)</f>
        <v>7.4899999999999994E-2</v>
      </c>
      <c r="E111" s="86">
        <f>VLOOKUP($A111,'Data shares'!$C:$FA,74)</f>
        <v>12415625</v>
      </c>
      <c r="F111" s="86">
        <f>VLOOKUP($A111,'Data shares'!$C:$FA,76)</f>
        <v>88750</v>
      </c>
      <c r="G111" s="87">
        <f>VLOOKUP(A111,'Data shares'!$C$2:$CA$216,77,0)</f>
        <v>7.1999999999999998E-3</v>
      </c>
      <c r="H111" s="86">
        <f>VLOOKUP($A111,'Data shares'!$C:$FA,90)</f>
        <v>4150625</v>
      </c>
      <c r="I111" s="86">
        <f>VLOOKUP($A111,'Data shares'!$C:$FA,92)</f>
        <v>961250</v>
      </c>
      <c r="J111" s="87">
        <f>VLOOKUP($A111,'Data shares'!$C:$FA,93)</f>
        <v>0.3014</v>
      </c>
      <c r="K111" s="86">
        <f>VLOOKUP($A111,'Data shares'!$C:$FA,94)</f>
        <v>2836875</v>
      </c>
      <c r="L111" s="86">
        <f>VLOOKUP($A111,'Data shares'!$C:$FA,96)</f>
        <v>302500</v>
      </c>
      <c r="M111" s="87">
        <f>VLOOKUP($A111,'Data shares'!$C:$FA,97)</f>
        <v>0.11940000000000001</v>
      </c>
      <c r="N111" s="86">
        <f>VLOOKUP($A111,'Data shares'!$C:$FA,78)</f>
        <v>12285625</v>
      </c>
      <c r="O111" s="87">
        <f>VLOOKUP($A111,'Data shares'!$C:$FA,81)</f>
        <v>6.1999999999999998E-3</v>
      </c>
    </row>
    <row r="112" spans="1:15" x14ac:dyDescent="0.25">
      <c r="A112" s="100" t="str">
        <f>'OI(Value)'!A112</f>
        <v>JIOFIN</v>
      </c>
      <c r="B112" s="82">
        <f>VLOOKUP(A112,'Data shares'!$C$2:$CV$216,98,0)</f>
        <v>221069200</v>
      </c>
      <c r="C112" s="82">
        <f>VLOOKUP(A112,'Data shares'!$C$2:$CX$216,100,0)</f>
        <v>-462950</v>
      </c>
      <c r="D112" s="141">
        <f>VLOOKUP(A112,'Data shares'!$C$2:$CY$539,101,0)</f>
        <v>-2.0999999999999999E-3</v>
      </c>
      <c r="E112" s="86">
        <f>VLOOKUP($A112,'Data shares'!$C:$FA,74)</f>
        <v>138184700</v>
      </c>
      <c r="F112" s="86">
        <f>VLOOKUP($A112,'Data shares'!$C:$FA,76)</f>
        <v>-272600</v>
      </c>
      <c r="G112" s="87">
        <f>VLOOKUP(A112,'Data shares'!$C$2:$CA$216,77,0)</f>
        <v>-2E-3</v>
      </c>
      <c r="H112" s="86">
        <f>VLOOKUP($A112,'Data shares'!$C:$FA,90)</f>
        <v>46983550</v>
      </c>
      <c r="I112" s="86">
        <f>VLOOKUP($A112,'Data shares'!$C:$FA,92)</f>
        <v>-399500</v>
      </c>
      <c r="J112" s="87">
        <f>VLOOKUP($A112,'Data shares'!$C:$FA,93)</f>
        <v>-8.3999999999999995E-3</v>
      </c>
      <c r="K112" s="86">
        <f>VLOOKUP($A112,'Data shares'!$C:$FA,94)</f>
        <v>35900950</v>
      </c>
      <c r="L112" s="86">
        <f>VLOOKUP($A112,'Data shares'!$C:$FA,96)</f>
        <v>209150</v>
      </c>
      <c r="M112" s="87">
        <f>VLOOKUP($A112,'Data shares'!$C:$FA,97)</f>
        <v>5.8999999999999999E-3</v>
      </c>
      <c r="N112" s="86">
        <f>VLOOKUP($A112,'Data shares'!$C:$FA,78)</f>
        <v>130925550</v>
      </c>
      <c r="O112" s="87">
        <f>VLOOKUP($A112,'Data shares'!$C:$FA,81)</f>
        <v>-4.4999999999999997E-3</v>
      </c>
    </row>
    <row r="113" spans="1:15" x14ac:dyDescent="0.25">
      <c r="A113" s="100" t="str">
        <f>'OI(Value)'!A113</f>
        <v>JSWENERGY</v>
      </c>
      <c r="B113" s="82">
        <f>VLOOKUP(A113,'Data shares'!$C$2:$CV$216,98,0)</f>
        <v>47020000</v>
      </c>
      <c r="C113" s="82">
        <f>VLOOKUP(A113,'Data shares'!$C$2:$CX$216,100,0)</f>
        <v>729000</v>
      </c>
      <c r="D113" s="141">
        <f>VLOOKUP(A113,'Data shares'!$C$2:$CY$539,101,0)</f>
        <v>1.5699999999999999E-2</v>
      </c>
      <c r="E113" s="86">
        <f>VLOOKUP($A113,'Data shares'!$C:$FA,74)</f>
        <v>39034000</v>
      </c>
      <c r="F113" s="86">
        <f>VLOOKUP($A113,'Data shares'!$C:$FA,76)</f>
        <v>187000</v>
      </c>
      <c r="G113" s="87">
        <f>VLOOKUP(A113,'Data shares'!$C$2:$CA$216,77,0)</f>
        <v>4.7999999999999996E-3</v>
      </c>
      <c r="H113" s="86">
        <f>VLOOKUP($A113,'Data shares'!$C:$FA,90)</f>
        <v>4829000</v>
      </c>
      <c r="I113" s="86">
        <f>VLOOKUP($A113,'Data shares'!$C:$FA,92)</f>
        <v>462000</v>
      </c>
      <c r="J113" s="87">
        <f>VLOOKUP($A113,'Data shares'!$C:$FA,93)</f>
        <v>0.10580000000000001</v>
      </c>
      <c r="K113" s="86">
        <f>VLOOKUP($A113,'Data shares'!$C:$FA,94)</f>
        <v>3157000</v>
      </c>
      <c r="L113" s="86">
        <f>VLOOKUP($A113,'Data shares'!$C:$FA,96)</f>
        <v>80000</v>
      </c>
      <c r="M113" s="87">
        <f>VLOOKUP($A113,'Data shares'!$C:$FA,97)</f>
        <v>2.5999999999999999E-2</v>
      </c>
      <c r="N113" s="86">
        <f>VLOOKUP($A113,'Data shares'!$C:$FA,78)</f>
        <v>38797000</v>
      </c>
      <c r="O113" s="87">
        <f>VLOOKUP($A113,'Data shares'!$C:$FA,81)</f>
        <v>4.5999999999999999E-3</v>
      </c>
    </row>
    <row r="114" spans="1:15" x14ac:dyDescent="0.25">
      <c r="A114" s="100" t="str">
        <f>'OI(Value)'!A114</f>
        <v>JSWSTEEL</v>
      </c>
      <c r="B114" s="82">
        <f>VLOOKUP(A114,'Data shares'!$C$2:$CV$216,98,0)</f>
        <v>52947675</v>
      </c>
      <c r="C114" s="82">
        <f>VLOOKUP(A114,'Data shares'!$C$2:$CX$216,100,0)</f>
        <v>300375</v>
      </c>
      <c r="D114" s="141">
        <f>VLOOKUP(A114,'Data shares'!$C$2:$CY$539,101,0)</f>
        <v>5.7000000000000002E-3</v>
      </c>
      <c r="E114" s="86">
        <f>VLOOKUP($A114,'Data shares'!$C:$FA,74)</f>
        <v>44828100</v>
      </c>
      <c r="F114" s="86">
        <f>VLOOKUP($A114,'Data shares'!$C:$FA,76)</f>
        <v>50625</v>
      </c>
      <c r="G114" s="87">
        <f>VLOOKUP(A114,'Data shares'!$C$2:$CA$216,77,0)</f>
        <v>1.1000000000000001E-3</v>
      </c>
      <c r="H114" s="86">
        <f>VLOOKUP($A114,'Data shares'!$C:$FA,90)</f>
        <v>4926825</v>
      </c>
      <c r="I114" s="86">
        <f>VLOOKUP($A114,'Data shares'!$C:$FA,92)</f>
        <v>119475</v>
      </c>
      <c r="J114" s="87">
        <f>VLOOKUP($A114,'Data shares'!$C:$FA,93)</f>
        <v>2.4899999999999999E-2</v>
      </c>
      <c r="K114" s="86">
        <f>VLOOKUP($A114,'Data shares'!$C:$FA,94)</f>
        <v>3192750</v>
      </c>
      <c r="L114" s="86">
        <f>VLOOKUP($A114,'Data shares'!$C:$FA,96)</f>
        <v>130275</v>
      </c>
      <c r="M114" s="87">
        <f>VLOOKUP($A114,'Data shares'!$C:$FA,97)</f>
        <v>4.2500000000000003E-2</v>
      </c>
      <c r="N114" s="86">
        <f>VLOOKUP($A114,'Data shares'!$C:$FA,78)</f>
        <v>44629650</v>
      </c>
      <c r="O114" s="87">
        <f>VLOOKUP($A114,'Data shares'!$C:$FA,81)</f>
        <v>8.0000000000000004E-4</v>
      </c>
    </row>
    <row r="115" spans="1:15" x14ac:dyDescent="0.25">
      <c r="A115" s="100" t="str">
        <f>'OI(Value)'!A115</f>
        <v>JUBLFOOD</v>
      </c>
      <c r="B115" s="82">
        <f>VLOOKUP(A115,'Data shares'!$C$2:$CV$216,98,0)</f>
        <v>28470000</v>
      </c>
      <c r="C115" s="82">
        <f>VLOOKUP(A115,'Data shares'!$C$2:$CX$216,100,0)</f>
        <v>1683750</v>
      </c>
      <c r="D115" s="141">
        <f>VLOOKUP(A115,'Data shares'!$C$2:$CY$539,101,0)</f>
        <v>6.2899999999999998E-2</v>
      </c>
      <c r="E115" s="86">
        <f>VLOOKUP($A115,'Data shares'!$C:$FA,74)</f>
        <v>21018750</v>
      </c>
      <c r="F115" s="86">
        <f>VLOOKUP($A115,'Data shares'!$C:$FA,76)</f>
        <v>-65000</v>
      </c>
      <c r="G115" s="87">
        <f>VLOOKUP(A115,'Data shares'!$C$2:$CA$216,77,0)</f>
        <v>-3.0999999999999999E-3</v>
      </c>
      <c r="H115" s="86">
        <f>VLOOKUP($A115,'Data shares'!$C:$FA,90)</f>
        <v>4487500</v>
      </c>
      <c r="I115" s="86">
        <f>VLOOKUP($A115,'Data shares'!$C:$FA,92)</f>
        <v>1101250</v>
      </c>
      <c r="J115" s="87">
        <f>VLOOKUP($A115,'Data shares'!$C:$FA,93)</f>
        <v>0.32519999999999999</v>
      </c>
      <c r="K115" s="86">
        <f>VLOOKUP($A115,'Data shares'!$C:$FA,94)</f>
        <v>2963750</v>
      </c>
      <c r="L115" s="86">
        <f>VLOOKUP($A115,'Data shares'!$C:$FA,96)</f>
        <v>647500</v>
      </c>
      <c r="M115" s="87">
        <f>VLOOKUP($A115,'Data shares'!$C:$FA,97)</f>
        <v>0.27950000000000003</v>
      </c>
      <c r="N115" s="86">
        <f>VLOOKUP($A115,'Data shares'!$C:$FA,78)</f>
        <v>20695000</v>
      </c>
      <c r="O115" s="87">
        <f>VLOOKUP($A115,'Data shares'!$C:$FA,81)</f>
        <v>-5.5999999999999999E-3</v>
      </c>
    </row>
    <row r="116" spans="1:15" x14ac:dyDescent="0.25">
      <c r="A116" s="100" t="str">
        <f>'OI(Value)'!A116</f>
        <v>KALYANKJIL</v>
      </c>
      <c r="B116" s="82">
        <f>VLOOKUP(A116,'Data shares'!$C$2:$CV$216,98,0)</f>
        <v>49922225</v>
      </c>
      <c r="C116" s="82">
        <f>VLOOKUP(A116,'Data shares'!$C$2:$CX$216,100,0)</f>
        <v>2225450</v>
      </c>
      <c r="D116" s="141">
        <f>VLOOKUP(A116,'Data shares'!$C$2:$CY$539,101,0)</f>
        <v>4.6699999999999998E-2</v>
      </c>
      <c r="E116" s="86">
        <f>VLOOKUP($A116,'Data shares'!$C:$FA,74)</f>
        <v>30869600</v>
      </c>
      <c r="F116" s="86">
        <f>VLOOKUP($A116,'Data shares'!$C:$FA,76)</f>
        <v>623925</v>
      </c>
      <c r="G116" s="87">
        <f>VLOOKUP(A116,'Data shares'!$C$2:$CA$216,77,0)</f>
        <v>2.06E-2</v>
      </c>
      <c r="H116" s="86">
        <f>VLOOKUP($A116,'Data shares'!$C:$FA,90)</f>
        <v>12192975</v>
      </c>
      <c r="I116" s="86">
        <f>VLOOKUP($A116,'Data shares'!$C:$FA,92)</f>
        <v>1334800</v>
      </c>
      <c r="J116" s="87">
        <f>VLOOKUP($A116,'Data shares'!$C:$FA,93)</f>
        <v>0.1229</v>
      </c>
      <c r="K116" s="86">
        <f>VLOOKUP($A116,'Data shares'!$C:$FA,94)</f>
        <v>6859650</v>
      </c>
      <c r="L116" s="86">
        <f>VLOOKUP($A116,'Data shares'!$C:$FA,96)</f>
        <v>266725</v>
      </c>
      <c r="M116" s="87">
        <f>VLOOKUP($A116,'Data shares'!$C:$FA,97)</f>
        <v>4.0500000000000001E-2</v>
      </c>
      <c r="N116" s="86">
        <f>VLOOKUP($A116,'Data shares'!$C:$FA,78)</f>
        <v>29845000</v>
      </c>
      <c r="O116" s="87">
        <f>VLOOKUP($A116,'Data shares'!$C:$FA,81)</f>
        <v>1.84E-2</v>
      </c>
    </row>
    <row r="117" spans="1:15" x14ac:dyDescent="0.25">
      <c r="A117" s="100" t="str">
        <f>'OI(Value)'!A117</f>
        <v>KAYNES</v>
      </c>
      <c r="B117" s="82">
        <f>VLOOKUP(A117,'Data shares'!$C$2:$CV$216,98,0)</f>
        <v>2059800</v>
      </c>
      <c r="C117" s="82">
        <f>VLOOKUP(A117,'Data shares'!$C$2:$CX$216,100,0)</f>
        <v>17800</v>
      </c>
      <c r="D117" s="141">
        <f>VLOOKUP(A117,'Data shares'!$C$2:$CY$539,101,0)</f>
        <v>8.6999999999999994E-3</v>
      </c>
      <c r="E117" s="86">
        <f>VLOOKUP($A117,'Data shares'!$C:$FA,74)</f>
        <v>1091700</v>
      </c>
      <c r="F117" s="86">
        <f>VLOOKUP($A117,'Data shares'!$C:$FA,76)</f>
        <v>2100</v>
      </c>
      <c r="G117" s="87">
        <f>VLOOKUP(A117,'Data shares'!$C$2:$CA$216,77,0)</f>
        <v>1.9E-3</v>
      </c>
      <c r="H117" s="86">
        <f>VLOOKUP($A117,'Data shares'!$C:$FA,90)</f>
        <v>618100</v>
      </c>
      <c r="I117" s="86">
        <f>VLOOKUP($A117,'Data shares'!$C:$FA,92)</f>
        <v>-6300</v>
      </c>
      <c r="J117" s="87">
        <f>VLOOKUP($A117,'Data shares'!$C:$FA,93)</f>
        <v>-1.01E-2</v>
      </c>
      <c r="K117" s="86">
        <f>VLOOKUP($A117,'Data shares'!$C:$FA,94)</f>
        <v>350000</v>
      </c>
      <c r="L117" s="86">
        <f>VLOOKUP($A117,'Data shares'!$C:$FA,96)</f>
        <v>22000</v>
      </c>
      <c r="M117" s="87">
        <f>VLOOKUP($A117,'Data shares'!$C:$FA,97)</f>
        <v>6.7100000000000007E-2</v>
      </c>
      <c r="N117" s="86">
        <f>VLOOKUP($A117,'Data shares'!$C:$FA,78)</f>
        <v>1065000</v>
      </c>
      <c r="O117" s="87">
        <f>VLOOKUP($A117,'Data shares'!$C:$FA,81)</f>
        <v>-2.0999999999999999E-3</v>
      </c>
    </row>
    <row r="118" spans="1:15" x14ac:dyDescent="0.25">
      <c r="A118" s="100" t="str">
        <f>'OI(Value)'!A118</f>
        <v>KEI</v>
      </c>
      <c r="B118" s="82">
        <f>VLOOKUP(A118,'Data shares'!$C$2:$CV$216,98,0)</f>
        <v>2035775</v>
      </c>
      <c r="C118" s="82">
        <f>VLOOKUP(A118,'Data shares'!$C$2:$CX$216,100,0)</f>
        <v>140000</v>
      </c>
      <c r="D118" s="141">
        <f>VLOOKUP(A118,'Data shares'!$C$2:$CY$539,101,0)</f>
        <v>7.3800000000000004E-2</v>
      </c>
      <c r="E118" s="86">
        <f>VLOOKUP($A118,'Data shares'!$C:$FA,74)</f>
        <v>1456000</v>
      </c>
      <c r="F118" s="86">
        <f>VLOOKUP($A118,'Data shares'!$C:$FA,76)</f>
        <v>47950</v>
      </c>
      <c r="G118" s="87">
        <f>VLOOKUP(A118,'Data shares'!$C$2:$CA$216,77,0)</f>
        <v>3.4099999999999998E-2</v>
      </c>
      <c r="H118" s="86">
        <f>VLOOKUP($A118,'Data shares'!$C:$FA,90)</f>
        <v>316050</v>
      </c>
      <c r="I118" s="86">
        <f>VLOOKUP($A118,'Data shares'!$C:$FA,92)</f>
        <v>57400</v>
      </c>
      <c r="J118" s="87">
        <f>VLOOKUP($A118,'Data shares'!$C:$FA,93)</f>
        <v>0.22189999999999999</v>
      </c>
      <c r="K118" s="86">
        <f>VLOOKUP($A118,'Data shares'!$C:$FA,94)</f>
        <v>263725</v>
      </c>
      <c r="L118" s="86">
        <f>VLOOKUP($A118,'Data shares'!$C:$FA,96)</f>
        <v>34650</v>
      </c>
      <c r="M118" s="87">
        <f>VLOOKUP($A118,'Data shares'!$C:$FA,97)</f>
        <v>0.15129999999999999</v>
      </c>
      <c r="N118" s="86">
        <f>VLOOKUP($A118,'Data shares'!$C:$FA,78)</f>
        <v>1440250</v>
      </c>
      <c r="O118" s="87">
        <f>VLOOKUP($A118,'Data shares'!$C:$FA,81)</f>
        <v>3.3300000000000003E-2</v>
      </c>
    </row>
    <row r="119" spans="1:15" x14ac:dyDescent="0.25">
      <c r="A119" s="100" t="str">
        <f>'OI(Value)'!A119</f>
        <v>KFINTECH</v>
      </c>
      <c r="B119" s="82">
        <f>VLOOKUP(A119,'Data shares'!$C$2:$CV$216,98,0)</f>
        <v>3781350</v>
      </c>
      <c r="C119" s="82">
        <f>VLOOKUP(A119,'Data shares'!$C$2:$CX$216,100,0)</f>
        <v>235350</v>
      </c>
      <c r="D119" s="141">
        <f>VLOOKUP(A119,'Data shares'!$C$2:$CY$539,101,0)</f>
        <v>6.6400000000000001E-2</v>
      </c>
      <c r="E119" s="86">
        <f>VLOOKUP($A119,'Data shares'!$C:$FA,74)</f>
        <v>2378250</v>
      </c>
      <c r="F119" s="86">
        <f>VLOOKUP($A119,'Data shares'!$C:$FA,76)</f>
        <v>59400</v>
      </c>
      <c r="G119" s="87">
        <f>VLOOKUP(A119,'Data shares'!$C$2:$CA$216,77,0)</f>
        <v>2.5600000000000001E-2</v>
      </c>
      <c r="H119" s="86">
        <f>VLOOKUP($A119,'Data shares'!$C:$FA,90)</f>
        <v>933300</v>
      </c>
      <c r="I119" s="86">
        <f>VLOOKUP($A119,'Data shares'!$C:$FA,92)</f>
        <v>169200</v>
      </c>
      <c r="J119" s="87">
        <f>VLOOKUP($A119,'Data shares'!$C:$FA,93)</f>
        <v>0.22140000000000001</v>
      </c>
      <c r="K119" s="86">
        <f>VLOOKUP($A119,'Data shares'!$C:$FA,94)</f>
        <v>469800</v>
      </c>
      <c r="L119" s="86">
        <f>VLOOKUP($A119,'Data shares'!$C:$FA,96)</f>
        <v>6750</v>
      </c>
      <c r="M119" s="87">
        <f>VLOOKUP($A119,'Data shares'!$C:$FA,97)</f>
        <v>1.46E-2</v>
      </c>
      <c r="N119" s="86">
        <f>VLOOKUP($A119,'Data shares'!$C:$FA,78)</f>
        <v>2290050</v>
      </c>
      <c r="O119" s="87">
        <f>VLOOKUP($A119,'Data shares'!$C:$FA,81)</f>
        <v>2.35E-2</v>
      </c>
    </row>
    <row r="120" spans="1:15" x14ac:dyDescent="0.25">
      <c r="A120" s="100" t="str">
        <f>'OI(Value)'!A120</f>
        <v>KOTAKBANK</v>
      </c>
      <c r="B120" s="82">
        <f>VLOOKUP(A120,'Data shares'!$C$2:$CV$216,98,0)</f>
        <v>52740400</v>
      </c>
      <c r="C120" s="82">
        <f>VLOOKUP(A120,'Data shares'!$C$2:$CX$216,100,0)</f>
        <v>2557600</v>
      </c>
      <c r="D120" s="141">
        <f>VLOOKUP(A120,'Data shares'!$C$2:$CY$539,101,0)</f>
        <v>5.0999999999999997E-2</v>
      </c>
      <c r="E120" s="86">
        <f>VLOOKUP($A120,'Data shares'!$C:$FA,74)</f>
        <v>36163600</v>
      </c>
      <c r="F120" s="86">
        <f>VLOOKUP($A120,'Data shares'!$C:$FA,76)</f>
        <v>-707600</v>
      </c>
      <c r="G120" s="87">
        <f>VLOOKUP(A120,'Data shares'!$C$2:$CA$216,77,0)</f>
        <v>-1.9199999999999998E-2</v>
      </c>
      <c r="H120" s="86">
        <f>VLOOKUP($A120,'Data shares'!$C:$FA,90)</f>
        <v>7756000</v>
      </c>
      <c r="I120" s="86">
        <f>VLOOKUP($A120,'Data shares'!$C:$FA,92)</f>
        <v>1626400</v>
      </c>
      <c r="J120" s="87">
        <f>VLOOKUP($A120,'Data shares'!$C:$FA,93)</f>
        <v>0.26529999999999998</v>
      </c>
      <c r="K120" s="86">
        <f>VLOOKUP($A120,'Data shares'!$C:$FA,94)</f>
        <v>8820800</v>
      </c>
      <c r="L120" s="86">
        <f>VLOOKUP($A120,'Data shares'!$C:$FA,96)</f>
        <v>1638800</v>
      </c>
      <c r="M120" s="87">
        <f>VLOOKUP($A120,'Data shares'!$C:$FA,97)</f>
        <v>0.22819999999999999</v>
      </c>
      <c r="N120" s="86">
        <f>VLOOKUP($A120,'Data shares'!$C:$FA,78)</f>
        <v>34936400</v>
      </c>
      <c r="O120" s="87">
        <f>VLOOKUP($A120,'Data shares'!$C:$FA,81)</f>
        <v>-3.32E-2</v>
      </c>
    </row>
    <row r="121" spans="1:15" x14ac:dyDescent="0.25">
      <c r="A121" s="100" t="str">
        <f>'OI(Value)'!A121</f>
        <v>KPITTECH</v>
      </c>
      <c r="B121" s="82">
        <f>VLOOKUP(A121,'Data shares'!$C$2:$CV$216,98,0)</f>
        <v>9112000</v>
      </c>
      <c r="C121" s="82">
        <f>VLOOKUP(A121,'Data shares'!$C$2:$CX$216,100,0)</f>
        <v>440000</v>
      </c>
      <c r="D121" s="141">
        <f>VLOOKUP(A121,'Data shares'!$C$2:$CY$539,101,0)</f>
        <v>5.0700000000000002E-2</v>
      </c>
      <c r="E121" s="86">
        <f>VLOOKUP($A121,'Data shares'!$C:$FA,74)</f>
        <v>4424400</v>
      </c>
      <c r="F121" s="86">
        <f>VLOOKUP($A121,'Data shares'!$C:$FA,76)</f>
        <v>-167200</v>
      </c>
      <c r="G121" s="87">
        <f>VLOOKUP(A121,'Data shares'!$C$2:$CA$216,77,0)</f>
        <v>-3.6400000000000002E-2</v>
      </c>
      <c r="H121" s="86">
        <f>VLOOKUP($A121,'Data shares'!$C:$FA,90)</f>
        <v>2614000</v>
      </c>
      <c r="I121" s="86">
        <f>VLOOKUP($A121,'Data shares'!$C:$FA,92)</f>
        <v>358800</v>
      </c>
      <c r="J121" s="87">
        <f>VLOOKUP($A121,'Data shares'!$C:$FA,93)</f>
        <v>0.15909999999999999</v>
      </c>
      <c r="K121" s="86">
        <f>VLOOKUP($A121,'Data shares'!$C:$FA,94)</f>
        <v>2073600</v>
      </c>
      <c r="L121" s="86">
        <f>VLOOKUP($A121,'Data shares'!$C:$FA,96)</f>
        <v>248400</v>
      </c>
      <c r="M121" s="87">
        <f>VLOOKUP($A121,'Data shares'!$C:$FA,97)</f>
        <v>0.1361</v>
      </c>
      <c r="N121" s="86">
        <f>VLOOKUP($A121,'Data shares'!$C:$FA,78)</f>
        <v>4166400</v>
      </c>
      <c r="O121" s="87">
        <f>VLOOKUP($A121,'Data shares'!$C:$FA,81)</f>
        <v>-4.2099999999999999E-2</v>
      </c>
    </row>
    <row r="122" spans="1:15" x14ac:dyDescent="0.25">
      <c r="A122" s="100" t="str">
        <f>'OI(Value)'!A122</f>
        <v>LAURUSLABS</v>
      </c>
      <c r="B122" s="82">
        <f>VLOOKUP(A122,'Data shares'!$C$2:$CV$216,98,0)</f>
        <v>34425000</v>
      </c>
      <c r="C122" s="82">
        <f>VLOOKUP(A122,'Data shares'!$C$2:$CX$216,100,0)</f>
        <v>1026800</v>
      </c>
      <c r="D122" s="141">
        <f>VLOOKUP(A122,'Data shares'!$C$2:$CY$539,101,0)</f>
        <v>3.0700000000000002E-2</v>
      </c>
      <c r="E122" s="86">
        <f>VLOOKUP($A122,'Data shares'!$C:$FA,74)</f>
        <v>19033200</v>
      </c>
      <c r="F122" s="86">
        <f>VLOOKUP($A122,'Data shares'!$C:$FA,76)</f>
        <v>476000</v>
      </c>
      <c r="G122" s="87">
        <f>VLOOKUP(A122,'Data shares'!$C$2:$CA$216,77,0)</f>
        <v>2.5700000000000001E-2</v>
      </c>
      <c r="H122" s="86">
        <f>VLOOKUP($A122,'Data shares'!$C:$FA,90)</f>
        <v>9593100</v>
      </c>
      <c r="I122" s="86">
        <f>VLOOKUP($A122,'Data shares'!$C:$FA,92)</f>
        <v>491300</v>
      </c>
      <c r="J122" s="87">
        <f>VLOOKUP($A122,'Data shares'!$C:$FA,93)</f>
        <v>5.3999999999999999E-2</v>
      </c>
      <c r="K122" s="86">
        <f>VLOOKUP($A122,'Data shares'!$C:$FA,94)</f>
        <v>5798700</v>
      </c>
      <c r="L122" s="86">
        <f>VLOOKUP($A122,'Data shares'!$C:$FA,96)</f>
        <v>59500</v>
      </c>
      <c r="M122" s="87">
        <f>VLOOKUP($A122,'Data shares'!$C:$FA,97)</f>
        <v>1.04E-2</v>
      </c>
      <c r="N122" s="86">
        <f>VLOOKUP($A122,'Data shares'!$C:$FA,78)</f>
        <v>18407600</v>
      </c>
      <c r="O122" s="87">
        <f>VLOOKUP($A122,'Data shares'!$C:$FA,81)</f>
        <v>2.4799999999999999E-2</v>
      </c>
    </row>
    <row r="123" spans="1:15" x14ac:dyDescent="0.25">
      <c r="A123" s="100" t="str">
        <f>'OI(Value)'!A123</f>
        <v>LICHSGFIN</v>
      </c>
      <c r="B123" s="82">
        <f>VLOOKUP(A123,'Data shares'!$C$2:$CV$216,98,0)</f>
        <v>41965000</v>
      </c>
      <c r="C123" s="82">
        <f>VLOOKUP(A123,'Data shares'!$C$2:$CX$216,100,0)</f>
        <v>407000</v>
      </c>
      <c r="D123" s="141">
        <f>VLOOKUP(A123,'Data shares'!$C$2:$CY$539,101,0)</f>
        <v>9.7999999999999997E-3</v>
      </c>
      <c r="E123" s="86">
        <f>VLOOKUP($A123,'Data shares'!$C:$FA,74)</f>
        <v>29479000</v>
      </c>
      <c r="F123" s="86">
        <f>VLOOKUP($A123,'Data shares'!$C:$FA,76)</f>
        <v>296000</v>
      </c>
      <c r="G123" s="87">
        <f>VLOOKUP(A123,'Data shares'!$C$2:$CA$216,77,0)</f>
        <v>1.01E-2</v>
      </c>
      <c r="H123" s="86">
        <f>VLOOKUP($A123,'Data shares'!$C:$FA,90)</f>
        <v>6992000</v>
      </c>
      <c r="I123" s="86">
        <f>VLOOKUP($A123,'Data shares'!$C:$FA,92)</f>
        <v>45000</v>
      </c>
      <c r="J123" s="87">
        <f>VLOOKUP($A123,'Data shares'!$C:$FA,93)</f>
        <v>6.4999999999999997E-3</v>
      </c>
      <c r="K123" s="86">
        <f>VLOOKUP($A123,'Data shares'!$C:$FA,94)</f>
        <v>5494000</v>
      </c>
      <c r="L123" s="86">
        <f>VLOOKUP($A123,'Data shares'!$C:$FA,96)</f>
        <v>66000</v>
      </c>
      <c r="M123" s="87">
        <f>VLOOKUP($A123,'Data shares'!$C:$FA,97)</f>
        <v>1.2200000000000001E-2</v>
      </c>
      <c r="N123" s="86">
        <f>VLOOKUP($A123,'Data shares'!$C:$FA,78)</f>
        <v>28831000</v>
      </c>
      <c r="O123" s="87">
        <f>VLOOKUP($A123,'Data shares'!$C:$FA,81)</f>
        <v>9.2999999999999992E-3</v>
      </c>
    </row>
    <row r="124" spans="1:15" x14ac:dyDescent="0.25">
      <c r="A124" s="100" t="str">
        <f>'OI(Value)'!A124</f>
        <v>LICI</v>
      </c>
      <c r="B124" s="82">
        <f>VLOOKUP(A124,'Data shares'!$C$2:$CV$216,98,0)</f>
        <v>12419400</v>
      </c>
      <c r="C124" s="82">
        <f>VLOOKUP(A124,'Data shares'!$C$2:$CX$216,100,0)</f>
        <v>659400</v>
      </c>
      <c r="D124" s="141">
        <f>VLOOKUP(A124,'Data shares'!$C$2:$CY$539,101,0)</f>
        <v>5.6099999999999997E-2</v>
      </c>
      <c r="E124" s="86">
        <f>VLOOKUP($A124,'Data shares'!$C:$FA,74)</f>
        <v>7433300</v>
      </c>
      <c r="F124" s="86">
        <f>VLOOKUP($A124,'Data shares'!$C:$FA,76)</f>
        <v>291900</v>
      </c>
      <c r="G124" s="87">
        <f>VLOOKUP(A124,'Data shares'!$C$2:$CA$216,77,0)</f>
        <v>4.0899999999999999E-2</v>
      </c>
      <c r="H124" s="86">
        <f>VLOOKUP($A124,'Data shares'!$C:$FA,90)</f>
        <v>3472700</v>
      </c>
      <c r="I124" s="86">
        <f>VLOOKUP($A124,'Data shares'!$C:$FA,92)</f>
        <v>270900</v>
      </c>
      <c r="J124" s="87">
        <f>VLOOKUP($A124,'Data shares'!$C:$FA,93)</f>
        <v>8.4599999999999995E-2</v>
      </c>
      <c r="K124" s="86">
        <f>VLOOKUP($A124,'Data shares'!$C:$FA,94)</f>
        <v>1513400</v>
      </c>
      <c r="L124" s="86">
        <f>VLOOKUP($A124,'Data shares'!$C:$FA,96)</f>
        <v>96600</v>
      </c>
      <c r="M124" s="87">
        <f>VLOOKUP($A124,'Data shares'!$C:$FA,97)</f>
        <v>6.8199999999999997E-2</v>
      </c>
      <c r="N124" s="86">
        <f>VLOOKUP($A124,'Data shares'!$C:$FA,78)</f>
        <v>7059500</v>
      </c>
      <c r="O124" s="87">
        <f>VLOOKUP($A124,'Data shares'!$C:$FA,81)</f>
        <v>2.76E-2</v>
      </c>
    </row>
    <row r="125" spans="1:15" x14ac:dyDescent="0.25">
      <c r="A125" s="100" t="str">
        <f>'OI(Value)'!A125</f>
        <v>LODHA</v>
      </c>
      <c r="B125" s="82">
        <f>VLOOKUP(A125,'Data shares'!$C$2:$CV$216,98,0)</f>
        <v>14875200</v>
      </c>
      <c r="C125" s="82">
        <f>VLOOKUP(A125,'Data shares'!$C$2:$CX$216,100,0)</f>
        <v>841950</v>
      </c>
      <c r="D125" s="141">
        <f>VLOOKUP(A125,'Data shares'!$C$2:$CY$539,101,0)</f>
        <v>0.06</v>
      </c>
      <c r="E125" s="86">
        <f>VLOOKUP($A125,'Data shares'!$C:$FA,74)</f>
        <v>10950300</v>
      </c>
      <c r="F125" s="86">
        <f>VLOOKUP($A125,'Data shares'!$C:$FA,76)</f>
        <v>486900</v>
      </c>
      <c r="G125" s="87">
        <f>VLOOKUP(A125,'Data shares'!$C$2:$CA$216,77,0)</f>
        <v>4.65E-2</v>
      </c>
      <c r="H125" s="86">
        <f>VLOOKUP($A125,'Data shares'!$C:$FA,90)</f>
        <v>2619000</v>
      </c>
      <c r="I125" s="86">
        <f>VLOOKUP($A125,'Data shares'!$C:$FA,92)</f>
        <v>216000</v>
      </c>
      <c r="J125" s="87">
        <f>VLOOKUP($A125,'Data shares'!$C:$FA,93)</f>
        <v>8.9899999999999994E-2</v>
      </c>
      <c r="K125" s="86">
        <f>VLOOKUP($A125,'Data shares'!$C:$FA,94)</f>
        <v>1305900</v>
      </c>
      <c r="L125" s="86">
        <f>VLOOKUP($A125,'Data shares'!$C:$FA,96)</f>
        <v>139050</v>
      </c>
      <c r="M125" s="87">
        <f>VLOOKUP($A125,'Data shares'!$C:$FA,97)</f>
        <v>0.1192</v>
      </c>
      <c r="N125" s="86">
        <f>VLOOKUP($A125,'Data shares'!$C:$FA,78)</f>
        <v>10613250</v>
      </c>
      <c r="O125" s="87">
        <f>VLOOKUP($A125,'Data shares'!$C:$FA,81)</f>
        <v>4.4699999999999997E-2</v>
      </c>
    </row>
    <row r="126" spans="1:15" x14ac:dyDescent="0.25">
      <c r="A126" s="100" t="str">
        <f>'OI(Value)'!A126</f>
        <v>LT</v>
      </c>
      <c r="B126" s="82">
        <f>VLOOKUP(A126,'Data shares'!$C$2:$CV$216,98,0)</f>
        <v>24535350</v>
      </c>
      <c r="C126" s="82">
        <f>VLOOKUP(A126,'Data shares'!$C$2:$CX$216,100,0)</f>
        <v>858025</v>
      </c>
      <c r="D126" s="141">
        <f>VLOOKUP(A126,'Data shares'!$C$2:$CY$539,101,0)</f>
        <v>3.6200000000000003E-2</v>
      </c>
      <c r="E126" s="86">
        <f>VLOOKUP($A126,'Data shares'!$C:$FA,74)</f>
        <v>16647925</v>
      </c>
      <c r="F126" s="86">
        <f>VLOOKUP($A126,'Data shares'!$C:$FA,76)</f>
        <v>5600</v>
      </c>
      <c r="G126" s="87">
        <f>VLOOKUP(A126,'Data shares'!$C$2:$CA$216,77,0)</f>
        <v>2.9999999999999997E-4</v>
      </c>
      <c r="H126" s="86">
        <f>VLOOKUP($A126,'Data shares'!$C:$FA,90)</f>
        <v>5266975</v>
      </c>
      <c r="I126" s="86">
        <f>VLOOKUP($A126,'Data shares'!$C:$FA,92)</f>
        <v>728875</v>
      </c>
      <c r="J126" s="87">
        <f>VLOOKUP($A126,'Data shares'!$C:$FA,93)</f>
        <v>0.16059999999999999</v>
      </c>
      <c r="K126" s="86">
        <f>VLOOKUP($A126,'Data shares'!$C:$FA,94)</f>
        <v>2620450</v>
      </c>
      <c r="L126" s="86">
        <f>VLOOKUP($A126,'Data shares'!$C:$FA,96)</f>
        <v>123550</v>
      </c>
      <c r="M126" s="87">
        <f>VLOOKUP($A126,'Data shares'!$C:$FA,97)</f>
        <v>4.9500000000000002E-2</v>
      </c>
      <c r="N126" s="86">
        <f>VLOOKUP($A126,'Data shares'!$C:$FA,78)</f>
        <v>16291450</v>
      </c>
      <c r="O126" s="87">
        <f>VLOOKUP($A126,'Data shares'!$C:$FA,81)</f>
        <v>-4.0000000000000002E-4</v>
      </c>
    </row>
    <row r="127" spans="1:15" x14ac:dyDescent="0.25">
      <c r="A127" s="100" t="str">
        <f>'OI(Value)'!A127</f>
        <v>LTF</v>
      </c>
      <c r="B127" s="82">
        <f>VLOOKUP(A127,'Data shares'!$C$2:$CV$216,98,0)</f>
        <v>93724310</v>
      </c>
      <c r="C127" s="82">
        <f>VLOOKUP(A127,'Data shares'!$C$2:$CX$216,100,0)</f>
        <v>2458562</v>
      </c>
      <c r="D127" s="141">
        <f>VLOOKUP(A127,'Data shares'!$C$2:$CY$539,101,0)</f>
        <v>2.69E-2</v>
      </c>
      <c r="E127" s="86">
        <f>VLOOKUP($A127,'Data shares'!$C:$FA,74)</f>
        <v>47917418</v>
      </c>
      <c r="F127" s="86">
        <f>VLOOKUP($A127,'Data shares'!$C:$FA,76)</f>
        <v>-196328</v>
      </c>
      <c r="G127" s="87">
        <f>VLOOKUP(A127,'Data shares'!$C$2:$CA$216,77,0)</f>
        <v>-4.1000000000000003E-3</v>
      </c>
      <c r="H127" s="86">
        <f>VLOOKUP($A127,'Data shares'!$C:$FA,90)</f>
        <v>23465658</v>
      </c>
      <c r="I127" s="86">
        <f>VLOOKUP($A127,'Data shares'!$C:$FA,92)</f>
        <v>2672738</v>
      </c>
      <c r="J127" s="87">
        <f>VLOOKUP($A127,'Data shares'!$C:$FA,93)</f>
        <v>0.1285</v>
      </c>
      <c r="K127" s="86">
        <f>VLOOKUP($A127,'Data shares'!$C:$FA,94)</f>
        <v>22341234</v>
      </c>
      <c r="L127" s="86">
        <f>VLOOKUP($A127,'Data shares'!$C:$FA,96)</f>
        <v>-17848</v>
      </c>
      <c r="M127" s="87">
        <f>VLOOKUP($A127,'Data shares'!$C:$FA,97)</f>
        <v>-8.0000000000000004E-4</v>
      </c>
      <c r="N127" s="86">
        <f>VLOOKUP($A127,'Data shares'!$C:$FA,78)</f>
        <v>46235244</v>
      </c>
      <c r="O127" s="87">
        <f>VLOOKUP($A127,'Data shares'!$C:$FA,81)</f>
        <v>-8.5000000000000006E-3</v>
      </c>
    </row>
    <row r="128" spans="1:15" x14ac:dyDescent="0.25">
      <c r="A128" s="100" t="str">
        <f>'OI(Value)'!A128</f>
        <v>LTIM</v>
      </c>
      <c r="B128" s="82">
        <f>VLOOKUP(A128,'Data shares'!$C$2:$CV$216,98,0)</f>
        <v>3622950</v>
      </c>
      <c r="C128" s="82">
        <f>VLOOKUP(A128,'Data shares'!$C$2:$CX$216,100,0)</f>
        <v>81000</v>
      </c>
      <c r="D128" s="141">
        <f>VLOOKUP(A128,'Data shares'!$C$2:$CY$539,101,0)</f>
        <v>2.29E-2</v>
      </c>
      <c r="E128" s="86">
        <f>VLOOKUP($A128,'Data shares'!$C:$FA,74)</f>
        <v>2564250</v>
      </c>
      <c r="F128" s="86">
        <f>VLOOKUP($A128,'Data shares'!$C:$FA,76)</f>
        <v>-44250</v>
      </c>
      <c r="G128" s="87">
        <f>VLOOKUP(A128,'Data shares'!$C$2:$CA$216,77,0)</f>
        <v>-1.7000000000000001E-2</v>
      </c>
      <c r="H128" s="86">
        <f>VLOOKUP($A128,'Data shares'!$C:$FA,90)</f>
        <v>643200</v>
      </c>
      <c r="I128" s="86">
        <f>VLOOKUP($A128,'Data shares'!$C:$FA,92)</f>
        <v>102900</v>
      </c>
      <c r="J128" s="87">
        <f>VLOOKUP($A128,'Data shares'!$C:$FA,93)</f>
        <v>0.19040000000000001</v>
      </c>
      <c r="K128" s="86">
        <f>VLOOKUP($A128,'Data shares'!$C:$FA,94)</f>
        <v>415500</v>
      </c>
      <c r="L128" s="86">
        <f>VLOOKUP($A128,'Data shares'!$C:$FA,96)</f>
        <v>22350</v>
      </c>
      <c r="M128" s="87">
        <f>VLOOKUP($A128,'Data shares'!$C:$FA,97)</f>
        <v>5.6800000000000003E-2</v>
      </c>
      <c r="N128" s="86">
        <f>VLOOKUP($A128,'Data shares'!$C:$FA,78)</f>
        <v>2512050</v>
      </c>
      <c r="O128" s="87">
        <f>VLOOKUP($A128,'Data shares'!$C:$FA,81)</f>
        <v>-1.6799999999999999E-2</v>
      </c>
    </row>
    <row r="129" spans="1:15" x14ac:dyDescent="0.25">
      <c r="A129" s="100" t="str">
        <f>'OI(Value)'!A129</f>
        <v>LUPIN</v>
      </c>
      <c r="B129" s="82">
        <f>VLOOKUP(A129,'Data shares'!$C$2:$CV$216,98,0)</f>
        <v>15104925</v>
      </c>
      <c r="C129" s="82">
        <f>VLOOKUP(A129,'Data shares'!$C$2:$CX$216,100,0)</f>
        <v>1260125</v>
      </c>
      <c r="D129" s="141">
        <f>VLOOKUP(A129,'Data shares'!$C$2:$CY$539,101,0)</f>
        <v>9.0999999999999998E-2</v>
      </c>
      <c r="E129" s="86">
        <f>VLOOKUP($A129,'Data shares'!$C:$FA,74)</f>
        <v>10701500</v>
      </c>
      <c r="F129" s="86">
        <f>VLOOKUP($A129,'Data shares'!$C:$FA,76)</f>
        <v>53550</v>
      </c>
      <c r="G129" s="87">
        <f>VLOOKUP(A129,'Data shares'!$C$2:$CA$216,77,0)</f>
        <v>5.0000000000000001E-3</v>
      </c>
      <c r="H129" s="86">
        <f>VLOOKUP($A129,'Data shares'!$C:$FA,90)</f>
        <v>2558075</v>
      </c>
      <c r="I129" s="86">
        <f>VLOOKUP($A129,'Data shares'!$C:$FA,92)</f>
        <v>832575</v>
      </c>
      <c r="J129" s="87">
        <f>VLOOKUP($A129,'Data shares'!$C:$FA,93)</f>
        <v>0.48249999999999998</v>
      </c>
      <c r="K129" s="86">
        <f>VLOOKUP($A129,'Data shares'!$C:$FA,94)</f>
        <v>1845350</v>
      </c>
      <c r="L129" s="86">
        <f>VLOOKUP($A129,'Data shares'!$C:$FA,96)</f>
        <v>374000</v>
      </c>
      <c r="M129" s="87">
        <f>VLOOKUP($A129,'Data shares'!$C:$FA,97)</f>
        <v>0.25419999999999998</v>
      </c>
      <c r="N129" s="86">
        <f>VLOOKUP($A129,'Data shares'!$C:$FA,78)</f>
        <v>10606725</v>
      </c>
      <c r="O129" s="87">
        <f>VLOOKUP($A129,'Data shares'!$C:$FA,81)</f>
        <v>3.5000000000000001E-3</v>
      </c>
    </row>
    <row r="130" spans="1:15" x14ac:dyDescent="0.25">
      <c r="A130" s="100" t="str">
        <f>'OI(Value)'!A130</f>
        <v>M&amp;M</v>
      </c>
      <c r="B130" s="82">
        <f>VLOOKUP(A130,'Data shares'!$C$2:$CV$216,98,0)</f>
        <v>27215000</v>
      </c>
      <c r="C130" s="82">
        <f>VLOOKUP(A130,'Data shares'!$C$2:$CX$216,100,0)</f>
        <v>214600</v>
      </c>
      <c r="D130" s="141">
        <f>VLOOKUP(A130,'Data shares'!$C$2:$CY$539,101,0)</f>
        <v>7.9000000000000008E-3</v>
      </c>
      <c r="E130" s="86">
        <f>VLOOKUP($A130,'Data shares'!$C:$FA,74)</f>
        <v>20078800</v>
      </c>
      <c r="F130" s="86">
        <f>VLOOKUP($A130,'Data shares'!$C:$FA,76)</f>
        <v>4800</v>
      </c>
      <c r="G130" s="87">
        <f>VLOOKUP(A130,'Data shares'!$C$2:$CA$216,77,0)</f>
        <v>2.0000000000000001E-4</v>
      </c>
      <c r="H130" s="86">
        <f>VLOOKUP($A130,'Data shares'!$C:$FA,90)</f>
        <v>4454600</v>
      </c>
      <c r="I130" s="86">
        <f>VLOOKUP($A130,'Data shares'!$C:$FA,92)</f>
        <v>247200</v>
      </c>
      <c r="J130" s="87">
        <f>VLOOKUP($A130,'Data shares'!$C:$FA,93)</f>
        <v>5.8799999999999998E-2</v>
      </c>
      <c r="K130" s="86">
        <f>VLOOKUP($A130,'Data shares'!$C:$FA,94)</f>
        <v>2681600</v>
      </c>
      <c r="L130" s="86">
        <f>VLOOKUP($A130,'Data shares'!$C:$FA,96)</f>
        <v>-37400</v>
      </c>
      <c r="M130" s="87">
        <f>VLOOKUP($A130,'Data shares'!$C:$FA,97)</f>
        <v>-1.38E-2</v>
      </c>
      <c r="N130" s="86">
        <f>VLOOKUP($A130,'Data shares'!$C:$FA,78)</f>
        <v>19745800</v>
      </c>
      <c r="O130" s="87">
        <f>VLOOKUP($A130,'Data shares'!$C:$FA,81)</f>
        <v>0</v>
      </c>
    </row>
    <row r="131" spans="1:15" x14ac:dyDescent="0.25">
      <c r="A131" s="100" t="str">
        <f>'OI(Value)'!A131</f>
        <v>MANAPPURAM</v>
      </c>
      <c r="B131" s="82">
        <f>VLOOKUP(A131,'Data shares'!$C$2:$CV$216,98,0)</f>
        <v>40884000</v>
      </c>
      <c r="C131" s="82">
        <f>VLOOKUP(A131,'Data shares'!$C$2:$CX$216,100,0)</f>
        <v>1179000</v>
      </c>
      <c r="D131" s="141">
        <f>VLOOKUP(A131,'Data shares'!$C$2:$CY$539,101,0)</f>
        <v>2.9700000000000001E-2</v>
      </c>
      <c r="E131" s="86">
        <f>VLOOKUP($A131,'Data shares'!$C:$FA,74)</f>
        <v>27129000</v>
      </c>
      <c r="F131" s="86">
        <f>VLOOKUP($A131,'Data shares'!$C:$FA,76)</f>
        <v>-504000</v>
      </c>
      <c r="G131" s="87">
        <f>VLOOKUP(A131,'Data shares'!$C$2:$CA$216,77,0)</f>
        <v>-1.8200000000000001E-2</v>
      </c>
      <c r="H131" s="86">
        <f>VLOOKUP($A131,'Data shares'!$C:$FA,90)</f>
        <v>9147000</v>
      </c>
      <c r="I131" s="86">
        <f>VLOOKUP($A131,'Data shares'!$C:$FA,92)</f>
        <v>1410000</v>
      </c>
      <c r="J131" s="87">
        <f>VLOOKUP($A131,'Data shares'!$C:$FA,93)</f>
        <v>0.1822</v>
      </c>
      <c r="K131" s="86">
        <f>VLOOKUP($A131,'Data shares'!$C:$FA,94)</f>
        <v>4608000</v>
      </c>
      <c r="L131" s="86">
        <f>VLOOKUP($A131,'Data shares'!$C:$FA,96)</f>
        <v>273000</v>
      </c>
      <c r="M131" s="87">
        <f>VLOOKUP($A131,'Data shares'!$C:$FA,97)</f>
        <v>6.3E-2</v>
      </c>
      <c r="N131" s="86">
        <f>VLOOKUP($A131,'Data shares'!$C:$FA,78)</f>
        <v>26700000</v>
      </c>
      <c r="O131" s="87">
        <f>VLOOKUP($A131,'Data shares'!$C:$FA,81)</f>
        <v>-2.07E-2</v>
      </c>
    </row>
    <row r="132" spans="1:15" x14ac:dyDescent="0.25">
      <c r="A132" s="100" t="str">
        <f>'OI(Value)'!A132</f>
        <v>MANKIND</v>
      </c>
      <c r="B132" s="82">
        <f>VLOOKUP(A132,'Data shares'!$C$2:$CV$216,98,0)</f>
        <v>2488275</v>
      </c>
      <c r="C132" s="82">
        <f>VLOOKUP(A132,'Data shares'!$C$2:$CX$216,100,0)</f>
        <v>139950</v>
      </c>
      <c r="D132" s="141">
        <f>VLOOKUP(A132,'Data shares'!$C$2:$CY$539,101,0)</f>
        <v>5.96E-2</v>
      </c>
      <c r="E132" s="86">
        <f>VLOOKUP($A132,'Data shares'!$C:$FA,74)</f>
        <v>1716300</v>
      </c>
      <c r="F132" s="86">
        <f>VLOOKUP($A132,'Data shares'!$C:$FA,76)</f>
        <v>68175</v>
      </c>
      <c r="G132" s="87">
        <f>VLOOKUP(A132,'Data shares'!$C$2:$CA$216,77,0)</f>
        <v>4.1399999999999999E-2</v>
      </c>
      <c r="H132" s="86">
        <f>VLOOKUP($A132,'Data shares'!$C:$FA,90)</f>
        <v>484200</v>
      </c>
      <c r="I132" s="86">
        <f>VLOOKUP($A132,'Data shares'!$C:$FA,92)</f>
        <v>60525</v>
      </c>
      <c r="J132" s="87">
        <f>VLOOKUP($A132,'Data shares'!$C:$FA,93)</f>
        <v>0.1429</v>
      </c>
      <c r="K132" s="86">
        <f>VLOOKUP($A132,'Data shares'!$C:$FA,94)</f>
        <v>287775</v>
      </c>
      <c r="L132" s="86">
        <f>VLOOKUP($A132,'Data shares'!$C:$FA,96)</f>
        <v>11250</v>
      </c>
      <c r="M132" s="87">
        <f>VLOOKUP($A132,'Data shares'!$C:$FA,97)</f>
        <v>4.07E-2</v>
      </c>
      <c r="N132" s="86">
        <f>VLOOKUP($A132,'Data shares'!$C:$FA,78)</f>
        <v>1669950</v>
      </c>
      <c r="O132" s="87">
        <f>VLOOKUP($A132,'Data shares'!$C:$FA,81)</f>
        <v>3.95E-2</v>
      </c>
    </row>
    <row r="133" spans="1:15" x14ac:dyDescent="0.25">
      <c r="A133" s="100" t="str">
        <f>'OI(Value)'!A133</f>
        <v>MARICO</v>
      </c>
      <c r="B133" s="82">
        <f>VLOOKUP(A133,'Data shares'!$C$2:$CV$216,98,0)</f>
        <v>33674400</v>
      </c>
      <c r="C133" s="82">
        <f>VLOOKUP(A133,'Data shares'!$C$2:$CX$216,100,0)</f>
        <v>-321600</v>
      </c>
      <c r="D133" s="141">
        <f>VLOOKUP(A133,'Data shares'!$C$2:$CY$539,101,0)</f>
        <v>-9.4999999999999998E-3</v>
      </c>
      <c r="E133" s="86">
        <f>VLOOKUP($A133,'Data shares'!$C:$FA,74)</f>
        <v>28614000</v>
      </c>
      <c r="F133" s="86">
        <f>VLOOKUP($A133,'Data shares'!$C:$FA,76)</f>
        <v>157200</v>
      </c>
      <c r="G133" s="87">
        <f>VLOOKUP(A133,'Data shares'!$C$2:$CA$216,77,0)</f>
        <v>5.4999999999999997E-3</v>
      </c>
      <c r="H133" s="86">
        <f>VLOOKUP($A133,'Data shares'!$C:$FA,90)</f>
        <v>2797200</v>
      </c>
      <c r="I133" s="86">
        <f>VLOOKUP($A133,'Data shares'!$C:$FA,92)</f>
        <v>-390000</v>
      </c>
      <c r="J133" s="87">
        <f>VLOOKUP($A133,'Data shares'!$C:$FA,93)</f>
        <v>-0.12239999999999999</v>
      </c>
      <c r="K133" s="86">
        <f>VLOOKUP($A133,'Data shares'!$C:$FA,94)</f>
        <v>2263200</v>
      </c>
      <c r="L133" s="86">
        <f>VLOOKUP($A133,'Data shares'!$C:$FA,96)</f>
        <v>-88800</v>
      </c>
      <c r="M133" s="87">
        <f>VLOOKUP($A133,'Data shares'!$C:$FA,97)</f>
        <v>-3.78E-2</v>
      </c>
      <c r="N133" s="86">
        <f>VLOOKUP($A133,'Data shares'!$C:$FA,78)</f>
        <v>28488000</v>
      </c>
      <c r="O133" s="87">
        <f>VLOOKUP($A133,'Data shares'!$C:$FA,81)</f>
        <v>5.3E-3</v>
      </c>
    </row>
    <row r="134" spans="1:15" x14ac:dyDescent="0.25">
      <c r="A134" s="100" t="str">
        <f>'OI(Value)'!A134</f>
        <v>MARUTI</v>
      </c>
      <c r="B134" s="82">
        <f>VLOOKUP(A134,'Data shares'!$C$2:$CV$216,98,0)</f>
        <v>6549000</v>
      </c>
      <c r="C134" s="82">
        <f>VLOOKUP(A134,'Data shares'!$C$2:$CX$216,100,0)</f>
        <v>108750</v>
      </c>
      <c r="D134" s="141">
        <f>VLOOKUP(A134,'Data shares'!$C$2:$CY$539,101,0)</f>
        <v>1.6899999999999998E-2</v>
      </c>
      <c r="E134" s="86">
        <f>VLOOKUP($A134,'Data shares'!$C:$FA,74)</f>
        <v>2861650</v>
      </c>
      <c r="F134" s="86">
        <f>VLOOKUP($A134,'Data shares'!$C:$FA,76)</f>
        <v>-44250</v>
      </c>
      <c r="G134" s="87">
        <f>VLOOKUP(A134,'Data shares'!$C$2:$CA$216,77,0)</f>
        <v>-1.52E-2</v>
      </c>
      <c r="H134" s="86">
        <f>VLOOKUP($A134,'Data shares'!$C:$FA,90)</f>
        <v>2383850</v>
      </c>
      <c r="I134" s="86">
        <f>VLOOKUP($A134,'Data shares'!$C:$FA,92)</f>
        <v>47050</v>
      </c>
      <c r="J134" s="87">
        <f>VLOOKUP($A134,'Data shares'!$C:$FA,93)</f>
        <v>2.01E-2</v>
      </c>
      <c r="K134" s="86">
        <f>VLOOKUP($A134,'Data shares'!$C:$FA,94)</f>
        <v>1303500</v>
      </c>
      <c r="L134" s="86">
        <f>VLOOKUP($A134,'Data shares'!$C:$FA,96)</f>
        <v>105950</v>
      </c>
      <c r="M134" s="87">
        <f>VLOOKUP($A134,'Data shares'!$C:$FA,97)</f>
        <v>8.8499999999999995E-2</v>
      </c>
      <c r="N134" s="86">
        <f>VLOOKUP($A134,'Data shares'!$C:$FA,78)</f>
        <v>2788800</v>
      </c>
      <c r="O134" s="87">
        <f>VLOOKUP($A134,'Data shares'!$C:$FA,81)</f>
        <v>-1.32E-2</v>
      </c>
    </row>
    <row r="135" spans="1:15" x14ac:dyDescent="0.25">
      <c r="A135" s="100" t="str">
        <f>'OI(Value)'!A135</f>
        <v>MAXHEALTH</v>
      </c>
      <c r="B135" s="82">
        <f>VLOOKUP(A135,'Data shares'!$C$2:$CV$216,98,0)</f>
        <v>24500700</v>
      </c>
      <c r="C135" s="82">
        <f>VLOOKUP(A135,'Data shares'!$C$2:$CX$216,100,0)</f>
        <v>-1699950</v>
      </c>
      <c r="D135" s="141">
        <f>VLOOKUP(A135,'Data shares'!$C$2:$CY$539,101,0)</f>
        <v>-6.4899999999999999E-2</v>
      </c>
      <c r="E135" s="86">
        <f>VLOOKUP($A135,'Data shares'!$C:$FA,74)</f>
        <v>18011700</v>
      </c>
      <c r="F135" s="86">
        <f>VLOOKUP($A135,'Data shares'!$C:$FA,76)</f>
        <v>-780675</v>
      </c>
      <c r="G135" s="87">
        <f>VLOOKUP(A135,'Data shares'!$C$2:$CA$216,77,0)</f>
        <v>-4.1500000000000002E-2</v>
      </c>
      <c r="H135" s="86">
        <f>VLOOKUP($A135,'Data shares'!$C:$FA,90)</f>
        <v>3564225</v>
      </c>
      <c r="I135" s="86">
        <f>VLOOKUP($A135,'Data shares'!$C:$FA,92)</f>
        <v>-1379175</v>
      </c>
      <c r="J135" s="87">
        <f>VLOOKUP($A135,'Data shares'!$C:$FA,93)</f>
        <v>-0.27900000000000003</v>
      </c>
      <c r="K135" s="86">
        <f>VLOOKUP($A135,'Data shares'!$C:$FA,94)</f>
        <v>2924775</v>
      </c>
      <c r="L135" s="86">
        <f>VLOOKUP($A135,'Data shares'!$C:$FA,96)</f>
        <v>459900</v>
      </c>
      <c r="M135" s="87">
        <f>VLOOKUP($A135,'Data shares'!$C:$FA,97)</f>
        <v>0.18659999999999999</v>
      </c>
      <c r="N135" s="86">
        <f>VLOOKUP($A135,'Data shares'!$C:$FA,78)</f>
        <v>17754450</v>
      </c>
      <c r="O135" s="87">
        <f>VLOOKUP($A135,'Data shares'!$C:$FA,81)</f>
        <v>-3.6400000000000002E-2</v>
      </c>
    </row>
    <row r="136" spans="1:15" x14ac:dyDescent="0.25">
      <c r="A136" s="100" t="str">
        <f>'OI(Value)'!A136</f>
        <v>MAZDOCK</v>
      </c>
      <c r="B136" s="82">
        <f>VLOOKUP(A136,'Data shares'!$C$2:$CV$216,98,0)</f>
        <v>6635125</v>
      </c>
      <c r="C136" s="82">
        <f>VLOOKUP(A136,'Data shares'!$C$2:$CX$216,100,0)</f>
        <v>191800</v>
      </c>
      <c r="D136" s="141">
        <f>VLOOKUP(A136,'Data shares'!$C$2:$CY$539,101,0)</f>
        <v>2.98E-2</v>
      </c>
      <c r="E136" s="86">
        <f>VLOOKUP($A136,'Data shares'!$C:$FA,74)</f>
        <v>3555125</v>
      </c>
      <c r="F136" s="86">
        <f>VLOOKUP($A136,'Data shares'!$C:$FA,76)</f>
        <v>-2625</v>
      </c>
      <c r="G136" s="87">
        <f>VLOOKUP(A136,'Data shares'!$C$2:$CA$216,77,0)</f>
        <v>-6.9999999999999999E-4</v>
      </c>
      <c r="H136" s="86">
        <f>VLOOKUP($A136,'Data shares'!$C:$FA,90)</f>
        <v>1908025</v>
      </c>
      <c r="I136" s="86">
        <f>VLOOKUP($A136,'Data shares'!$C:$FA,92)</f>
        <v>98000</v>
      </c>
      <c r="J136" s="87">
        <f>VLOOKUP($A136,'Data shares'!$C:$FA,93)</f>
        <v>5.4100000000000002E-2</v>
      </c>
      <c r="K136" s="86">
        <f>VLOOKUP($A136,'Data shares'!$C:$FA,94)</f>
        <v>1171975</v>
      </c>
      <c r="L136" s="86">
        <f>VLOOKUP($A136,'Data shares'!$C:$FA,96)</f>
        <v>96425</v>
      </c>
      <c r="M136" s="87">
        <f>VLOOKUP($A136,'Data shares'!$C:$FA,97)</f>
        <v>8.9700000000000002E-2</v>
      </c>
      <c r="N136" s="86">
        <f>VLOOKUP($A136,'Data shares'!$C:$FA,78)</f>
        <v>3421425</v>
      </c>
      <c r="O136" s="87">
        <f>VLOOKUP($A136,'Data shares'!$C:$FA,81)</f>
        <v>-2.5000000000000001E-3</v>
      </c>
    </row>
    <row r="137" spans="1:15" x14ac:dyDescent="0.25">
      <c r="A137" s="100" t="str">
        <f>'OI(Value)'!A137</f>
        <v>MCX</v>
      </c>
      <c r="B137" s="82">
        <f>VLOOKUP(A137,'Data shares'!$C$2:$CV$216,98,0)</f>
        <v>4695250</v>
      </c>
      <c r="C137" s="82">
        <f>VLOOKUP(A137,'Data shares'!$C$2:$CX$216,100,0)</f>
        <v>195625</v>
      </c>
      <c r="D137" s="141">
        <f>VLOOKUP(A137,'Data shares'!$C$2:$CY$539,101,0)</f>
        <v>4.3499999999999997E-2</v>
      </c>
      <c r="E137" s="86">
        <f>VLOOKUP($A137,'Data shares'!$C:$FA,74)</f>
        <v>2433750</v>
      </c>
      <c r="F137" s="86">
        <f>VLOOKUP($A137,'Data shares'!$C:$FA,76)</f>
        <v>44625</v>
      </c>
      <c r="G137" s="87">
        <f>VLOOKUP(A137,'Data shares'!$C$2:$CA$216,77,0)</f>
        <v>1.8700000000000001E-2</v>
      </c>
      <c r="H137" s="86">
        <f>VLOOKUP($A137,'Data shares'!$C:$FA,90)</f>
        <v>1352500</v>
      </c>
      <c r="I137" s="86">
        <f>VLOOKUP($A137,'Data shares'!$C:$FA,92)</f>
        <v>103375</v>
      </c>
      <c r="J137" s="87">
        <f>VLOOKUP($A137,'Data shares'!$C:$FA,93)</f>
        <v>8.2799999999999999E-2</v>
      </c>
      <c r="K137" s="86">
        <f>VLOOKUP($A137,'Data shares'!$C:$FA,94)</f>
        <v>909000</v>
      </c>
      <c r="L137" s="86">
        <f>VLOOKUP($A137,'Data shares'!$C:$FA,96)</f>
        <v>47625</v>
      </c>
      <c r="M137" s="87">
        <f>VLOOKUP($A137,'Data shares'!$C:$FA,97)</f>
        <v>5.5300000000000002E-2</v>
      </c>
      <c r="N137" s="86">
        <f>VLOOKUP($A137,'Data shares'!$C:$FA,78)</f>
        <v>2377000</v>
      </c>
      <c r="O137" s="87">
        <f>VLOOKUP($A137,'Data shares'!$C:$FA,81)</f>
        <v>1.77E-2</v>
      </c>
    </row>
    <row r="138" spans="1:15" x14ac:dyDescent="0.25">
      <c r="A138" s="100" t="str">
        <f>'OI(Value)'!A138</f>
        <v>MFSL</v>
      </c>
      <c r="B138" s="82">
        <f>VLOOKUP(A138,'Data shares'!$C$2:$CV$216,98,0)</f>
        <v>7301600</v>
      </c>
      <c r="C138" s="82">
        <f>VLOOKUP(A138,'Data shares'!$C$2:$CX$216,100,0)</f>
        <v>119200</v>
      </c>
      <c r="D138" s="141">
        <f>VLOOKUP(A138,'Data shares'!$C$2:$CY$539,101,0)</f>
        <v>1.66E-2</v>
      </c>
      <c r="E138" s="86">
        <f>VLOOKUP($A138,'Data shares'!$C:$FA,74)</f>
        <v>5996000</v>
      </c>
      <c r="F138" s="86">
        <f>VLOOKUP($A138,'Data shares'!$C:$FA,76)</f>
        <v>-23200</v>
      </c>
      <c r="G138" s="87">
        <f>VLOOKUP(A138,'Data shares'!$C$2:$CA$216,77,0)</f>
        <v>-3.8999999999999998E-3</v>
      </c>
      <c r="H138" s="86">
        <f>VLOOKUP($A138,'Data shares'!$C:$FA,90)</f>
        <v>806400</v>
      </c>
      <c r="I138" s="86">
        <f>VLOOKUP($A138,'Data shares'!$C:$FA,92)</f>
        <v>104800</v>
      </c>
      <c r="J138" s="87">
        <f>VLOOKUP($A138,'Data shares'!$C:$FA,93)</f>
        <v>0.14940000000000001</v>
      </c>
      <c r="K138" s="86">
        <f>VLOOKUP($A138,'Data shares'!$C:$FA,94)</f>
        <v>499200</v>
      </c>
      <c r="L138" s="86">
        <f>VLOOKUP($A138,'Data shares'!$C:$FA,96)</f>
        <v>37600</v>
      </c>
      <c r="M138" s="87">
        <f>VLOOKUP($A138,'Data shares'!$C:$FA,97)</f>
        <v>8.1500000000000003E-2</v>
      </c>
      <c r="N138" s="86">
        <f>VLOOKUP($A138,'Data shares'!$C:$FA,78)</f>
        <v>5940800</v>
      </c>
      <c r="O138" s="87">
        <f>VLOOKUP($A138,'Data shares'!$C:$FA,81)</f>
        <v>-3.5000000000000001E-3</v>
      </c>
    </row>
    <row r="139" spans="1:15" x14ac:dyDescent="0.25">
      <c r="A139" s="100" t="str">
        <f>'OI(Value)'!A139</f>
        <v>MIDCPNIFTY</v>
      </c>
      <c r="B139" s="82">
        <f>VLOOKUP(A139,'Data shares'!$C$2:$CV$216,98,0)</f>
        <v>12916260</v>
      </c>
      <c r="C139" s="82">
        <f>VLOOKUP(A139,'Data shares'!$C$2:$CX$216,100,0)</f>
        <v>657440</v>
      </c>
      <c r="D139" s="141">
        <f>VLOOKUP(A139,'Data shares'!$C$2:$CY$539,101,0)</f>
        <v>5.3600000000000002E-2</v>
      </c>
      <c r="E139" s="86">
        <f>VLOOKUP($A139,'Data shares'!$C:$FA,74)</f>
        <v>2786840</v>
      </c>
      <c r="F139" s="86">
        <f>VLOOKUP($A139,'Data shares'!$C:$FA,76)</f>
        <v>-25760</v>
      </c>
      <c r="G139" s="87">
        <f>VLOOKUP(A139,'Data shares'!$C$2:$CA$216,77,0)</f>
        <v>-9.1999999999999998E-3</v>
      </c>
      <c r="H139" s="86">
        <f>VLOOKUP($A139,'Data shares'!$C:$FA,90)</f>
        <v>4232760</v>
      </c>
      <c r="I139" s="86">
        <f>VLOOKUP($A139,'Data shares'!$C:$FA,92)</f>
        <v>223020</v>
      </c>
      <c r="J139" s="87">
        <f>VLOOKUP($A139,'Data shares'!$C:$FA,93)</f>
        <v>5.5599999999999997E-2</v>
      </c>
      <c r="K139" s="86">
        <f>VLOOKUP($A139,'Data shares'!$C:$FA,94)</f>
        <v>5896660</v>
      </c>
      <c r="L139" s="86">
        <f>VLOOKUP($A139,'Data shares'!$C:$FA,96)</f>
        <v>460180</v>
      </c>
      <c r="M139" s="87">
        <f>VLOOKUP($A139,'Data shares'!$C:$FA,97)</f>
        <v>8.4599999999999995E-2</v>
      </c>
      <c r="N139" s="86">
        <f>VLOOKUP($A139,'Data shares'!$C:$FA,78)</f>
        <v>2706060</v>
      </c>
      <c r="O139" s="87">
        <f>VLOOKUP($A139,'Data shares'!$C:$FA,81)</f>
        <v>-1.18E-2</v>
      </c>
    </row>
    <row r="140" spans="1:15" x14ac:dyDescent="0.25">
      <c r="A140" s="100" t="str">
        <f>'OI(Value)'!A140</f>
        <v>MOTHERSON</v>
      </c>
      <c r="B140" s="82">
        <f>VLOOKUP(A140,'Data shares'!$C$2:$CV$216,98,0)</f>
        <v>233982900</v>
      </c>
      <c r="C140" s="82">
        <f>VLOOKUP(A140,'Data shares'!$C$2:$CX$216,100,0)</f>
        <v>3321000</v>
      </c>
      <c r="D140" s="141">
        <f>VLOOKUP(A140,'Data shares'!$C$2:$CY$539,101,0)</f>
        <v>1.44E-2</v>
      </c>
      <c r="E140" s="86">
        <f>VLOOKUP($A140,'Data shares'!$C:$FA,74)</f>
        <v>165145950</v>
      </c>
      <c r="F140" s="86">
        <f>VLOOKUP($A140,'Data shares'!$C:$FA,76)</f>
        <v>-184500</v>
      </c>
      <c r="G140" s="87">
        <f>VLOOKUP(A140,'Data shares'!$C$2:$CA$216,77,0)</f>
        <v>-1.1000000000000001E-3</v>
      </c>
      <c r="H140" s="86">
        <f>VLOOKUP($A140,'Data shares'!$C:$FA,90)</f>
        <v>44993400</v>
      </c>
      <c r="I140" s="86">
        <f>VLOOKUP($A140,'Data shares'!$C:$FA,92)</f>
        <v>2601450</v>
      </c>
      <c r="J140" s="87">
        <f>VLOOKUP($A140,'Data shares'!$C:$FA,93)</f>
        <v>6.1400000000000003E-2</v>
      </c>
      <c r="K140" s="86">
        <f>VLOOKUP($A140,'Data shares'!$C:$FA,94)</f>
        <v>23843550</v>
      </c>
      <c r="L140" s="86">
        <f>VLOOKUP($A140,'Data shares'!$C:$FA,96)</f>
        <v>904050</v>
      </c>
      <c r="M140" s="87">
        <f>VLOOKUP($A140,'Data shares'!$C:$FA,97)</f>
        <v>3.9399999999999998E-2</v>
      </c>
      <c r="N140" s="86">
        <f>VLOOKUP($A140,'Data shares'!$C:$FA,78)</f>
        <v>160232100</v>
      </c>
      <c r="O140" s="87">
        <f>VLOOKUP($A140,'Data shares'!$C:$FA,81)</f>
        <v>-2.2000000000000001E-3</v>
      </c>
    </row>
    <row r="141" spans="1:15" x14ac:dyDescent="0.25">
      <c r="A141" s="100" t="str">
        <f>'OI(Value)'!A141</f>
        <v>MPHASIS</v>
      </c>
      <c r="B141" s="82">
        <f>VLOOKUP(A141,'Data shares'!$C$2:$CV$216,98,0)</f>
        <v>5364150</v>
      </c>
      <c r="C141" s="82">
        <f>VLOOKUP(A141,'Data shares'!$C$2:$CX$216,100,0)</f>
        <v>-1375</v>
      </c>
      <c r="D141" s="141">
        <f>VLOOKUP(A141,'Data shares'!$C$2:$CY$539,101,0)</f>
        <v>-2.9999999999999997E-4</v>
      </c>
      <c r="E141" s="86">
        <f>VLOOKUP($A141,'Data shares'!$C:$FA,74)</f>
        <v>3974300</v>
      </c>
      <c r="F141" s="86">
        <f>VLOOKUP($A141,'Data shares'!$C:$FA,76)</f>
        <v>-78375</v>
      </c>
      <c r="G141" s="87">
        <f>VLOOKUP(A141,'Data shares'!$C$2:$CA$216,77,0)</f>
        <v>-1.9300000000000001E-2</v>
      </c>
      <c r="H141" s="86">
        <f>VLOOKUP($A141,'Data shares'!$C:$FA,90)</f>
        <v>801625</v>
      </c>
      <c r="I141" s="86">
        <f>VLOOKUP($A141,'Data shares'!$C:$FA,92)</f>
        <v>52525</v>
      </c>
      <c r="J141" s="87">
        <f>VLOOKUP($A141,'Data shares'!$C:$FA,93)</f>
        <v>7.0099999999999996E-2</v>
      </c>
      <c r="K141" s="86">
        <f>VLOOKUP($A141,'Data shares'!$C:$FA,94)</f>
        <v>588225</v>
      </c>
      <c r="L141" s="86">
        <f>VLOOKUP($A141,'Data shares'!$C:$FA,96)</f>
        <v>24475</v>
      </c>
      <c r="M141" s="87">
        <f>VLOOKUP($A141,'Data shares'!$C:$FA,97)</f>
        <v>4.3400000000000001E-2</v>
      </c>
      <c r="N141" s="86">
        <f>VLOOKUP($A141,'Data shares'!$C:$FA,78)</f>
        <v>3922325</v>
      </c>
      <c r="O141" s="87">
        <f>VLOOKUP($A141,'Data shares'!$C:$FA,81)</f>
        <v>-1.8700000000000001E-2</v>
      </c>
    </row>
    <row r="142" spans="1:15" x14ac:dyDescent="0.25">
      <c r="A142" s="100" t="str">
        <f>'OI(Value)'!A142</f>
        <v>MUTHOOTFIN</v>
      </c>
      <c r="B142" s="82">
        <f>VLOOKUP(A142,'Data shares'!$C$2:$CV$216,98,0)</f>
        <v>5734025</v>
      </c>
      <c r="C142" s="82">
        <f>VLOOKUP(A142,'Data shares'!$C$2:$CX$216,100,0)</f>
        <v>763675</v>
      </c>
      <c r="D142" s="141">
        <f>VLOOKUP(A142,'Data shares'!$C$2:$CY$539,101,0)</f>
        <v>0.15359999999999999</v>
      </c>
      <c r="E142" s="86">
        <f>VLOOKUP($A142,'Data shares'!$C:$FA,74)</f>
        <v>2795100</v>
      </c>
      <c r="F142" s="86">
        <f>VLOOKUP($A142,'Data shares'!$C:$FA,76)</f>
        <v>48125</v>
      </c>
      <c r="G142" s="87">
        <f>VLOOKUP(A142,'Data shares'!$C$2:$CA$216,77,0)</f>
        <v>1.7500000000000002E-2</v>
      </c>
      <c r="H142" s="86">
        <f>VLOOKUP($A142,'Data shares'!$C:$FA,90)</f>
        <v>1714350</v>
      </c>
      <c r="I142" s="86">
        <f>VLOOKUP($A142,'Data shares'!$C:$FA,92)</f>
        <v>396825</v>
      </c>
      <c r="J142" s="87">
        <f>VLOOKUP($A142,'Data shares'!$C:$FA,93)</f>
        <v>0.30120000000000002</v>
      </c>
      <c r="K142" s="86">
        <f>VLOOKUP($A142,'Data shares'!$C:$FA,94)</f>
        <v>1224575</v>
      </c>
      <c r="L142" s="86">
        <f>VLOOKUP($A142,'Data shares'!$C:$FA,96)</f>
        <v>318725</v>
      </c>
      <c r="M142" s="87">
        <f>VLOOKUP($A142,'Data shares'!$C:$FA,97)</f>
        <v>0.35189999999999999</v>
      </c>
      <c r="N142" s="86">
        <f>VLOOKUP($A142,'Data shares'!$C:$FA,78)</f>
        <v>2682625</v>
      </c>
      <c r="O142" s="87">
        <f>VLOOKUP($A142,'Data shares'!$C:$FA,81)</f>
        <v>8.0000000000000004E-4</v>
      </c>
    </row>
    <row r="143" spans="1:15" x14ac:dyDescent="0.25">
      <c r="A143" s="100" t="str">
        <f>'OI(Value)'!A143</f>
        <v>NATIONALUM</v>
      </c>
      <c r="B143" s="82">
        <f>VLOOKUP(A143,'Data shares'!$C$2:$CV$216,98,0)</f>
        <v>130586250</v>
      </c>
      <c r="C143" s="82">
        <f>VLOOKUP(A143,'Data shares'!$C$2:$CX$216,100,0)</f>
        <v>8002500</v>
      </c>
      <c r="D143" s="141">
        <f>VLOOKUP(A143,'Data shares'!$C$2:$CY$539,101,0)</f>
        <v>6.5299999999999997E-2</v>
      </c>
      <c r="E143" s="86">
        <f>VLOOKUP($A143,'Data shares'!$C:$FA,74)</f>
        <v>82533750</v>
      </c>
      <c r="F143" s="86">
        <f>VLOOKUP($A143,'Data shares'!$C:$FA,76)</f>
        <v>1706250</v>
      </c>
      <c r="G143" s="87">
        <f>VLOOKUP(A143,'Data shares'!$C$2:$CA$216,77,0)</f>
        <v>2.1100000000000001E-2</v>
      </c>
      <c r="H143" s="86">
        <f>VLOOKUP($A143,'Data shares'!$C:$FA,90)</f>
        <v>29208750</v>
      </c>
      <c r="I143" s="86">
        <f>VLOOKUP($A143,'Data shares'!$C:$FA,92)</f>
        <v>5370000</v>
      </c>
      <c r="J143" s="87">
        <f>VLOOKUP($A143,'Data shares'!$C:$FA,93)</f>
        <v>0.2253</v>
      </c>
      <c r="K143" s="86">
        <f>VLOOKUP($A143,'Data shares'!$C:$FA,94)</f>
        <v>18843750</v>
      </c>
      <c r="L143" s="86">
        <f>VLOOKUP($A143,'Data shares'!$C:$FA,96)</f>
        <v>926250</v>
      </c>
      <c r="M143" s="87">
        <f>VLOOKUP($A143,'Data shares'!$C:$FA,97)</f>
        <v>5.1700000000000003E-2</v>
      </c>
      <c r="N143" s="86">
        <f>VLOOKUP($A143,'Data shares'!$C:$FA,78)</f>
        <v>80175000</v>
      </c>
      <c r="O143" s="87">
        <f>VLOOKUP($A143,'Data shares'!$C:$FA,81)</f>
        <v>1.38E-2</v>
      </c>
    </row>
    <row r="144" spans="1:15" x14ac:dyDescent="0.25">
      <c r="A144" s="100" t="str">
        <f>'OI(Value)'!A144</f>
        <v>NAUKRI</v>
      </c>
      <c r="B144" s="82">
        <f>VLOOKUP(A144,'Data shares'!$C$2:$CV$216,98,0)</f>
        <v>12289500</v>
      </c>
      <c r="C144" s="82">
        <f>VLOOKUP(A144,'Data shares'!$C$2:$CX$216,100,0)</f>
        <v>56250</v>
      </c>
      <c r="D144" s="141">
        <f>VLOOKUP(A144,'Data shares'!$C$2:$CY$539,101,0)</f>
        <v>4.5999999999999999E-3</v>
      </c>
      <c r="E144" s="86">
        <f>VLOOKUP($A144,'Data shares'!$C:$FA,74)</f>
        <v>10120500</v>
      </c>
      <c r="F144" s="86">
        <f>VLOOKUP($A144,'Data shares'!$C:$FA,76)</f>
        <v>-166875</v>
      </c>
      <c r="G144" s="87">
        <f>VLOOKUP(A144,'Data shares'!$C$2:$CA$216,77,0)</f>
        <v>-1.6199999999999999E-2</v>
      </c>
      <c r="H144" s="86">
        <f>VLOOKUP($A144,'Data shares'!$C:$FA,90)</f>
        <v>1215750</v>
      </c>
      <c r="I144" s="86">
        <f>VLOOKUP($A144,'Data shares'!$C:$FA,92)</f>
        <v>70125</v>
      </c>
      <c r="J144" s="87">
        <f>VLOOKUP($A144,'Data shares'!$C:$FA,93)</f>
        <v>6.1199999999999997E-2</v>
      </c>
      <c r="K144" s="86">
        <f>VLOOKUP($A144,'Data shares'!$C:$FA,94)</f>
        <v>953250</v>
      </c>
      <c r="L144" s="86">
        <f>VLOOKUP($A144,'Data shares'!$C:$FA,96)</f>
        <v>153000</v>
      </c>
      <c r="M144" s="87">
        <f>VLOOKUP($A144,'Data shares'!$C:$FA,97)</f>
        <v>0.19120000000000001</v>
      </c>
      <c r="N144" s="86">
        <f>VLOOKUP($A144,'Data shares'!$C:$FA,78)</f>
        <v>10049250</v>
      </c>
      <c r="O144" s="87">
        <f>VLOOKUP($A144,'Data shares'!$C:$FA,81)</f>
        <v>-1.6400000000000001E-2</v>
      </c>
    </row>
    <row r="145" spans="1:15" x14ac:dyDescent="0.25">
      <c r="A145" s="100" t="str">
        <f>'OI(Value)'!A145</f>
        <v>NBCC</v>
      </c>
      <c r="B145" s="82">
        <f>VLOOKUP(A145,'Data shares'!$C$2:$CV$216,98,0)</f>
        <v>93307500</v>
      </c>
      <c r="C145" s="82">
        <f>VLOOKUP(A145,'Data shares'!$C$2:$CX$216,100,0)</f>
        <v>6337500</v>
      </c>
      <c r="D145" s="141">
        <f>VLOOKUP(A145,'Data shares'!$C$2:$CY$539,101,0)</f>
        <v>7.2900000000000006E-2</v>
      </c>
      <c r="E145" s="86">
        <f>VLOOKUP($A145,'Data shares'!$C:$FA,74)</f>
        <v>61087000</v>
      </c>
      <c r="F145" s="86">
        <f>VLOOKUP($A145,'Data shares'!$C:$FA,76)</f>
        <v>1969500</v>
      </c>
      <c r="G145" s="87">
        <f>VLOOKUP(A145,'Data shares'!$C$2:$CA$216,77,0)</f>
        <v>3.3300000000000003E-2</v>
      </c>
      <c r="H145" s="86">
        <f>VLOOKUP($A145,'Data shares'!$C:$FA,90)</f>
        <v>21606000</v>
      </c>
      <c r="I145" s="86">
        <f>VLOOKUP($A145,'Data shares'!$C:$FA,92)</f>
        <v>4108000</v>
      </c>
      <c r="J145" s="87">
        <f>VLOOKUP($A145,'Data shares'!$C:$FA,93)</f>
        <v>0.23480000000000001</v>
      </c>
      <c r="K145" s="86">
        <f>VLOOKUP($A145,'Data shares'!$C:$FA,94)</f>
        <v>10614500</v>
      </c>
      <c r="L145" s="86">
        <f>VLOOKUP($A145,'Data shares'!$C:$FA,96)</f>
        <v>260000</v>
      </c>
      <c r="M145" s="87">
        <f>VLOOKUP($A145,'Data shares'!$C:$FA,97)</f>
        <v>2.5100000000000001E-2</v>
      </c>
      <c r="N145" s="86">
        <f>VLOOKUP($A145,'Data shares'!$C:$FA,78)</f>
        <v>59442500</v>
      </c>
      <c r="O145" s="87">
        <f>VLOOKUP($A145,'Data shares'!$C:$FA,81)</f>
        <v>2.81E-2</v>
      </c>
    </row>
    <row r="146" spans="1:15" x14ac:dyDescent="0.25">
      <c r="A146" s="100" t="str">
        <f>'OI(Value)'!A146</f>
        <v>NCC</v>
      </c>
      <c r="B146" s="82">
        <f>VLOOKUP(A146,'Data shares'!$C$2:$CV$216,98,0)</f>
        <v>25255800</v>
      </c>
      <c r="C146" s="82">
        <f>VLOOKUP(A146,'Data shares'!$C$2:$CX$216,100,0)</f>
        <v>310500</v>
      </c>
      <c r="D146" s="141">
        <f>VLOOKUP(A146,'Data shares'!$C$2:$CY$539,101,0)</f>
        <v>1.24E-2</v>
      </c>
      <c r="E146" s="86">
        <f>VLOOKUP($A146,'Data shares'!$C:$FA,74)</f>
        <v>17617500</v>
      </c>
      <c r="F146" s="86">
        <f>VLOOKUP($A146,'Data shares'!$C:$FA,76)</f>
        <v>-248400</v>
      </c>
      <c r="G146" s="87">
        <f>VLOOKUP(A146,'Data shares'!$C$2:$CA$216,77,0)</f>
        <v>-1.3899999999999999E-2</v>
      </c>
      <c r="H146" s="86">
        <f>VLOOKUP($A146,'Data shares'!$C:$FA,90)</f>
        <v>4549500</v>
      </c>
      <c r="I146" s="86">
        <f>VLOOKUP($A146,'Data shares'!$C:$FA,92)</f>
        <v>413100</v>
      </c>
      <c r="J146" s="87">
        <f>VLOOKUP($A146,'Data shares'!$C:$FA,93)</f>
        <v>9.9900000000000003E-2</v>
      </c>
      <c r="K146" s="86">
        <f>VLOOKUP($A146,'Data shares'!$C:$FA,94)</f>
        <v>3088800</v>
      </c>
      <c r="L146" s="86">
        <f>VLOOKUP($A146,'Data shares'!$C:$FA,96)</f>
        <v>145800</v>
      </c>
      <c r="M146" s="87">
        <f>VLOOKUP($A146,'Data shares'!$C:$FA,97)</f>
        <v>4.9500000000000002E-2</v>
      </c>
      <c r="N146" s="86">
        <f>VLOOKUP($A146,'Data shares'!$C:$FA,78)</f>
        <v>16980300</v>
      </c>
      <c r="O146" s="87">
        <f>VLOOKUP($A146,'Data shares'!$C:$FA,81)</f>
        <v>-1.46E-2</v>
      </c>
    </row>
    <row r="147" spans="1:15" x14ac:dyDescent="0.25">
      <c r="A147" s="100" t="str">
        <f>'OI(Value)'!A147</f>
        <v>NESTLEIND</v>
      </c>
      <c r="B147" s="82">
        <f>VLOOKUP(A147,'Data shares'!$C$2:$CV$216,98,0)</f>
        <v>21848000</v>
      </c>
      <c r="C147" s="82">
        <f>VLOOKUP(A147,'Data shares'!$C$2:$CX$216,100,0)</f>
        <v>544000</v>
      </c>
      <c r="D147" s="141">
        <f>VLOOKUP(A147,'Data shares'!$C$2:$CY$539,101,0)</f>
        <v>2.5499999999999998E-2</v>
      </c>
      <c r="E147" s="86">
        <f>VLOOKUP($A147,'Data shares'!$C:$FA,74)</f>
        <v>17842000</v>
      </c>
      <c r="F147" s="86">
        <f>VLOOKUP($A147,'Data shares'!$C:$FA,76)</f>
        <v>-73000</v>
      </c>
      <c r="G147" s="87">
        <f>VLOOKUP(A147,'Data shares'!$C$2:$CA$216,77,0)</f>
        <v>-4.1000000000000003E-3</v>
      </c>
      <c r="H147" s="86">
        <f>VLOOKUP($A147,'Data shares'!$C:$FA,90)</f>
        <v>2587500</v>
      </c>
      <c r="I147" s="86">
        <f>VLOOKUP($A147,'Data shares'!$C:$FA,92)</f>
        <v>510500</v>
      </c>
      <c r="J147" s="87">
        <f>VLOOKUP($A147,'Data shares'!$C:$FA,93)</f>
        <v>0.24579999999999999</v>
      </c>
      <c r="K147" s="86">
        <f>VLOOKUP($A147,'Data shares'!$C:$FA,94)</f>
        <v>1418500</v>
      </c>
      <c r="L147" s="86">
        <f>VLOOKUP($A147,'Data shares'!$C:$FA,96)</f>
        <v>106500</v>
      </c>
      <c r="M147" s="87">
        <f>VLOOKUP($A147,'Data shares'!$C:$FA,97)</f>
        <v>8.1199999999999994E-2</v>
      </c>
      <c r="N147" s="86">
        <f>VLOOKUP($A147,'Data shares'!$C:$FA,78)</f>
        <v>17543500</v>
      </c>
      <c r="O147" s="87">
        <f>VLOOKUP($A147,'Data shares'!$C:$FA,81)</f>
        <v>-5.5999999999999999E-3</v>
      </c>
    </row>
    <row r="148" spans="1:15" x14ac:dyDescent="0.25">
      <c r="A148" s="100" t="str">
        <f>'OI(Value)'!A148</f>
        <v>NHPC</v>
      </c>
      <c r="B148" s="82">
        <f>VLOOKUP(A148,'Data shares'!$C$2:$CV$216,98,0)</f>
        <v>68729600</v>
      </c>
      <c r="C148" s="82">
        <f>VLOOKUP(A148,'Data shares'!$C$2:$CX$216,100,0)</f>
        <v>2963200</v>
      </c>
      <c r="D148" s="141">
        <f>VLOOKUP(A148,'Data shares'!$C$2:$CY$539,101,0)</f>
        <v>4.5100000000000001E-2</v>
      </c>
      <c r="E148" s="86">
        <f>VLOOKUP($A148,'Data shares'!$C:$FA,74)</f>
        <v>48332800</v>
      </c>
      <c r="F148" s="86">
        <f>VLOOKUP($A148,'Data shares'!$C:$FA,76)</f>
        <v>979200</v>
      </c>
      <c r="G148" s="87">
        <f>VLOOKUP(A148,'Data shares'!$C$2:$CA$216,77,0)</f>
        <v>2.07E-2</v>
      </c>
      <c r="H148" s="86">
        <f>VLOOKUP($A148,'Data shares'!$C:$FA,90)</f>
        <v>13830400</v>
      </c>
      <c r="I148" s="86">
        <f>VLOOKUP($A148,'Data shares'!$C:$FA,92)</f>
        <v>1670400</v>
      </c>
      <c r="J148" s="87">
        <f>VLOOKUP($A148,'Data shares'!$C:$FA,93)</f>
        <v>0.13739999999999999</v>
      </c>
      <c r="K148" s="86">
        <f>VLOOKUP($A148,'Data shares'!$C:$FA,94)</f>
        <v>6566400</v>
      </c>
      <c r="L148" s="86">
        <f>VLOOKUP($A148,'Data shares'!$C:$FA,96)</f>
        <v>313600</v>
      </c>
      <c r="M148" s="87">
        <f>VLOOKUP($A148,'Data shares'!$C:$FA,97)</f>
        <v>5.0200000000000002E-2</v>
      </c>
      <c r="N148" s="86">
        <f>VLOOKUP($A148,'Data shares'!$C:$FA,78)</f>
        <v>46944000</v>
      </c>
      <c r="O148" s="87">
        <f>VLOOKUP($A148,'Data shares'!$C:$FA,81)</f>
        <v>1.7600000000000001E-2</v>
      </c>
    </row>
    <row r="149" spans="1:15" x14ac:dyDescent="0.25">
      <c r="A149" s="100" t="str">
        <f>'OI(Value)'!A149</f>
        <v>NIFTY</v>
      </c>
      <c r="B149" s="82">
        <f>VLOOKUP(A149,'Data shares'!$C$2:$CV$216,98,0)</f>
        <v>615390575</v>
      </c>
      <c r="C149" s="82">
        <f>VLOOKUP(A149,'Data shares'!$C$2:$CX$216,100,0)</f>
        <v>42330675</v>
      </c>
      <c r="D149" s="141">
        <f>VLOOKUP(A149,'Data shares'!$C$2:$CY$539,101,0)</f>
        <v>7.3899999999999993E-2</v>
      </c>
      <c r="E149" s="86">
        <f>VLOOKUP($A149,'Data shares'!$C:$FA,74)</f>
        <v>19594950</v>
      </c>
      <c r="F149" s="86">
        <f>VLOOKUP($A149,'Data shares'!$C:$FA,76)</f>
        <v>347475</v>
      </c>
      <c r="G149" s="87">
        <f>VLOOKUP(A149,'Data shares'!$C$2:$CA$216,77,0)</f>
        <v>1.8100000000000002E-2</v>
      </c>
      <c r="H149" s="86">
        <f>VLOOKUP($A149,'Data shares'!$C:$FA,90)</f>
        <v>255426225</v>
      </c>
      <c r="I149" s="86">
        <f>VLOOKUP($A149,'Data shares'!$C:$FA,92)</f>
        <v>472300</v>
      </c>
      <c r="J149" s="87">
        <f>VLOOKUP($A149,'Data shares'!$C:$FA,93)</f>
        <v>1.9E-3</v>
      </c>
      <c r="K149" s="86">
        <f>VLOOKUP($A149,'Data shares'!$C:$FA,94)</f>
        <v>340369400</v>
      </c>
      <c r="L149" s="86">
        <f>VLOOKUP($A149,'Data shares'!$C:$FA,96)</f>
        <v>41510900</v>
      </c>
      <c r="M149" s="87">
        <f>VLOOKUP($A149,'Data shares'!$C:$FA,97)</f>
        <v>0.1389</v>
      </c>
      <c r="N149" s="86">
        <f>VLOOKUP($A149,'Data shares'!$C:$FA,78)</f>
        <v>18296400</v>
      </c>
      <c r="O149" s="87">
        <f>VLOOKUP($A149,'Data shares'!$C:$FA,81)</f>
        <v>1.5599999999999999E-2</v>
      </c>
    </row>
    <row r="150" spans="1:15" x14ac:dyDescent="0.25">
      <c r="A150" s="100" t="str">
        <f>'OI(Value)'!A150</f>
        <v>NIFTYNXT50</v>
      </c>
      <c r="B150" s="82">
        <f>VLOOKUP(A150,'Data shares'!$C$2:$CV$216,98,0)</f>
        <v>29375</v>
      </c>
      <c r="C150" s="82">
        <f>VLOOKUP(A150,'Data shares'!$C$2:$CX$216,100,0)</f>
        <v>2825</v>
      </c>
      <c r="D150" s="141">
        <f>VLOOKUP(A150,'Data shares'!$C$2:$CY$539,101,0)</f>
        <v>0.10639999999999999</v>
      </c>
      <c r="E150" s="86">
        <f>VLOOKUP($A150,'Data shares'!$C:$FA,74)</f>
        <v>25850</v>
      </c>
      <c r="F150" s="86">
        <f>VLOOKUP($A150,'Data shares'!$C:$FA,76)</f>
        <v>2025</v>
      </c>
      <c r="G150" s="87">
        <f>VLOOKUP(A150,'Data shares'!$C$2:$CA$216,77,0)</f>
        <v>8.5000000000000006E-2</v>
      </c>
      <c r="H150" s="86">
        <f>VLOOKUP($A150,'Data shares'!$C:$FA,90)</f>
        <v>2650</v>
      </c>
      <c r="I150" s="86">
        <f>VLOOKUP($A150,'Data shares'!$C:$FA,92)</f>
        <v>525</v>
      </c>
      <c r="J150" s="87">
        <f>VLOOKUP($A150,'Data shares'!$C:$FA,93)</f>
        <v>0.24709999999999999</v>
      </c>
      <c r="K150" s="86">
        <f>VLOOKUP($A150,'Data shares'!$C:$FA,94)</f>
        <v>875</v>
      </c>
      <c r="L150" s="86">
        <f>VLOOKUP($A150,'Data shares'!$C:$FA,96)</f>
        <v>275</v>
      </c>
      <c r="M150" s="87">
        <f>VLOOKUP($A150,'Data shares'!$C:$FA,97)</f>
        <v>0.45829999999999999</v>
      </c>
      <c r="N150" s="86">
        <f>VLOOKUP($A150,'Data shares'!$C:$FA,78)</f>
        <v>23400</v>
      </c>
      <c r="O150" s="87">
        <f>VLOOKUP($A150,'Data shares'!$C:$FA,81)</f>
        <v>6.8500000000000005E-2</v>
      </c>
    </row>
    <row r="151" spans="1:15" x14ac:dyDescent="0.25">
      <c r="A151" s="100" t="str">
        <f>'OI(Value)'!A151</f>
        <v>NMDC</v>
      </c>
      <c r="B151" s="82">
        <f>VLOOKUP(A151,'Data shares'!$C$2:$CV$216,98,0)</f>
        <v>439924500</v>
      </c>
      <c r="C151" s="82">
        <f>VLOOKUP(A151,'Data shares'!$C$2:$CX$216,100,0)</f>
        <v>18225000</v>
      </c>
      <c r="D151" s="141">
        <f>VLOOKUP(A151,'Data shares'!$C$2:$CY$539,101,0)</f>
        <v>4.3200000000000002E-2</v>
      </c>
      <c r="E151" s="86">
        <f>VLOOKUP($A151,'Data shares'!$C:$FA,74)</f>
        <v>283284000</v>
      </c>
      <c r="F151" s="86">
        <f>VLOOKUP($A151,'Data shares'!$C:$FA,76)</f>
        <v>4495500</v>
      </c>
      <c r="G151" s="87">
        <f>VLOOKUP(A151,'Data shares'!$C$2:$CA$216,77,0)</f>
        <v>1.61E-2</v>
      </c>
      <c r="H151" s="86">
        <f>VLOOKUP($A151,'Data shares'!$C:$FA,90)</f>
        <v>92475000</v>
      </c>
      <c r="I151" s="86">
        <f>VLOOKUP($A151,'Data shares'!$C:$FA,92)</f>
        <v>10759500</v>
      </c>
      <c r="J151" s="87">
        <f>VLOOKUP($A151,'Data shares'!$C:$FA,93)</f>
        <v>0.13170000000000001</v>
      </c>
      <c r="K151" s="86">
        <f>VLOOKUP($A151,'Data shares'!$C:$FA,94)</f>
        <v>64165500</v>
      </c>
      <c r="L151" s="86">
        <f>VLOOKUP($A151,'Data shares'!$C:$FA,96)</f>
        <v>2970000</v>
      </c>
      <c r="M151" s="87">
        <f>VLOOKUP($A151,'Data shares'!$C:$FA,97)</f>
        <v>4.8500000000000001E-2</v>
      </c>
      <c r="N151" s="86">
        <f>VLOOKUP($A151,'Data shares'!$C:$FA,78)</f>
        <v>277047000</v>
      </c>
      <c r="O151" s="87">
        <f>VLOOKUP($A151,'Data shares'!$C:$FA,81)</f>
        <v>1.29E-2</v>
      </c>
    </row>
    <row r="152" spans="1:15" x14ac:dyDescent="0.25">
      <c r="A152" s="100" t="str">
        <f>'OI(Value)'!A152</f>
        <v>NTPC</v>
      </c>
      <c r="B152" s="82">
        <f>VLOOKUP(A152,'Data shares'!$C$2:$CV$216,98,0)</f>
        <v>137667000</v>
      </c>
      <c r="C152" s="82">
        <f>VLOOKUP(A152,'Data shares'!$C$2:$CX$216,100,0)</f>
        <v>5107500</v>
      </c>
      <c r="D152" s="141">
        <f>VLOOKUP(A152,'Data shares'!$C$2:$CY$539,101,0)</f>
        <v>3.85E-2</v>
      </c>
      <c r="E152" s="86">
        <f>VLOOKUP($A152,'Data shares'!$C:$FA,74)</f>
        <v>98919000</v>
      </c>
      <c r="F152" s="86">
        <f>VLOOKUP($A152,'Data shares'!$C:$FA,76)</f>
        <v>925500</v>
      </c>
      <c r="G152" s="87">
        <f>VLOOKUP(A152,'Data shares'!$C$2:$CA$216,77,0)</f>
        <v>9.4000000000000004E-3</v>
      </c>
      <c r="H152" s="86">
        <f>VLOOKUP($A152,'Data shares'!$C:$FA,90)</f>
        <v>23199000</v>
      </c>
      <c r="I152" s="86">
        <f>VLOOKUP($A152,'Data shares'!$C:$FA,92)</f>
        <v>3058500</v>
      </c>
      <c r="J152" s="87">
        <f>VLOOKUP($A152,'Data shares'!$C:$FA,93)</f>
        <v>0.15190000000000001</v>
      </c>
      <c r="K152" s="86">
        <f>VLOOKUP($A152,'Data shares'!$C:$FA,94)</f>
        <v>15549000</v>
      </c>
      <c r="L152" s="86">
        <f>VLOOKUP($A152,'Data shares'!$C:$FA,96)</f>
        <v>1123500</v>
      </c>
      <c r="M152" s="87">
        <f>VLOOKUP($A152,'Data shares'!$C:$FA,97)</f>
        <v>7.7899999999999997E-2</v>
      </c>
      <c r="N152" s="86">
        <f>VLOOKUP($A152,'Data shares'!$C:$FA,78)</f>
        <v>96669000</v>
      </c>
      <c r="O152" s="87">
        <f>VLOOKUP($A152,'Data shares'!$C:$FA,81)</f>
        <v>6.1999999999999998E-3</v>
      </c>
    </row>
    <row r="153" spans="1:15" x14ac:dyDescent="0.25">
      <c r="A153" s="100" t="str">
        <f>'OI(Value)'!A153</f>
        <v>NUVAMA</v>
      </c>
      <c r="B153" s="82">
        <f>VLOOKUP(A153,'Data shares'!$C$2:$CV$216,98,0)</f>
        <v>737175</v>
      </c>
      <c r="C153" s="82">
        <f>VLOOKUP(A153,'Data shares'!$C$2:$CX$216,100,0)</f>
        <v>-87525</v>
      </c>
      <c r="D153" s="141">
        <f>VLOOKUP(A153,'Data shares'!$C$2:$CY$539,101,0)</f>
        <v>-0.1061</v>
      </c>
      <c r="E153" s="86">
        <f>VLOOKUP($A153,'Data shares'!$C:$FA,74)</f>
        <v>337800</v>
      </c>
      <c r="F153" s="86">
        <f>VLOOKUP($A153,'Data shares'!$C:$FA,76)</f>
        <v>-13875</v>
      </c>
      <c r="G153" s="87">
        <f>VLOOKUP(A153,'Data shares'!$C$2:$CA$216,77,0)</f>
        <v>-3.95E-2</v>
      </c>
      <c r="H153" s="86">
        <f>VLOOKUP($A153,'Data shares'!$C:$FA,90)</f>
        <v>241500</v>
      </c>
      <c r="I153" s="86">
        <f>VLOOKUP($A153,'Data shares'!$C:$FA,92)</f>
        <v>-76800</v>
      </c>
      <c r="J153" s="87">
        <f>VLOOKUP($A153,'Data shares'!$C:$FA,93)</f>
        <v>-0.24129999999999999</v>
      </c>
      <c r="K153" s="86">
        <f>VLOOKUP($A153,'Data shares'!$C:$FA,94)</f>
        <v>157875</v>
      </c>
      <c r="L153" s="86">
        <f>VLOOKUP($A153,'Data shares'!$C:$FA,96)</f>
        <v>3150</v>
      </c>
      <c r="M153" s="87">
        <f>VLOOKUP($A153,'Data shares'!$C:$FA,97)</f>
        <v>2.0400000000000001E-2</v>
      </c>
      <c r="N153" s="86">
        <f>VLOOKUP($A153,'Data shares'!$C:$FA,78)</f>
        <v>315900</v>
      </c>
      <c r="O153" s="87">
        <f>VLOOKUP($A153,'Data shares'!$C:$FA,81)</f>
        <v>-4.53E-2</v>
      </c>
    </row>
    <row r="154" spans="1:15" x14ac:dyDescent="0.25">
      <c r="A154" s="100" t="str">
        <f>'OI(Value)'!A154</f>
        <v>NYKAA</v>
      </c>
      <c r="B154" s="82">
        <f>VLOOKUP(A154,'Data shares'!$C$2:$CV$216,98,0)</f>
        <v>82115625</v>
      </c>
      <c r="C154" s="82">
        <f>VLOOKUP(A154,'Data shares'!$C$2:$CX$216,100,0)</f>
        <v>12609375</v>
      </c>
      <c r="D154" s="141">
        <f>VLOOKUP(A154,'Data shares'!$C$2:$CY$539,101,0)</f>
        <v>0.18140000000000001</v>
      </c>
      <c r="E154" s="86">
        <f>VLOOKUP($A154,'Data shares'!$C:$FA,74)</f>
        <v>62518750</v>
      </c>
      <c r="F154" s="86">
        <f>VLOOKUP($A154,'Data shares'!$C:$FA,76)</f>
        <v>3693750</v>
      </c>
      <c r="G154" s="87">
        <f>VLOOKUP(A154,'Data shares'!$C$2:$CA$216,77,0)</f>
        <v>6.2799999999999995E-2</v>
      </c>
      <c r="H154" s="86">
        <f>VLOOKUP($A154,'Data shares'!$C:$FA,90)</f>
        <v>11993750</v>
      </c>
      <c r="I154" s="86">
        <f>VLOOKUP($A154,'Data shares'!$C:$FA,92)</f>
        <v>4925000</v>
      </c>
      <c r="J154" s="87">
        <f>VLOOKUP($A154,'Data shares'!$C:$FA,93)</f>
        <v>0.69669999999999999</v>
      </c>
      <c r="K154" s="86">
        <f>VLOOKUP($A154,'Data shares'!$C:$FA,94)</f>
        <v>7603125</v>
      </c>
      <c r="L154" s="86">
        <f>VLOOKUP($A154,'Data shares'!$C:$FA,96)</f>
        <v>3990625</v>
      </c>
      <c r="M154" s="87">
        <f>VLOOKUP($A154,'Data shares'!$C:$FA,97)</f>
        <v>1.1047</v>
      </c>
      <c r="N154" s="86">
        <f>VLOOKUP($A154,'Data shares'!$C:$FA,78)</f>
        <v>61746875</v>
      </c>
      <c r="O154" s="87">
        <f>VLOOKUP($A154,'Data shares'!$C:$FA,81)</f>
        <v>5.8999999999999997E-2</v>
      </c>
    </row>
    <row r="155" spans="1:15" x14ac:dyDescent="0.25">
      <c r="A155" s="100" t="str">
        <f>'OI(Value)'!A155</f>
        <v>OBEROIRLTY</v>
      </c>
      <c r="B155" s="82">
        <f>VLOOKUP(A155,'Data shares'!$C$2:$CV$216,98,0)</f>
        <v>6307700</v>
      </c>
      <c r="C155" s="82">
        <f>VLOOKUP(A155,'Data shares'!$C$2:$CX$216,100,0)</f>
        <v>142100</v>
      </c>
      <c r="D155" s="141">
        <f>VLOOKUP(A155,'Data shares'!$C$2:$CY$539,101,0)</f>
        <v>2.3E-2</v>
      </c>
      <c r="E155" s="86">
        <f>VLOOKUP($A155,'Data shares'!$C:$FA,74)</f>
        <v>4815650</v>
      </c>
      <c r="F155" s="86">
        <f>VLOOKUP($A155,'Data shares'!$C:$FA,76)</f>
        <v>71050</v>
      </c>
      <c r="G155" s="87">
        <f>VLOOKUP(A155,'Data shares'!$C$2:$CA$216,77,0)</f>
        <v>1.4999999999999999E-2</v>
      </c>
      <c r="H155" s="86">
        <f>VLOOKUP($A155,'Data shares'!$C:$FA,90)</f>
        <v>848750</v>
      </c>
      <c r="I155" s="86">
        <f>VLOOKUP($A155,'Data shares'!$C:$FA,92)</f>
        <v>55300</v>
      </c>
      <c r="J155" s="87">
        <f>VLOOKUP($A155,'Data shares'!$C:$FA,93)</f>
        <v>6.9699999999999998E-2</v>
      </c>
      <c r="K155" s="86">
        <f>VLOOKUP($A155,'Data shares'!$C:$FA,94)</f>
        <v>643300</v>
      </c>
      <c r="L155" s="86">
        <f>VLOOKUP($A155,'Data shares'!$C:$FA,96)</f>
        <v>15750</v>
      </c>
      <c r="M155" s="87">
        <f>VLOOKUP($A155,'Data shares'!$C:$FA,97)</f>
        <v>2.5100000000000001E-2</v>
      </c>
      <c r="N155" s="86">
        <f>VLOOKUP($A155,'Data shares'!$C:$FA,78)</f>
        <v>4737950</v>
      </c>
      <c r="O155" s="87">
        <f>VLOOKUP($A155,'Data shares'!$C:$FA,81)</f>
        <v>1.5800000000000002E-2</v>
      </c>
    </row>
    <row r="156" spans="1:15" x14ac:dyDescent="0.25">
      <c r="A156" s="100" t="str">
        <f>'OI(Value)'!A156</f>
        <v>OFSS</v>
      </c>
      <c r="B156" s="82">
        <f>VLOOKUP(A156,'Data shares'!$C$2:$CV$216,98,0)</f>
        <v>1627050</v>
      </c>
      <c r="C156" s="82">
        <f>VLOOKUP(A156,'Data shares'!$C$2:$CX$216,100,0)</f>
        <v>32175</v>
      </c>
      <c r="D156" s="141">
        <f>VLOOKUP(A156,'Data shares'!$C$2:$CY$539,101,0)</f>
        <v>2.0199999999999999E-2</v>
      </c>
      <c r="E156" s="86">
        <f>VLOOKUP($A156,'Data shares'!$C:$FA,74)</f>
        <v>998700</v>
      </c>
      <c r="F156" s="86">
        <f>VLOOKUP($A156,'Data shares'!$C:$FA,76)</f>
        <v>21150</v>
      </c>
      <c r="G156" s="87">
        <f>VLOOKUP(A156,'Data shares'!$C$2:$CA$216,77,0)</f>
        <v>2.1600000000000001E-2</v>
      </c>
      <c r="H156" s="86">
        <f>VLOOKUP($A156,'Data shares'!$C:$FA,90)</f>
        <v>387375</v>
      </c>
      <c r="I156" s="86">
        <f>VLOOKUP($A156,'Data shares'!$C:$FA,92)</f>
        <v>2925</v>
      </c>
      <c r="J156" s="87">
        <f>VLOOKUP($A156,'Data shares'!$C:$FA,93)</f>
        <v>7.6E-3</v>
      </c>
      <c r="K156" s="86">
        <f>VLOOKUP($A156,'Data shares'!$C:$FA,94)</f>
        <v>240975</v>
      </c>
      <c r="L156" s="86">
        <f>VLOOKUP($A156,'Data shares'!$C:$FA,96)</f>
        <v>8100</v>
      </c>
      <c r="M156" s="87">
        <f>VLOOKUP($A156,'Data shares'!$C:$FA,97)</f>
        <v>3.4799999999999998E-2</v>
      </c>
      <c r="N156" s="86">
        <f>VLOOKUP($A156,'Data shares'!$C:$FA,78)</f>
        <v>971850</v>
      </c>
      <c r="O156" s="87">
        <f>VLOOKUP($A156,'Data shares'!$C:$FA,81)</f>
        <v>1.9599999999999999E-2</v>
      </c>
    </row>
    <row r="157" spans="1:15" x14ac:dyDescent="0.25">
      <c r="A157" s="100" t="str">
        <f>'OI(Value)'!A157</f>
        <v>OIL</v>
      </c>
      <c r="B157" s="82">
        <f>VLOOKUP(A157,'Data shares'!$C$2:$CV$216,98,0)</f>
        <v>16455600</v>
      </c>
      <c r="C157" s="82">
        <f>VLOOKUP(A157,'Data shares'!$C$2:$CX$216,100,0)</f>
        <v>497000</v>
      </c>
      <c r="D157" s="141">
        <f>VLOOKUP(A157,'Data shares'!$C$2:$CY$539,101,0)</f>
        <v>3.1099999999999999E-2</v>
      </c>
      <c r="E157" s="86">
        <f>VLOOKUP($A157,'Data shares'!$C:$FA,74)</f>
        <v>9559200</v>
      </c>
      <c r="F157" s="86">
        <f>VLOOKUP($A157,'Data shares'!$C:$FA,76)</f>
        <v>270200</v>
      </c>
      <c r="G157" s="87">
        <f>VLOOKUP(A157,'Data shares'!$C$2:$CA$216,77,0)</f>
        <v>2.9100000000000001E-2</v>
      </c>
      <c r="H157" s="86">
        <f>VLOOKUP($A157,'Data shares'!$C:$FA,90)</f>
        <v>4585000</v>
      </c>
      <c r="I157" s="86">
        <f>VLOOKUP($A157,'Data shares'!$C:$FA,92)</f>
        <v>16800</v>
      </c>
      <c r="J157" s="87">
        <f>VLOOKUP($A157,'Data shares'!$C:$FA,93)</f>
        <v>3.7000000000000002E-3</v>
      </c>
      <c r="K157" s="86">
        <f>VLOOKUP($A157,'Data shares'!$C:$FA,94)</f>
        <v>2311400</v>
      </c>
      <c r="L157" s="86">
        <f>VLOOKUP($A157,'Data shares'!$C:$FA,96)</f>
        <v>210000</v>
      </c>
      <c r="M157" s="87">
        <f>VLOOKUP($A157,'Data shares'!$C:$FA,97)</f>
        <v>9.9900000000000003E-2</v>
      </c>
      <c r="N157" s="86">
        <f>VLOOKUP($A157,'Data shares'!$C:$FA,78)</f>
        <v>9186800</v>
      </c>
      <c r="O157" s="87">
        <f>VLOOKUP($A157,'Data shares'!$C:$FA,81)</f>
        <v>2.24E-2</v>
      </c>
    </row>
    <row r="158" spans="1:15" x14ac:dyDescent="0.25">
      <c r="A158" s="100" t="str">
        <f>'OI(Value)'!A158</f>
        <v>ONGC</v>
      </c>
      <c r="B158" s="82">
        <f>VLOOKUP(A158,'Data shares'!$C$2:$CV$216,98,0)</f>
        <v>152793000</v>
      </c>
      <c r="C158" s="82">
        <f>VLOOKUP(A158,'Data shares'!$C$2:$CX$216,100,0)</f>
        <v>3849750</v>
      </c>
      <c r="D158" s="141">
        <f>VLOOKUP(A158,'Data shares'!$C$2:$CY$539,101,0)</f>
        <v>2.58E-2</v>
      </c>
      <c r="E158" s="86">
        <f>VLOOKUP($A158,'Data shares'!$C:$FA,74)</f>
        <v>98977500</v>
      </c>
      <c r="F158" s="86">
        <f>VLOOKUP($A158,'Data shares'!$C:$FA,76)</f>
        <v>-103500</v>
      </c>
      <c r="G158" s="87">
        <f>VLOOKUP(A158,'Data shares'!$C$2:$CA$216,77,0)</f>
        <v>-1E-3</v>
      </c>
      <c r="H158" s="86">
        <f>VLOOKUP($A158,'Data shares'!$C:$FA,90)</f>
        <v>35154000</v>
      </c>
      <c r="I158" s="86">
        <f>VLOOKUP($A158,'Data shares'!$C:$FA,92)</f>
        <v>4205250</v>
      </c>
      <c r="J158" s="87">
        <f>VLOOKUP($A158,'Data shares'!$C:$FA,93)</f>
        <v>0.13589999999999999</v>
      </c>
      <c r="K158" s="86">
        <f>VLOOKUP($A158,'Data shares'!$C:$FA,94)</f>
        <v>18661500</v>
      </c>
      <c r="L158" s="86">
        <f>VLOOKUP($A158,'Data shares'!$C:$FA,96)</f>
        <v>-252000</v>
      </c>
      <c r="M158" s="87">
        <f>VLOOKUP($A158,'Data shares'!$C:$FA,97)</f>
        <v>-1.3299999999999999E-2</v>
      </c>
      <c r="N158" s="86">
        <f>VLOOKUP($A158,'Data shares'!$C:$FA,78)</f>
        <v>97317000</v>
      </c>
      <c r="O158" s="87">
        <f>VLOOKUP($A158,'Data shares'!$C:$FA,81)</f>
        <v>-2.7000000000000001E-3</v>
      </c>
    </row>
    <row r="159" spans="1:15" x14ac:dyDescent="0.25">
      <c r="A159" s="100" t="str">
        <f>'OI(Value)'!A159</f>
        <v>PAGEIND</v>
      </c>
      <c r="B159" s="82">
        <f>VLOOKUP(A159,'Data shares'!$C$2:$CV$216,98,0)</f>
        <v>316980</v>
      </c>
      <c r="C159" s="82">
        <f>VLOOKUP(A159,'Data shares'!$C$2:$CX$216,100,0)</f>
        <v>16920</v>
      </c>
      <c r="D159" s="141">
        <f>VLOOKUP(A159,'Data shares'!$C$2:$CY$539,101,0)</f>
        <v>5.6399999999999999E-2</v>
      </c>
      <c r="E159" s="86">
        <f>VLOOKUP($A159,'Data shares'!$C:$FA,74)</f>
        <v>221790</v>
      </c>
      <c r="F159" s="86">
        <f>VLOOKUP($A159,'Data shares'!$C:$FA,76)</f>
        <v>7875</v>
      </c>
      <c r="G159" s="87">
        <f>VLOOKUP(A159,'Data shares'!$C$2:$CA$216,77,0)</f>
        <v>3.6799999999999999E-2</v>
      </c>
      <c r="H159" s="86">
        <f>VLOOKUP($A159,'Data shares'!$C:$FA,90)</f>
        <v>65820</v>
      </c>
      <c r="I159" s="86">
        <f>VLOOKUP($A159,'Data shares'!$C:$FA,92)</f>
        <v>7005</v>
      </c>
      <c r="J159" s="87">
        <f>VLOOKUP($A159,'Data shares'!$C:$FA,93)</f>
        <v>0.1191</v>
      </c>
      <c r="K159" s="86">
        <f>VLOOKUP($A159,'Data shares'!$C:$FA,94)</f>
        <v>29370</v>
      </c>
      <c r="L159" s="86">
        <f>VLOOKUP($A159,'Data shares'!$C:$FA,96)</f>
        <v>2040</v>
      </c>
      <c r="M159" s="87">
        <f>VLOOKUP($A159,'Data shares'!$C:$FA,97)</f>
        <v>7.46E-2</v>
      </c>
      <c r="N159" s="86">
        <f>VLOOKUP($A159,'Data shares'!$C:$FA,78)</f>
        <v>215970</v>
      </c>
      <c r="O159" s="87">
        <f>VLOOKUP($A159,'Data shares'!$C:$FA,81)</f>
        <v>3.4599999999999999E-2</v>
      </c>
    </row>
    <row r="160" spans="1:15" x14ac:dyDescent="0.25">
      <c r="A160" s="100" t="str">
        <f>'OI(Value)'!A160</f>
        <v>PATANJALI</v>
      </c>
      <c r="B160" s="82">
        <f>VLOOKUP(A160,'Data shares'!$C$2:$CV$216,98,0)</f>
        <v>38602800</v>
      </c>
      <c r="C160" s="82">
        <f>VLOOKUP(A160,'Data shares'!$C$2:$CX$216,100,0)</f>
        <v>1227600</v>
      </c>
      <c r="D160" s="141">
        <f>VLOOKUP(A160,'Data shares'!$C$2:$CY$539,101,0)</f>
        <v>3.2800000000000003E-2</v>
      </c>
      <c r="E160" s="86">
        <f>VLOOKUP($A160,'Data shares'!$C:$FA,74)</f>
        <v>32193000</v>
      </c>
      <c r="F160" s="86">
        <f>VLOOKUP($A160,'Data shares'!$C:$FA,76)</f>
        <v>313200</v>
      </c>
      <c r="G160" s="87">
        <f>VLOOKUP(A160,'Data shares'!$C$2:$CA$216,77,0)</f>
        <v>9.7999999999999997E-3</v>
      </c>
      <c r="H160" s="86">
        <f>VLOOKUP($A160,'Data shares'!$C:$FA,90)</f>
        <v>4182300</v>
      </c>
      <c r="I160" s="86">
        <f>VLOOKUP($A160,'Data shares'!$C:$FA,92)</f>
        <v>868500</v>
      </c>
      <c r="J160" s="87">
        <f>VLOOKUP($A160,'Data shares'!$C:$FA,93)</f>
        <v>0.2621</v>
      </c>
      <c r="K160" s="86">
        <f>VLOOKUP($A160,'Data shares'!$C:$FA,94)</f>
        <v>2227500</v>
      </c>
      <c r="L160" s="86">
        <f>VLOOKUP($A160,'Data shares'!$C:$FA,96)</f>
        <v>45900</v>
      </c>
      <c r="M160" s="87">
        <f>VLOOKUP($A160,'Data shares'!$C:$FA,97)</f>
        <v>2.1000000000000001E-2</v>
      </c>
      <c r="N160" s="86">
        <f>VLOOKUP($A160,'Data shares'!$C:$FA,78)</f>
        <v>31971600</v>
      </c>
      <c r="O160" s="87">
        <f>VLOOKUP($A160,'Data shares'!$C:$FA,81)</f>
        <v>8.2000000000000007E-3</v>
      </c>
    </row>
    <row r="161" spans="1:15" x14ac:dyDescent="0.25">
      <c r="A161" s="100" t="str">
        <f>'OI(Value)'!A161</f>
        <v>PAYTM</v>
      </c>
      <c r="B161" s="82">
        <f>VLOOKUP(A161,'Data shares'!$C$2:$CV$216,98,0)</f>
        <v>37654325</v>
      </c>
      <c r="C161" s="82">
        <f>VLOOKUP(A161,'Data shares'!$C$2:$CX$216,100,0)</f>
        <v>73950</v>
      </c>
      <c r="D161" s="141">
        <f>VLOOKUP(A161,'Data shares'!$C$2:$CY$539,101,0)</f>
        <v>2E-3</v>
      </c>
      <c r="E161" s="86">
        <f>VLOOKUP($A161,'Data shares'!$C:$FA,74)</f>
        <v>27228100</v>
      </c>
      <c r="F161" s="86">
        <f>VLOOKUP($A161,'Data shares'!$C:$FA,76)</f>
        <v>-891750</v>
      </c>
      <c r="G161" s="87">
        <f>VLOOKUP(A161,'Data shares'!$C$2:$CA$216,77,0)</f>
        <v>-3.1699999999999999E-2</v>
      </c>
      <c r="H161" s="86">
        <f>VLOOKUP($A161,'Data shares'!$C:$FA,90)</f>
        <v>5428075</v>
      </c>
      <c r="I161" s="86">
        <f>VLOOKUP($A161,'Data shares'!$C:$FA,92)</f>
        <v>409625</v>
      </c>
      <c r="J161" s="87">
        <f>VLOOKUP($A161,'Data shares'!$C:$FA,93)</f>
        <v>8.1600000000000006E-2</v>
      </c>
      <c r="K161" s="86">
        <f>VLOOKUP($A161,'Data shares'!$C:$FA,94)</f>
        <v>4998150</v>
      </c>
      <c r="L161" s="86">
        <f>VLOOKUP($A161,'Data shares'!$C:$FA,96)</f>
        <v>556075</v>
      </c>
      <c r="M161" s="87">
        <f>VLOOKUP($A161,'Data shares'!$C:$FA,97)</f>
        <v>0.12520000000000001</v>
      </c>
      <c r="N161" s="86">
        <f>VLOOKUP($A161,'Data shares'!$C:$FA,78)</f>
        <v>26880825</v>
      </c>
      <c r="O161" s="87">
        <f>VLOOKUP($A161,'Data shares'!$C:$FA,81)</f>
        <v>-3.3300000000000003E-2</v>
      </c>
    </row>
    <row r="162" spans="1:15" x14ac:dyDescent="0.25">
      <c r="A162" s="100" t="str">
        <f>'OI(Value)'!A162</f>
        <v>PERSISTENT</v>
      </c>
      <c r="B162" s="82">
        <f>VLOOKUP(A162,'Data shares'!$C$2:$CV$216,98,0)</f>
        <v>4216300</v>
      </c>
      <c r="C162" s="82">
        <f>VLOOKUP(A162,'Data shares'!$C$2:$CX$216,100,0)</f>
        <v>13700</v>
      </c>
      <c r="D162" s="141">
        <f>VLOOKUP(A162,'Data shares'!$C$2:$CY$539,101,0)</f>
        <v>3.3E-3</v>
      </c>
      <c r="E162" s="86">
        <f>VLOOKUP($A162,'Data shares'!$C:$FA,74)</f>
        <v>2958300</v>
      </c>
      <c r="F162" s="86">
        <f>VLOOKUP($A162,'Data shares'!$C:$FA,76)</f>
        <v>-33800</v>
      </c>
      <c r="G162" s="87">
        <f>VLOOKUP(A162,'Data shares'!$C$2:$CA$216,77,0)</f>
        <v>-1.1299999999999999E-2</v>
      </c>
      <c r="H162" s="86">
        <f>VLOOKUP($A162,'Data shares'!$C:$FA,90)</f>
        <v>748900</v>
      </c>
      <c r="I162" s="86">
        <f>VLOOKUP($A162,'Data shares'!$C:$FA,92)</f>
        <v>26600</v>
      </c>
      <c r="J162" s="87">
        <f>VLOOKUP($A162,'Data shares'!$C:$FA,93)</f>
        <v>3.6799999999999999E-2</v>
      </c>
      <c r="K162" s="86">
        <f>VLOOKUP($A162,'Data shares'!$C:$FA,94)</f>
        <v>509100</v>
      </c>
      <c r="L162" s="86">
        <f>VLOOKUP($A162,'Data shares'!$C:$FA,96)</f>
        <v>20900</v>
      </c>
      <c r="M162" s="87">
        <f>VLOOKUP($A162,'Data shares'!$C:$FA,97)</f>
        <v>4.2799999999999998E-2</v>
      </c>
      <c r="N162" s="86">
        <f>VLOOKUP($A162,'Data shares'!$C:$FA,78)</f>
        <v>2900600</v>
      </c>
      <c r="O162" s="87">
        <f>VLOOKUP($A162,'Data shares'!$C:$FA,81)</f>
        <v>-1.21E-2</v>
      </c>
    </row>
    <row r="163" spans="1:15" x14ac:dyDescent="0.25">
      <c r="A163" s="100" t="str">
        <f>'OI(Value)'!A163</f>
        <v>PETRONET</v>
      </c>
      <c r="B163" s="82">
        <f>VLOOKUP(A163,'Data shares'!$C$2:$CV$216,98,0)</f>
        <v>68104800</v>
      </c>
      <c r="C163" s="82">
        <f>VLOOKUP(A163,'Data shares'!$C$2:$CX$216,100,0)</f>
        <v>3249000</v>
      </c>
      <c r="D163" s="141">
        <f>VLOOKUP(A163,'Data shares'!$C$2:$CY$539,101,0)</f>
        <v>5.0099999999999999E-2</v>
      </c>
      <c r="E163" s="86">
        <f>VLOOKUP($A163,'Data shares'!$C:$FA,74)</f>
        <v>40168800</v>
      </c>
      <c r="F163" s="86">
        <f>VLOOKUP($A163,'Data shares'!$C:$FA,76)</f>
        <v>376200</v>
      </c>
      <c r="G163" s="87">
        <f>VLOOKUP(A163,'Data shares'!$C$2:$CA$216,77,0)</f>
        <v>9.4999999999999998E-3</v>
      </c>
      <c r="H163" s="86">
        <f>VLOOKUP($A163,'Data shares'!$C:$FA,90)</f>
        <v>13726800</v>
      </c>
      <c r="I163" s="86">
        <f>VLOOKUP($A163,'Data shares'!$C:$FA,92)</f>
        <v>2151000</v>
      </c>
      <c r="J163" s="87">
        <f>VLOOKUP($A163,'Data shares'!$C:$FA,93)</f>
        <v>0.18579999999999999</v>
      </c>
      <c r="K163" s="86">
        <f>VLOOKUP($A163,'Data shares'!$C:$FA,94)</f>
        <v>14209200</v>
      </c>
      <c r="L163" s="86">
        <f>VLOOKUP($A163,'Data shares'!$C:$FA,96)</f>
        <v>721800</v>
      </c>
      <c r="M163" s="87">
        <f>VLOOKUP($A163,'Data shares'!$C:$FA,97)</f>
        <v>5.3499999999999999E-2</v>
      </c>
      <c r="N163" s="86">
        <f>VLOOKUP($A163,'Data shares'!$C:$FA,78)</f>
        <v>39576600</v>
      </c>
      <c r="O163" s="87">
        <f>VLOOKUP($A163,'Data shares'!$C:$FA,81)</f>
        <v>9.4000000000000004E-3</v>
      </c>
    </row>
    <row r="164" spans="1:15" x14ac:dyDescent="0.25">
      <c r="A164" s="100" t="str">
        <f>'OI(Value)'!A164</f>
        <v>PFC</v>
      </c>
      <c r="B164" s="82">
        <f>VLOOKUP(A164,'Data shares'!$C$2:$CV$216,98,0)</f>
        <v>87532900</v>
      </c>
      <c r="C164" s="82">
        <f>VLOOKUP(A164,'Data shares'!$C$2:$CX$216,100,0)</f>
        <v>7020000</v>
      </c>
      <c r="D164" s="141">
        <f>VLOOKUP(A164,'Data shares'!$C$2:$CY$539,101,0)</f>
        <v>8.72E-2</v>
      </c>
      <c r="E164" s="86">
        <f>VLOOKUP($A164,'Data shares'!$C:$FA,74)</f>
        <v>53329900</v>
      </c>
      <c r="F164" s="86">
        <f>VLOOKUP($A164,'Data shares'!$C:$FA,76)</f>
        <v>2256800</v>
      </c>
      <c r="G164" s="87">
        <f>VLOOKUP(A164,'Data shares'!$C$2:$CA$216,77,0)</f>
        <v>4.4200000000000003E-2</v>
      </c>
      <c r="H164" s="86">
        <f>VLOOKUP($A164,'Data shares'!$C:$FA,90)</f>
        <v>19072300</v>
      </c>
      <c r="I164" s="86">
        <f>VLOOKUP($A164,'Data shares'!$C:$FA,92)</f>
        <v>3094000</v>
      </c>
      <c r="J164" s="87">
        <f>VLOOKUP($A164,'Data shares'!$C:$FA,93)</f>
        <v>0.19359999999999999</v>
      </c>
      <c r="K164" s="86">
        <f>VLOOKUP($A164,'Data shares'!$C:$FA,94)</f>
        <v>15130700</v>
      </c>
      <c r="L164" s="86">
        <f>VLOOKUP($A164,'Data shares'!$C:$FA,96)</f>
        <v>1669200</v>
      </c>
      <c r="M164" s="87">
        <f>VLOOKUP($A164,'Data shares'!$C:$FA,97)</f>
        <v>0.124</v>
      </c>
      <c r="N164" s="86">
        <f>VLOOKUP($A164,'Data shares'!$C:$FA,78)</f>
        <v>50135800</v>
      </c>
      <c r="O164" s="87">
        <f>VLOOKUP($A164,'Data shares'!$C:$FA,81)</f>
        <v>3.7900000000000003E-2</v>
      </c>
    </row>
    <row r="165" spans="1:15" x14ac:dyDescent="0.25">
      <c r="A165" s="100" t="str">
        <f>'OI(Value)'!A165</f>
        <v>PGEL</v>
      </c>
      <c r="B165" s="82">
        <f>VLOOKUP(A165,'Data shares'!$C$2:$CV$216,98,0)</f>
        <v>14692300</v>
      </c>
      <c r="C165" s="82">
        <f>VLOOKUP(A165,'Data shares'!$C$2:$CX$216,100,0)</f>
        <v>533400</v>
      </c>
      <c r="D165" s="141">
        <f>VLOOKUP(A165,'Data shares'!$C$2:$CY$539,101,0)</f>
        <v>3.7699999999999997E-2</v>
      </c>
      <c r="E165" s="86">
        <f>VLOOKUP($A165,'Data shares'!$C:$FA,74)</f>
        <v>8727600</v>
      </c>
      <c r="F165" s="86">
        <f>VLOOKUP($A165,'Data shares'!$C:$FA,76)</f>
        <v>-170100</v>
      </c>
      <c r="G165" s="87">
        <f>VLOOKUP(A165,'Data shares'!$C$2:$CA$216,77,0)</f>
        <v>-1.9099999999999999E-2</v>
      </c>
      <c r="H165" s="86">
        <f>VLOOKUP($A165,'Data shares'!$C:$FA,90)</f>
        <v>3976000</v>
      </c>
      <c r="I165" s="86">
        <f>VLOOKUP($A165,'Data shares'!$C:$FA,92)</f>
        <v>457800</v>
      </c>
      <c r="J165" s="87">
        <f>VLOOKUP($A165,'Data shares'!$C:$FA,93)</f>
        <v>0.13009999999999999</v>
      </c>
      <c r="K165" s="86">
        <f>VLOOKUP($A165,'Data shares'!$C:$FA,94)</f>
        <v>1988700</v>
      </c>
      <c r="L165" s="86">
        <f>VLOOKUP($A165,'Data shares'!$C:$FA,96)</f>
        <v>245700</v>
      </c>
      <c r="M165" s="87">
        <f>VLOOKUP($A165,'Data shares'!$C:$FA,97)</f>
        <v>0.14099999999999999</v>
      </c>
      <c r="N165" s="86">
        <f>VLOOKUP($A165,'Data shares'!$C:$FA,78)</f>
        <v>8477700</v>
      </c>
      <c r="O165" s="87">
        <f>VLOOKUP($A165,'Data shares'!$C:$FA,81)</f>
        <v>-2.0199999999999999E-2</v>
      </c>
    </row>
    <row r="166" spans="1:15" x14ac:dyDescent="0.25">
      <c r="A166" s="100" t="str">
        <f>'OI(Value)'!A166</f>
        <v>PHOENIXLTD</v>
      </c>
      <c r="B166" s="82">
        <f>VLOOKUP(A166,'Data shares'!$C$2:$CV$216,98,0)</f>
        <v>5174400</v>
      </c>
      <c r="C166" s="82">
        <f>VLOOKUP(A166,'Data shares'!$C$2:$CX$216,100,0)</f>
        <v>207900</v>
      </c>
      <c r="D166" s="141">
        <f>VLOOKUP(A166,'Data shares'!$C$2:$CY$539,101,0)</f>
        <v>4.19E-2</v>
      </c>
      <c r="E166" s="86">
        <f>VLOOKUP($A166,'Data shares'!$C:$FA,74)</f>
        <v>4280500</v>
      </c>
      <c r="F166" s="86">
        <f>VLOOKUP($A166,'Data shares'!$C:$FA,76)</f>
        <v>70000</v>
      </c>
      <c r="G166" s="87">
        <f>VLOOKUP(A166,'Data shares'!$C$2:$CA$216,77,0)</f>
        <v>1.66E-2</v>
      </c>
      <c r="H166" s="86">
        <f>VLOOKUP($A166,'Data shares'!$C:$FA,90)</f>
        <v>575750</v>
      </c>
      <c r="I166" s="86">
        <f>VLOOKUP($A166,'Data shares'!$C:$FA,92)</f>
        <v>85400</v>
      </c>
      <c r="J166" s="87">
        <f>VLOOKUP($A166,'Data shares'!$C:$FA,93)</f>
        <v>0.17419999999999999</v>
      </c>
      <c r="K166" s="86">
        <f>VLOOKUP($A166,'Data shares'!$C:$FA,94)</f>
        <v>318150</v>
      </c>
      <c r="L166" s="86">
        <f>VLOOKUP($A166,'Data shares'!$C:$FA,96)</f>
        <v>52500</v>
      </c>
      <c r="M166" s="87">
        <f>VLOOKUP($A166,'Data shares'!$C:$FA,97)</f>
        <v>0.1976</v>
      </c>
      <c r="N166" s="86">
        <f>VLOOKUP($A166,'Data shares'!$C:$FA,78)</f>
        <v>4258100</v>
      </c>
      <c r="O166" s="87">
        <f>VLOOKUP($A166,'Data shares'!$C:$FA,81)</f>
        <v>1.61E-2</v>
      </c>
    </row>
    <row r="167" spans="1:15" x14ac:dyDescent="0.25">
      <c r="A167" s="100" t="str">
        <f>'OI(Value)'!A167</f>
        <v>PIDILITIND</v>
      </c>
      <c r="B167" s="82">
        <f>VLOOKUP(A167,'Data shares'!$C$2:$CV$216,98,0)</f>
        <v>10528500</v>
      </c>
      <c r="C167" s="82">
        <f>VLOOKUP(A167,'Data shares'!$C$2:$CX$216,100,0)</f>
        <v>9500</v>
      </c>
      <c r="D167" s="141">
        <f>VLOOKUP(A167,'Data shares'!$C$2:$CY$539,101,0)</f>
        <v>8.9999999999999998E-4</v>
      </c>
      <c r="E167" s="86">
        <f>VLOOKUP($A167,'Data shares'!$C:$FA,74)</f>
        <v>8787500</v>
      </c>
      <c r="F167" s="86">
        <f>VLOOKUP($A167,'Data shares'!$C:$FA,76)</f>
        <v>-30500</v>
      </c>
      <c r="G167" s="87">
        <f>VLOOKUP(A167,'Data shares'!$C$2:$CA$216,77,0)</f>
        <v>-3.5000000000000001E-3</v>
      </c>
      <c r="H167" s="86">
        <f>VLOOKUP($A167,'Data shares'!$C:$FA,90)</f>
        <v>1003000</v>
      </c>
      <c r="I167" s="86">
        <f>VLOOKUP($A167,'Data shares'!$C:$FA,92)</f>
        <v>23000</v>
      </c>
      <c r="J167" s="87">
        <f>VLOOKUP($A167,'Data shares'!$C:$FA,93)</f>
        <v>2.35E-2</v>
      </c>
      <c r="K167" s="86">
        <f>VLOOKUP($A167,'Data shares'!$C:$FA,94)</f>
        <v>738000</v>
      </c>
      <c r="L167" s="86">
        <f>VLOOKUP($A167,'Data shares'!$C:$FA,96)</f>
        <v>17000</v>
      </c>
      <c r="M167" s="87">
        <f>VLOOKUP($A167,'Data shares'!$C:$FA,97)</f>
        <v>2.3599999999999999E-2</v>
      </c>
      <c r="N167" s="86">
        <f>VLOOKUP($A167,'Data shares'!$C:$FA,78)</f>
        <v>8731500</v>
      </c>
      <c r="O167" s="87">
        <f>VLOOKUP($A167,'Data shares'!$C:$FA,81)</f>
        <v>-3.8E-3</v>
      </c>
    </row>
    <row r="168" spans="1:15" x14ac:dyDescent="0.25">
      <c r="A168" s="100" t="str">
        <f>'OI(Value)'!A168</f>
        <v>PIIND</v>
      </c>
      <c r="B168" s="82">
        <f>VLOOKUP(A168,'Data shares'!$C$2:$CV$216,98,0)</f>
        <v>2268700</v>
      </c>
      <c r="C168" s="82">
        <f>VLOOKUP(A168,'Data shares'!$C$2:$CX$216,100,0)</f>
        <v>119175</v>
      </c>
      <c r="D168" s="141">
        <f>VLOOKUP(A168,'Data shares'!$C$2:$CY$539,101,0)</f>
        <v>5.5399999999999998E-2</v>
      </c>
      <c r="E168" s="86">
        <f>VLOOKUP($A168,'Data shares'!$C:$FA,74)</f>
        <v>1746850</v>
      </c>
      <c r="F168" s="86">
        <f>VLOOKUP($A168,'Data shares'!$C:$FA,76)</f>
        <v>97125</v>
      </c>
      <c r="G168" s="87">
        <f>VLOOKUP(A168,'Data shares'!$C$2:$CA$216,77,0)</f>
        <v>5.8900000000000001E-2</v>
      </c>
      <c r="H168" s="86">
        <f>VLOOKUP($A168,'Data shares'!$C:$FA,90)</f>
        <v>273875</v>
      </c>
      <c r="I168" s="86">
        <f>VLOOKUP($A168,'Data shares'!$C:$FA,92)</f>
        <v>5950</v>
      </c>
      <c r="J168" s="87">
        <f>VLOOKUP($A168,'Data shares'!$C:$FA,93)</f>
        <v>2.2200000000000001E-2</v>
      </c>
      <c r="K168" s="86">
        <f>VLOOKUP($A168,'Data shares'!$C:$FA,94)</f>
        <v>247975</v>
      </c>
      <c r="L168" s="86">
        <f>VLOOKUP($A168,'Data shares'!$C:$FA,96)</f>
        <v>16100</v>
      </c>
      <c r="M168" s="87">
        <f>VLOOKUP($A168,'Data shares'!$C:$FA,97)</f>
        <v>6.9400000000000003E-2</v>
      </c>
      <c r="N168" s="86">
        <f>VLOOKUP($A168,'Data shares'!$C:$FA,78)</f>
        <v>1712725</v>
      </c>
      <c r="O168" s="87">
        <f>VLOOKUP($A168,'Data shares'!$C:$FA,81)</f>
        <v>5.5E-2</v>
      </c>
    </row>
    <row r="169" spans="1:15" x14ac:dyDescent="0.25">
      <c r="A169" s="100" t="str">
        <f>'OI(Value)'!A169</f>
        <v>PNB</v>
      </c>
      <c r="B169" s="82">
        <f>VLOOKUP(A169,'Data shares'!$C$2:$CV$216,98,0)</f>
        <v>441872000</v>
      </c>
      <c r="C169" s="82">
        <f>VLOOKUP(A169,'Data shares'!$C$2:$CX$216,100,0)</f>
        <v>15840000</v>
      </c>
      <c r="D169" s="141">
        <f>VLOOKUP(A169,'Data shares'!$C$2:$CY$539,101,0)</f>
        <v>3.7199999999999997E-2</v>
      </c>
      <c r="E169" s="86">
        <f>VLOOKUP($A169,'Data shares'!$C:$FA,74)</f>
        <v>257896000</v>
      </c>
      <c r="F169" s="86">
        <f>VLOOKUP($A169,'Data shares'!$C:$FA,76)</f>
        <v>4168000</v>
      </c>
      <c r="G169" s="87">
        <f>VLOOKUP(A169,'Data shares'!$C$2:$CA$216,77,0)</f>
        <v>1.6400000000000001E-2</v>
      </c>
      <c r="H169" s="86">
        <f>VLOOKUP($A169,'Data shares'!$C:$FA,90)</f>
        <v>107840000</v>
      </c>
      <c r="I169" s="86">
        <f>VLOOKUP($A169,'Data shares'!$C:$FA,92)</f>
        <v>9040000</v>
      </c>
      <c r="J169" s="87">
        <f>VLOOKUP($A169,'Data shares'!$C:$FA,93)</f>
        <v>9.1499999999999998E-2</v>
      </c>
      <c r="K169" s="86">
        <f>VLOOKUP($A169,'Data shares'!$C:$FA,94)</f>
        <v>76136000</v>
      </c>
      <c r="L169" s="86">
        <f>VLOOKUP($A169,'Data shares'!$C:$FA,96)</f>
        <v>2632000</v>
      </c>
      <c r="M169" s="87">
        <f>VLOOKUP($A169,'Data shares'!$C:$FA,97)</f>
        <v>3.5799999999999998E-2</v>
      </c>
      <c r="N169" s="86">
        <f>VLOOKUP($A169,'Data shares'!$C:$FA,78)</f>
        <v>248144000</v>
      </c>
      <c r="O169" s="87">
        <f>VLOOKUP($A169,'Data shares'!$C:$FA,81)</f>
        <v>1.24E-2</v>
      </c>
    </row>
    <row r="170" spans="1:15" x14ac:dyDescent="0.25">
      <c r="A170" s="100" t="str">
        <f>'OI(Value)'!A170</f>
        <v>PNBHOUSING</v>
      </c>
      <c r="B170" s="82">
        <f>VLOOKUP(A170,'Data shares'!$C$2:$CV$216,98,0)</f>
        <v>20530900</v>
      </c>
      <c r="C170" s="82">
        <f>VLOOKUP(A170,'Data shares'!$C$2:$CX$216,100,0)</f>
        <v>288600</v>
      </c>
      <c r="D170" s="141">
        <f>VLOOKUP(A170,'Data shares'!$C$2:$CY$539,101,0)</f>
        <v>1.43E-2</v>
      </c>
      <c r="E170" s="86">
        <f>VLOOKUP($A170,'Data shares'!$C:$FA,74)</f>
        <v>15127450</v>
      </c>
      <c r="F170" s="86">
        <f>VLOOKUP($A170,'Data shares'!$C:$FA,76)</f>
        <v>-81250</v>
      </c>
      <c r="G170" s="87">
        <f>VLOOKUP(A170,'Data shares'!$C$2:$CA$216,77,0)</f>
        <v>-5.3E-3</v>
      </c>
      <c r="H170" s="86">
        <f>VLOOKUP($A170,'Data shares'!$C:$FA,90)</f>
        <v>3285100</v>
      </c>
      <c r="I170" s="86">
        <f>VLOOKUP($A170,'Data shares'!$C:$FA,92)</f>
        <v>237900</v>
      </c>
      <c r="J170" s="87">
        <f>VLOOKUP($A170,'Data shares'!$C:$FA,93)</f>
        <v>7.8100000000000003E-2</v>
      </c>
      <c r="K170" s="86">
        <f>VLOOKUP($A170,'Data shares'!$C:$FA,94)</f>
        <v>2118350</v>
      </c>
      <c r="L170" s="86">
        <f>VLOOKUP($A170,'Data shares'!$C:$FA,96)</f>
        <v>131950</v>
      </c>
      <c r="M170" s="87">
        <f>VLOOKUP($A170,'Data shares'!$C:$FA,97)</f>
        <v>6.6400000000000001E-2</v>
      </c>
      <c r="N170" s="86">
        <f>VLOOKUP($A170,'Data shares'!$C:$FA,78)</f>
        <v>14887600</v>
      </c>
      <c r="O170" s="87">
        <f>VLOOKUP($A170,'Data shares'!$C:$FA,81)</f>
        <v>-8.6999999999999994E-3</v>
      </c>
    </row>
    <row r="171" spans="1:15" x14ac:dyDescent="0.25">
      <c r="A171" s="100" t="str">
        <f>'OI(Value)'!A171</f>
        <v>POLICYBZR</v>
      </c>
      <c r="B171" s="82">
        <f>VLOOKUP(A171,'Data shares'!$C$2:$CV$216,98,0)</f>
        <v>9250150</v>
      </c>
      <c r="C171" s="82">
        <f>VLOOKUP(A171,'Data shares'!$C$2:$CX$216,100,0)</f>
        <v>9100</v>
      </c>
      <c r="D171" s="141">
        <f>VLOOKUP(A171,'Data shares'!$C$2:$CY$539,101,0)</f>
        <v>1E-3</v>
      </c>
      <c r="E171" s="86">
        <f>VLOOKUP($A171,'Data shares'!$C:$FA,74)</f>
        <v>7584850</v>
      </c>
      <c r="F171" s="86">
        <f>VLOOKUP($A171,'Data shares'!$C:$FA,76)</f>
        <v>12250</v>
      </c>
      <c r="G171" s="87">
        <f>VLOOKUP(A171,'Data shares'!$C$2:$CA$216,77,0)</f>
        <v>1.6000000000000001E-3</v>
      </c>
      <c r="H171" s="86">
        <f>VLOOKUP($A171,'Data shares'!$C:$FA,90)</f>
        <v>864850</v>
      </c>
      <c r="I171" s="86">
        <f>VLOOKUP($A171,'Data shares'!$C:$FA,92)</f>
        <v>74200</v>
      </c>
      <c r="J171" s="87">
        <f>VLOOKUP($A171,'Data shares'!$C:$FA,93)</f>
        <v>9.3799999999999994E-2</v>
      </c>
      <c r="K171" s="86">
        <f>VLOOKUP($A171,'Data shares'!$C:$FA,94)</f>
        <v>800450</v>
      </c>
      <c r="L171" s="86">
        <f>VLOOKUP($A171,'Data shares'!$C:$FA,96)</f>
        <v>-77350</v>
      </c>
      <c r="M171" s="87">
        <f>VLOOKUP($A171,'Data shares'!$C:$FA,97)</f>
        <v>-8.8099999999999998E-2</v>
      </c>
      <c r="N171" s="86">
        <f>VLOOKUP($A171,'Data shares'!$C:$FA,78)</f>
        <v>7540750</v>
      </c>
      <c r="O171" s="87">
        <f>VLOOKUP($A171,'Data shares'!$C:$FA,81)</f>
        <v>1.2999999999999999E-3</v>
      </c>
    </row>
    <row r="172" spans="1:15" x14ac:dyDescent="0.25">
      <c r="A172" s="100" t="str">
        <f>'OI(Value)'!A172</f>
        <v>POLYCAB</v>
      </c>
      <c r="B172" s="82">
        <f>VLOOKUP(A172,'Data shares'!$C$2:$CV$216,98,0)</f>
        <v>2630875</v>
      </c>
      <c r="C172" s="82">
        <f>VLOOKUP(A172,'Data shares'!$C$2:$CX$216,100,0)</f>
        <v>212000</v>
      </c>
      <c r="D172" s="141">
        <f>VLOOKUP(A172,'Data shares'!$C$2:$CY$539,101,0)</f>
        <v>8.7599999999999997E-2</v>
      </c>
      <c r="E172" s="86">
        <f>VLOOKUP($A172,'Data shares'!$C:$FA,74)</f>
        <v>1768625</v>
      </c>
      <c r="F172" s="86">
        <f>VLOOKUP($A172,'Data shares'!$C:$FA,76)</f>
        <v>-37750</v>
      </c>
      <c r="G172" s="87">
        <f>VLOOKUP(A172,'Data shares'!$C$2:$CA$216,77,0)</f>
        <v>-2.0899999999999998E-2</v>
      </c>
      <c r="H172" s="86">
        <f>VLOOKUP($A172,'Data shares'!$C:$FA,90)</f>
        <v>530125</v>
      </c>
      <c r="I172" s="86">
        <f>VLOOKUP($A172,'Data shares'!$C:$FA,92)</f>
        <v>147500</v>
      </c>
      <c r="J172" s="87">
        <f>VLOOKUP($A172,'Data shares'!$C:$FA,93)</f>
        <v>0.38550000000000001</v>
      </c>
      <c r="K172" s="86">
        <f>VLOOKUP($A172,'Data shares'!$C:$FA,94)</f>
        <v>332125</v>
      </c>
      <c r="L172" s="86">
        <f>VLOOKUP($A172,'Data shares'!$C:$FA,96)</f>
        <v>102250</v>
      </c>
      <c r="M172" s="87">
        <f>VLOOKUP($A172,'Data shares'!$C:$FA,97)</f>
        <v>0.44479999999999997</v>
      </c>
      <c r="N172" s="86">
        <f>VLOOKUP($A172,'Data shares'!$C:$FA,78)</f>
        <v>1738125</v>
      </c>
      <c r="O172" s="87">
        <f>VLOOKUP($A172,'Data shares'!$C:$FA,81)</f>
        <v>-2.3300000000000001E-2</v>
      </c>
    </row>
    <row r="173" spans="1:15" x14ac:dyDescent="0.25">
      <c r="A173" s="100" t="str">
        <f>'OI(Value)'!A173</f>
        <v>POWERGRID</v>
      </c>
      <c r="B173" s="82">
        <f>VLOOKUP(A173,'Data shares'!$C$2:$CV$216,98,0)</f>
        <v>112404000</v>
      </c>
      <c r="C173" s="82">
        <f>VLOOKUP(A173,'Data shares'!$C$2:$CX$216,100,0)</f>
        <v>1502900</v>
      </c>
      <c r="D173" s="141">
        <f>VLOOKUP(A173,'Data shares'!$C$2:$CY$539,101,0)</f>
        <v>1.3599999999999999E-2</v>
      </c>
      <c r="E173" s="86">
        <f>VLOOKUP($A173,'Data shares'!$C:$FA,74)</f>
        <v>73237400</v>
      </c>
      <c r="F173" s="86">
        <f>VLOOKUP($A173,'Data shares'!$C:$FA,76)</f>
        <v>-1877200</v>
      </c>
      <c r="G173" s="87">
        <f>VLOOKUP(A173,'Data shares'!$C$2:$CA$216,77,0)</f>
        <v>-2.5000000000000001E-2</v>
      </c>
      <c r="H173" s="86">
        <f>VLOOKUP($A173,'Data shares'!$C:$FA,90)</f>
        <v>23322500</v>
      </c>
      <c r="I173" s="86">
        <f>VLOOKUP($A173,'Data shares'!$C:$FA,92)</f>
        <v>2498500</v>
      </c>
      <c r="J173" s="87">
        <f>VLOOKUP($A173,'Data shares'!$C:$FA,93)</f>
        <v>0.12</v>
      </c>
      <c r="K173" s="86">
        <f>VLOOKUP($A173,'Data shares'!$C:$FA,94)</f>
        <v>15844100</v>
      </c>
      <c r="L173" s="86">
        <f>VLOOKUP($A173,'Data shares'!$C:$FA,96)</f>
        <v>881600</v>
      </c>
      <c r="M173" s="87">
        <f>VLOOKUP($A173,'Data shares'!$C:$FA,97)</f>
        <v>5.8900000000000001E-2</v>
      </c>
      <c r="N173" s="86">
        <f>VLOOKUP($A173,'Data shares'!$C:$FA,78)</f>
        <v>70942200</v>
      </c>
      <c r="O173" s="87">
        <f>VLOOKUP($A173,'Data shares'!$C:$FA,81)</f>
        <v>-2.8500000000000001E-2</v>
      </c>
    </row>
    <row r="174" spans="1:15" x14ac:dyDescent="0.25">
      <c r="A174" s="100" t="str">
        <f>'OI(Value)'!A174</f>
        <v>POWERINDIA</v>
      </c>
      <c r="B174" s="82">
        <f>VLOOKUP(A174,'Data shares'!$C$2:$CV$216,98,0)</f>
        <v>39750</v>
      </c>
      <c r="C174" s="82">
        <f>VLOOKUP(A174,'Data shares'!$C$2:$CX$216,100,0)</f>
        <v>11650</v>
      </c>
      <c r="D174" s="141">
        <f>VLOOKUP(A174,'Data shares'!$C$2:$CY$539,101,0)</f>
        <v>0.41460000000000002</v>
      </c>
      <c r="E174" s="86">
        <f>VLOOKUP($A174,'Data shares'!$C:$FA,74)</f>
        <v>19800</v>
      </c>
      <c r="F174" s="86">
        <f>VLOOKUP($A174,'Data shares'!$C:$FA,76)</f>
        <v>6100</v>
      </c>
      <c r="G174" s="87">
        <f>VLOOKUP(A174,'Data shares'!$C$2:$CA$216,77,0)</f>
        <v>0.44529999999999997</v>
      </c>
      <c r="H174" s="86">
        <f>VLOOKUP($A174,'Data shares'!$C:$FA,90)</f>
        <v>17050</v>
      </c>
      <c r="I174" s="86">
        <f>VLOOKUP($A174,'Data shares'!$C:$FA,92)</f>
        <v>4150</v>
      </c>
      <c r="J174" s="87">
        <f>VLOOKUP($A174,'Data shares'!$C:$FA,93)</f>
        <v>0.32169999999999999</v>
      </c>
      <c r="K174" s="86">
        <f>VLOOKUP($A174,'Data shares'!$C:$FA,94)</f>
        <v>2900</v>
      </c>
      <c r="L174" s="86">
        <f>VLOOKUP($A174,'Data shares'!$C:$FA,96)</f>
        <v>1400</v>
      </c>
      <c r="M174" s="87">
        <f>VLOOKUP($A174,'Data shares'!$C:$FA,97)</f>
        <v>0.93330000000000002</v>
      </c>
      <c r="N174" s="86">
        <f>VLOOKUP($A174,'Data shares'!$C:$FA,78)</f>
        <v>19550</v>
      </c>
      <c r="O174" s="87">
        <f>VLOOKUP($A174,'Data shares'!$C:$FA,81)</f>
        <v>0.4481</v>
      </c>
    </row>
    <row r="175" spans="1:15" x14ac:dyDescent="0.25">
      <c r="A175" s="100" t="str">
        <f>'OI(Value)'!A175</f>
        <v>PPLPHARMA</v>
      </c>
      <c r="B175" s="82">
        <f>VLOOKUP(A175,'Data shares'!$C$2:$CV$216,98,0)</f>
        <v>30842500</v>
      </c>
      <c r="C175" s="82">
        <f>VLOOKUP(A175,'Data shares'!$C$2:$CX$216,100,0)</f>
        <v>1540000</v>
      </c>
      <c r="D175" s="141">
        <f>VLOOKUP(A175,'Data shares'!$C$2:$CY$539,101,0)</f>
        <v>5.2600000000000001E-2</v>
      </c>
      <c r="E175" s="86">
        <f>VLOOKUP($A175,'Data shares'!$C:$FA,74)</f>
        <v>17332500</v>
      </c>
      <c r="F175" s="86">
        <f>VLOOKUP($A175,'Data shares'!$C:$FA,76)</f>
        <v>40000</v>
      </c>
      <c r="G175" s="87">
        <f>VLOOKUP(A175,'Data shares'!$C$2:$CA$216,77,0)</f>
        <v>2.3E-3</v>
      </c>
      <c r="H175" s="86">
        <f>VLOOKUP($A175,'Data shares'!$C:$FA,90)</f>
        <v>9497500</v>
      </c>
      <c r="I175" s="86">
        <f>VLOOKUP($A175,'Data shares'!$C:$FA,92)</f>
        <v>1057500</v>
      </c>
      <c r="J175" s="87">
        <f>VLOOKUP($A175,'Data shares'!$C:$FA,93)</f>
        <v>0.12529999999999999</v>
      </c>
      <c r="K175" s="86">
        <f>VLOOKUP($A175,'Data shares'!$C:$FA,94)</f>
        <v>4012500</v>
      </c>
      <c r="L175" s="86">
        <f>VLOOKUP($A175,'Data shares'!$C:$FA,96)</f>
        <v>442500</v>
      </c>
      <c r="M175" s="87">
        <f>VLOOKUP($A175,'Data shares'!$C:$FA,97)</f>
        <v>0.1239</v>
      </c>
      <c r="N175" s="86">
        <f>VLOOKUP($A175,'Data shares'!$C:$FA,78)</f>
        <v>16452500</v>
      </c>
      <c r="O175" s="87">
        <f>VLOOKUP($A175,'Data shares'!$C:$FA,81)</f>
        <v>-1.1000000000000001E-3</v>
      </c>
    </row>
    <row r="176" spans="1:15" x14ac:dyDescent="0.25">
      <c r="A176" s="100" t="str">
        <f>'OI(Value)'!A176</f>
        <v>PRESTIGE</v>
      </c>
      <c r="B176" s="82">
        <f>VLOOKUP(A176,'Data shares'!$C$2:$CV$216,98,0)</f>
        <v>6381450</v>
      </c>
      <c r="C176" s="82">
        <f>VLOOKUP(A176,'Data shares'!$C$2:$CX$216,100,0)</f>
        <v>282600</v>
      </c>
      <c r="D176" s="141">
        <f>VLOOKUP(A176,'Data shares'!$C$2:$CY$539,101,0)</f>
        <v>4.6300000000000001E-2</v>
      </c>
      <c r="E176" s="86">
        <f>VLOOKUP($A176,'Data shares'!$C:$FA,74)</f>
        <v>4632750</v>
      </c>
      <c r="F176" s="86">
        <f>VLOOKUP($A176,'Data shares'!$C:$FA,76)</f>
        <v>121050</v>
      </c>
      <c r="G176" s="87">
        <f>VLOOKUP(A176,'Data shares'!$C$2:$CA$216,77,0)</f>
        <v>2.6800000000000001E-2</v>
      </c>
      <c r="H176" s="86">
        <f>VLOOKUP($A176,'Data shares'!$C:$FA,90)</f>
        <v>937800</v>
      </c>
      <c r="I176" s="86">
        <f>VLOOKUP($A176,'Data shares'!$C:$FA,92)</f>
        <v>129600</v>
      </c>
      <c r="J176" s="87">
        <f>VLOOKUP($A176,'Data shares'!$C:$FA,93)</f>
        <v>0.16039999999999999</v>
      </c>
      <c r="K176" s="86">
        <f>VLOOKUP($A176,'Data shares'!$C:$FA,94)</f>
        <v>810900</v>
      </c>
      <c r="L176" s="86">
        <f>VLOOKUP($A176,'Data shares'!$C:$FA,96)</f>
        <v>31950</v>
      </c>
      <c r="M176" s="87">
        <f>VLOOKUP($A176,'Data shares'!$C:$FA,97)</f>
        <v>4.1000000000000002E-2</v>
      </c>
      <c r="N176" s="86">
        <f>VLOOKUP($A176,'Data shares'!$C:$FA,78)</f>
        <v>4579200</v>
      </c>
      <c r="O176" s="87">
        <f>VLOOKUP($A176,'Data shares'!$C:$FA,81)</f>
        <v>2.4500000000000001E-2</v>
      </c>
    </row>
    <row r="177" spans="1:15" x14ac:dyDescent="0.25">
      <c r="A177" s="100" t="str">
        <f>'OI(Value)'!A177</f>
        <v>RBLBANK</v>
      </c>
      <c r="B177" s="82">
        <f>VLOOKUP(A177,'Data shares'!$C$2:$CV$216,98,0)</f>
        <v>126390400</v>
      </c>
      <c r="C177" s="82">
        <f>VLOOKUP(A177,'Data shares'!$C$2:$CX$216,100,0)</f>
        <v>-2190750</v>
      </c>
      <c r="D177" s="141">
        <f>VLOOKUP(A177,'Data shares'!$C$2:$CY$539,101,0)</f>
        <v>-1.7000000000000001E-2</v>
      </c>
      <c r="E177" s="86">
        <f>VLOOKUP($A177,'Data shares'!$C:$FA,74)</f>
        <v>90087450</v>
      </c>
      <c r="F177" s="86">
        <f>VLOOKUP($A177,'Data shares'!$C:$FA,76)</f>
        <v>-1216025</v>
      </c>
      <c r="G177" s="87">
        <f>VLOOKUP(A177,'Data shares'!$C$2:$CA$216,77,0)</f>
        <v>-1.3299999999999999E-2</v>
      </c>
      <c r="H177" s="86">
        <f>VLOOKUP($A177,'Data shares'!$C:$FA,90)</f>
        <v>25520650</v>
      </c>
      <c r="I177" s="86">
        <f>VLOOKUP($A177,'Data shares'!$C:$FA,92)</f>
        <v>-723900</v>
      </c>
      <c r="J177" s="87">
        <f>VLOOKUP($A177,'Data shares'!$C:$FA,93)</f>
        <v>-2.76E-2</v>
      </c>
      <c r="K177" s="86">
        <f>VLOOKUP($A177,'Data shares'!$C:$FA,94)</f>
        <v>10782300</v>
      </c>
      <c r="L177" s="86">
        <f>VLOOKUP($A177,'Data shares'!$C:$FA,96)</f>
        <v>-250825</v>
      </c>
      <c r="M177" s="87">
        <f>VLOOKUP($A177,'Data shares'!$C:$FA,97)</f>
        <v>-2.2700000000000001E-2</v>
      </c>
      <c r="N177" s="86">
        <f>VLOOKUP($A177,'Data shares'!$C:$FA,78)</f>
        <v>86258400</v>
      </c>
      <c r="O177" s="87">
        <f>VLOOKUP($A177,'Data shares'!$C:$FA,81)</f>
        <v>-1.37E-2</v>
      </c>
    </row>
    <row r="178" spans="1:15" x14ac:dyDescent="0.25">
      <c r="A178" s="100" t="str">
        <f>'OI(Value)'!A178</f>
        <v>RECLTD</v>
      </c>
      <c r="B178" s="82">
        <f>VLOOKUP(A178,'Data shares'!$C$2:$CV$216,98,0)</f>
        <v>122726400</v>
      </c>
      <c r="C178" s="82">
        <f>VLOOKUP(A178,'Data shares'!$C$2:$CX$216,100,0)</f>
        <v>3343050</v>
      </c>
      <c r="D178" s="141">
        <f>VLOOKUP(A178,'Data shares'!$C$2:$CY$539,101,0)</f>
        <v>2.8000000000000001E-2</v>
      </c>
      <c r="E178" s="86">
        <f>VLOOKUP($A178,'Data shares'!$C:$FA,74)</f>
        <v>79396800</v>
      </c>
      <c r="F178" s="86">
        <f>VLOOKUP($A178,'Data shares'!$C:$FA,76)</f>
        <v>670650</v>
      </c>
      <c r="G178" s="87">
        <f>VLOOKUP(A178,'Data shares'!$C$2:$CA$216,77,0)</f>
        <v>8.5000000000000006E-3</v>
      </c>
      <c r="H178" s="86">
        <f>VLOOKUP($A178,'Data shares'!$C:$FA,90)</f>
        <v>21992475</v>
      </c>
      <c r="I178" s="86">
        <f>VLOOKUP($A178,'Data shares'!$C:$FA,92)</f>
        <v>1415250</v>
      </c>
      <c r="J178" s="87">
        <f>VLOOKUP($A178,'Data shares'!$C:$FA,93)</f>
        <v>6.88E-2</v>
      </c>
      <c r="K178" s="86">
        <f>VLOOKUP($A178,'Data shares'!$C:$FA,94)</f>
        <v>21337125</v>
      </c>
      <c r="L178" s="86">
        <f>VLOOKUP($A178,'Data shares'!$C:$FA,96)</f>
        <v>1257150</v>
      </c>
      <c r="M178" s="87">
        <f>VLOOKUP($A178,'Data shares'!$C:$FA,97)</f>
        <v>6.2600000000000003E-2</v>
      </c>
      <c r="N178" s="86">
        <f>VLOOKUP($A178,'Data shares'!$C:$FA,78)</f>
        <v>68782425</v>
      </c>
      <c r="O178" s="87">
        <f>VLOOKUP($A178,'Data shares'!$C:$FA,81)</f>
        <v>8.0000000000000004E-4</v>
      </c>
    </row>
    <row r="179" spans="1:15" x14ac:dyDescent="0.25">
      <c r="A179" s="100" t="str">
        <f>'OI(Value)'!A179</f>
        <v>RELIANCE</v>
      </c>
      <c r="B179" s="82">
        <f>VLOOKUP(A179,'Data shares'!$C$2:$CV$216,98,0)</f>
        <v>212247500</v>
      </c>
      <c r="C179" s="82">
        <f>VLOOKUP(A179,'Data shares'!$C$2:$CX$216,100,0)</f>
        <v>3266000</v>
      </c>
      <c r="D179" s="141">
        <f>VLOOKUP(A179,'Data shares'!$C$2:$CY$539,101,0)</f>
        <v>1.5599999999999999E-2</v>
      </c>
      <c r="E179" s="86">
        <f>VLOOKUP($A179,'Data shares'!$C:$FA,74)</f>
        <v>136003500</v>
      </c>
      <c r="F179" s="86">
        <f>VLOOKUP($A179,'Data shares'!$C:$FA,76)</f>
        <v>1225500</v>
      </c>
      <c r="G179" s="87">
        <f>VLOOKUP(A179,'Data shares'!$C$2:$CA$216,77,0)</f>
        <v>9.1000000000000004E-3</v>
      </c>
      <c r="H179" s="86">
        <f>VLOOKUP($A179,'Data shares'!$C:$FA,90)</f>
        <v>42472500</v>
      </c>
      <c r="I179" s="86">
        <f>VLOOKUP($A179,'Data shares'!$C:$FA,92)</f>
        <v>707500</v>
      </c>
      <c r="J179" s="87">
        <f>VLOOKUP($A179,'Data shares'!$C:$FA,93)</f>
        <v>1.6899999999999998E-2</v>
      </c>
      <c r="K179" s="86">
        <f>VLOOKUP($A179,'Data shares'!$C:$FA,94)</f>
        <v>33771500</v>
      </c>
      <c r="L179" s="86">
        <f>VLOOKUP($A179,'Data shares'!$C:$FA,96)</f>
        <v>1333000</v>
      </c>
      <c r="M179" s="87">
        <f>VLOOKUP($A179,'Data shares'!$C:$FA,97)</f>
        <v>4.1099999999999998E-2</v>
      </c>
      <c r="N179" s="86">
        <f>VLOOKUP($A179,'Data shares'!$C:$FA,78)</f>
        <v>129506500</v>
      </c>
      <c r="O179" s="87">
        <f>VLOOKUP($A179,'Data shares'!$C:$FA,81)</f>
        <v>-2.9999999999999997E-4</v>
      </c>
    </row>
    <row r="180" spans="1:15" x14ac:dyDescent="0.25">
      <c r="A180" s="100" t="str">
        <f>'OI(Value)'!A180</f>
        <v>RVNL</v>
      </c>
      <c r="B180" s="82">
        <f>VLOOKUP(A180,'Data shares'!$C$2:$CV$216,98,0)</f>
        <v>51251750</v>
      </c>
      <c r="C180" s="82">
        <f>VLOOKUP(A180,'Data shares'!$C$2:$CX$216,100,0)</f>
        <v>1597750</v>
      </c>
      <c r="D180" s="141">
        <f>VLOOKUP(A180,'Data shares'!$C$2:$CY$539,101,0)</f>
        <v>3.2199999999999999E-2</v>
      </c>
      <c r="E180" s="86">
        <f>VLOOKUP($A180,'Data shares'!$C:$FA,74)</f>
        <v>32341375</v>
      </c>
      <c r="F180" s="86">
        <f>VLOOKUP($A180,'Data shares'!$C:$FA,76)</f>
        <v>584375</v>
      </c>
      <c r="G180" s="87">
        <f>VLOOKUP(A180,'Data shares'!$C$2:$CA$216,77,0)</f>
        <v>1.84E-2</v>
      </c>
      <c r="H180" s="86">
        <f>VLOOKUP($A180,'Data shares'!$C:$FA,90)</f>
        <v>13216500</v>
      </c>
      <c r="I180" s="86">
        <f>VLOOKUP($A180,'Data shares'!$C:$FA,92)</f>
        <v>858000</v>
      </c>
      <c r="J180" s="87">
        <f>VLOOKUP($A180,'Data shares'!$C:$FA,93)</f>
        <v>6.9400000000000003E-2</v>
      </c>
      <c r="K180" s="86">
        <f>VLOOKUP($A180,'Data shares'!$C:$FA,94)</f>
        <v>5693875</v>
      </c>
      <c r="L180" s="86">
        <f>VLOOKUP($A180,'Data shares'!$C:$FA,96)</f>
        <v>155375</v>
      </c>
      <c r="M180" s="87">
        <f>VLOOKUP($A180,'Data shares'!$C:$FA,97)</f>
        <v>2.81E-2</v>
      </c>
      <c r="N180" s="86">
        <f>VLOOKUP($A180,'Data shares'!$C:$FA,78)</f>
        <v>29596875</v>
      </c>
      <c r="O180" s="87">
        <f>VLOOKUP($A180,'Data shares'!$C:$FA,81)</f>
        <v>1.2200000000000001E-2</v>
      </c>
    </row>
    <row r="181" spans="1:15" x14ac:dyDescent="0.25">
      <c r="A181" s="100" t="str">
        <f>'OI(Value)'!A181</f>
        <v>SAIL</v>
      </c>
      <c r="B181" s="82">
        <f>VLOOKUP(A181,'Data shares'!$C$2:$CV$216,98,0)</f>
        <v>230370500</v>
      </c>
      <c r="C181" s="82">
        <f>VLOOKUP(A181,'Data shares'!$C$2:$CX$216,100,0)</f>
        <v>18635500</v>
      </c>
      <c r="D181" s="141">
        <f>VLOOKUP(A181,'Data shares'!$C$2:$CY$539,101,0)</f>
        <v>8.7999999999999995E-2</v>
      </c>
      <c r="E181" s="86">
        <f>VLOOKUP($A181,'Data shares'!$C:$FA,74)</f>
        <v>166342400</v>
      </c>
      <c r="F181" s="86">
        <f>VLOOKUP($A181,'Data shares'!$C:$FA,76)</f>
        <v>9625600</v>
      </c>
      <c r="G181" s="87">
        <f>VLOOKUP(A181,'Data shares'!$C$2:$CA$216,77,0)</f>
        <v>6.1400000000000003E-2</v>
      </c>
      <c r="H181" s="86">
        <f>VLOOKUP($A181,'Data shares'!$C:$FA,90)</f>
        <v>42821700</v>
      </c>
      <c r="I181" s="86">
        <f>VLOOKUP($A181,'Data shares'!$C:$FA,92)</f>
        <v>6138200</v>
      </c>
      <c r="J181" s="87">
        <f>VLOOKUP($A181,'Data shares'!$C:$FA,93)</f>
        <v>0.1673</v>
      </c>
      <c r="K181" s="86">
        <f>VLOOKUP($A181,'Data shares'!$C:$FA,94)</f>
        <v>21206400</v>
      </c>
      <c r="L181" s="86">
        <f>VLOOKUP($A181,'Data shares'!$C:$FA,96)</f>
        <v>2871700</v>
      </c>
      <c r="M181" s="87">
        <f>VLOOKUP($A181,'Data shares'!$C:$FA,97)</f>
        <v>0.15659999999999999</v>
      </c>
      <c r="N181" s="86">
        <f>VLOOKUP($A181,'Data shares'!$C:$FA,78)</f>
        <v>161412100</v>
      </c>
      <c r="O181" s="87">
        <f>VLOOKUP($A181,'Data shares'!$C:$FA,81)</f>
        <v>5.6099999999999997E-2</v>
      </c>
    </row>
    <row r="182" spans="1:15" x14ac:dyDescent="0.25">
      <c r="A182" s="100" t="str">
        <f>'OI(Value)'!A182</f>
        <v>SAMMAANCAP</v>
      </c>
      <c r="B182" s="82">
        <f>VLOOKUP(A182,'Data shares'!$C$2:$CV$216,98,0)</f>
        <v>154167900</v>
      </c>
      <c r="C182" s="82">
        <f>VLOOKUP(A182,'Data shares'!$C$2:$CX$216,100,0)</f>
        <v>34000100</v>
      </c>
      <c r="D182" s="141">
        <f>VLOOKUP(A182,'Data shares'!$C$2:$CY$539,101,0)</f>
        <v>0.28289999999999998</v>
      </c>
      <c r="E182" s="86">
        <f>VLOOKUP($A182,'Data shares'!$C:$FA,74)</f>
        <v>102352900</v>
      </c>
      <c r="F182" s="86">
        <f>VLOOKUP($A182,'Data shares'!$C:$FA,76)</f>
        <v>14306100</v>
      </c>
      <c r="G182" s="87">
        <f>VLOOKUP(A182,'Data shares'!$C$2:$CA$216,77,0)</f>
        <v>0.16250000000000001</v>
      </c>
      <c r="H182" s="86">
        <f>VLOOKUP($A182,'Data shares'!$C:$FA,90)</f>
        <v>25460300</v>
      </c>
      <c r="I182" s="86">
        <f>VLOOKUP($A182,'Data shares'!$C:$FA,92)</f>
        <v>8875200</v>
      </c>
      <c r="J182" s="87">
        <f>VLOOKUP($A182,'Data shares'!$C:$FA,93)</f>
        <v>0.53510000000000002</v>
      </c>
      <c r="K182" s="86">
        <f>VLOOKUP($A182,'Data shares'!$C:$FA,94)</f>
        <v>26354700</v>
      </c>
      <c r="L182" s="86">
        <f>VLOOKUP($A182,'Data shares'!$C:$FA,96)</f>
        <v>10818800</v>
      </c>
      <c r="M182" s="87">
        <f>VLOOKUP($A182,'Data shares'!$C:$FA,97)</f>
        <v>0.69640000000000002</v>
      </c>
      <c r="N182" s="86">
        <f>VLOOKUP($A182,'Data shares'!$C:$FA,78)</f>
        <v>99484800</v>
      </c>
      <c r="O182" s="87">
        <f>VLOOKUP($A182,'Data shares'!$C:$FA,81)</f>
        <v>0.14949999999999999</v>
      </c>
    </row>
    <row r="183" spans="1:15" x14ac:dyDescent="0.25">
      <c r="A183" s="100" t="str">
        <f>'OI(Value)'!A183</f>
        <v>SBICARD</v>
      </c>
      <c r="B183" s="82">
        <f>VLOOKUP(A183,'Data shares'!$C$2:$CV$216,98,0)</f>
        <v>27011200</v>
      </c>
      <c r="C183" s="82">
        <f>VLOOKUP(A183,'Data shares'!$C$2:$CX$216,100,0)</f>
        <v>1693600</v>
      </c>
      <c r="D183" s="141">
        <f>VLOOKUP(A183,'Data shares'!$C$2:$CY$539,101,0)</f>
        <v>6.6900000000000001E-2</v>
      </c>
      <c r="E183" s="86">
        <f>VLOOKUP($A183,'Data shares'!$C:$FA,74)</f>
        <v>18636800</v>
      </c>
      <c r="F183" s="86">
        <f>VLOOKUP($A183,'Data shares'!$C:$FA,76)</f>
        <v>1092000</v>
      </c>
      <c r="G183" s="87">
        <f>VLOOKUP(A183,'Data shares'!$C$2:$CA$216,77,0)</f>
        <v>6.2199999999999998E-2</v>
      </c>
      <c r="H183" s="86">
        <f>VLOOKUP($A183,'Data shares'!$C:$FA,90)</f>
        <v>5237600</v>
      </c>
      <c r="I183" s="86">
        <f>VLOOKUP($A183,'Data shares'!$C:$FA,92)</f>
        <v>96800</v>
      </c>
      <c r="J183" s="87">
        <f>VLOOKUP($A183,'Data shares'!$C:$FA,93)</f>
        <v>1.8800000000000001E-2</v>
      </c>
      <c r="K183" s="86">
        <f>VLOOKUP($A183,'Data shares'!$C:$FA,94)</f>
        <v>3136800</v>
      </c>
      <c r="L183" s="86">
        <f>VLOOKUP($A183,'Data shares'!$C:$FA,96)</f>
        <v>504800</v>
      </c>
      <c r="M183" s="87">
        <f>VLOOKUP($A183,'Data shares'!$C:$FA,97)</f>
        <v>0.1918</v>
      </c>
      <c r="N183" s="86">
        <f>VLOOKUP($A183,'Data shares'!$C:$FA,78)</f>
        <v>17332000</v>
      </c>
      <c r="O183" s="87">
        <f>VLOOKUP($A183,'Data shares'!$C:$FA,81)</f>
        <v>4.1399999999999999E-2</v>
      </c>
    </row>
    <row r="184" spans="1:15" x14ac:dyDescent="0.25">
      <c r="A184" s="100" t="str">
        <f>'OI(Value)'!A184</f>
        <v>SBILIFE</v>
      </c>
      <c r="B184" s="82">
        <f>VLOOKUP(A184,'Data shares'!$C$2:$CV$216,98,0)</f>
        <v>9271875</v>
      </c>
      <c r="C184" s="82">
        <f>VLOOKUP(A184,'Data shares'!$C$2:$CX$216,100,0)</f>
        <v>120750</v>
      </c>
      <c r="D184" s="141">
        <f>VLOOKUP(A184,'Data shares'!$C$2:$CY$539,101,0)</f>
        <v>1.32E-2</v>
      </c>
      <c r="E184" s="86">
        <f>VLOOKUP($A184,'Data shares'!$C:$FA,74)</f>
        <v>6742500</v>
      </c>
      <c r="F184" s="86">
        <f>VLOOKUP($A184,'Data shares'!$C:$FA,76)</f>
        <v>-176250</v>
      </c>
      <c r="G184" s="87">
        <f>VLOOKUP(A184,'Data shares'!$C$2:$CA$216,77,0)</f>
        <v>-2.5499999999999998E-2</v>
      </c>
      <c r="H184" s="86">
        <f>VLOOKUP($A184,'Data shares'!$C:$FA,90)</f>
        <v>1806375</v>
      </c>
      <c r="I184" s="86">
        <f>VLOOKUP($A184,'Data shares'!$C:$FA,92)</f>
        <v>225750</v>
      </c>
      <c r="J184" s="87">
        <f>VLOOKUP($A184,'Data shares'!$C:$FA,93)</f>
        <v>0.14280000000000001</v>
      </c>
      <c r="K184" s="86">
        <f>VLOOKUP($A184,'Data shares'!$C:$FA,94)</f>
        <v>723000</v>
      </c>
      <c r="L184" s="86">
        <f>VLOOKUP($A184,'Data shares'!$C:$FA,96)</f>
        <v>71250</v>
      </c>
      <c r="M184" s="87">
        <f>VLOOKUP($A184,'Data shares'!$C:$FA,97)</f>
        <v>0.10929999999999999</v>
      </c>
      <c r="N184" s="86">
        <f>VLOOKUP($A184,'Data shares'!$C:$FA,78)</f>
        <v>6652125</v>
      </c>
      <c r="O184" s="87">
        <f>VLOOKUP($A184,'Data shares'!$C:$FA,81)</f>
        <v>-2.7699999999999999E-2</v>
      </c>
    </row>
    <row r="185" spans="1:15" x14ac:dyDescent="0.25">
      <c r="A185" s="100" t="str">
        <f>'OI(Value)'!A185</f>
        <v>SBIN</v>
      </c>
      <c r="B185" s="82">
        <f>VLOOKUP(A185,'Data shares'!$C$2:$CV$216,98,0)</f>
        <v>159775500</v>
      </c>
      <c r="C185" s="82">
        <f>VLOOKUP(A185,'Data shares'!$C$2:$CX$216,100,0)</f>
        <v>3336000</v>
      </c>
      <c r="D185" s="141">
        <f>VLOOKUP(A185,'Data shares'!$C$2:$CY$539,101,0)</f>
        <v>2.1299999999999999E-2</v>
      </c>
      <c r="E185" s="86">
        <f>VLOOKUP($A185,'Data shares'!$C:$FA,74)</f>
        <v>95175750</v>
      </c>
      <c r="F185" s="86">
        <f>VLOOKUP($A185,'Data shares'!$C:$FA,76)</f>
        <v>-458250</v>
      </c>
      <c r="G185" s="87">
        <f>VLOOKUP(A185,'Data shares'!$C$2:$CA$216,77,0)</f>
        <v>-4.7999999999999996E-3</v>
      </c>
      <c r="H185" s="86">
        <f>VLOOKUP($A185,'Data shares'!$C:$FA,90)</f>
        <v>39601500</v>
      </c>
      <c r="I185" s="86">
        <f>VLOOKUP($A185,'Data shares'!$C:$FA,92)</f>
        <v>1852500</v>
      </c>
      <c r="J185" s="87">
        <f>VLOOKUP($A185,'Data shares'!$C:$FA,93)</f>
        <v>4.9099999999999998E-2</v>
      </c>
      <c r="K185" s="86">
        <f>VLOOKUP($A185,'Data shares'!$C:$FA,94)</f>
        <v>24998250</v>
      </c>
      <c r="L185" s="86">
        <f>VLOOKUP($A185,'Data shares'!$C:$FA,96)</f>
        <v>1941750</v>
      </c>
      <c r="M185" s="87">
        <f>VLOOKUP($A185,'Data shares'!$C:$FA,97)</f>
        <v>8.4199999999999997E-2</v>
      </c>
      <c r="N185" s="86">
        <f>VLOOKUP($A185,'Data shares'!$C:$FA,78)</f>
        <v>93378750</v>
      </c>
      <c r="O185" s="87">
        <f>VLOOKUP($A185,'Data shares'!$C:$FA,81)</f>
        <v>-5.4999999999999997E-3</v>
      </c>
    </row>
    <row r="186" spans="1:15" x14ac:dyDescent="0.25">
      <c r="A186" s="100" t="str">
        <f>'OI(Value)'!A186</f>
        <v>SHREECEM</v>
      </c>
      <c r="B186" s="82">
        <f>VLOOKUP(A186,'Data shares'!$C$2:$CV$216,98,0)</f>
        <v>271550</v>
      </c>
      <c r="C186" s="82">
        <f>VLOOKUP(A186,'Data shares'!$C$2:$CX$216,100,0)</f>
        <v>5900</v>
      </c>
      <c r="D186" s="141">
        <f>VLOOKUP(A186,'Data shares'!$C$2:$CY$539,101,0)</f>
        <v>2.2200000000000001E-2</v>
      </c>
      <c r="E186" s="86">
        <f>VLOOKUP($A186,'Data shares'!$C:$FA,74)</f>
        <v>228100</v>
      </c>
      <c r="F186" s="86">
        <f>VLOOKUP($A186,'Data shares'!$C:$FA,76)</f>
        <v>-525</v>
      </c>
      <c r="G186" s="87">
        <f>VLOOKUP(A186,'Data shares'!$C$2:$CA$216,77,0)</f>
        <v>-2.3E-3</v>
      </c>
      <c r="H186" s="86">
        <f>VLOOKUP($A186,'Data shares'!$C:$FA,90)</f>
        <v>25425</v>
      </c>
      <c r="I186" s="86">
        <f>VLOOKUP($A186,'Data shares'!$C:$FA,92)</f>
        <v>4150</v>
      </c>
      <c r="J186" s="87">
        <f>VLOOKUP($A186,'Data shares'!$C:$FA,93)</f>
        <v>0.1951</v>
      </c>
      <c r="K186" s="86">
        <f>VLOOKUP($A186,'Data shares'!$C:$FA,94)</f>
        <v>18025</v>
      </c>
      <c r="L186" s="86">
        <f>VLOOKUP($A186,'Data shares'!$C:$FA,96)</f>
        <v>2275</v>
      </c>
      <c r="M186" s="87">
        <f>VLOOKUP($A186,'Data shares'!$C:$FA,97)</f>
        <v>0.1444</v>
      </c>
      <c r="N186" s="86">
        <f>VLOOKUP($A186,'Data shares'!$C:$FA,78)</f>
        <v>226550</v>
      </c>
      <c r="O186" s="87">
        <f>VLOOKUP($A186,'Data shares'!$C:$FA,81)</f>
        <v>-2.8999999999999998E-3</v>
      </c>
    </row>
    <row r="187" spans="1:15" x14ac:dyDescent="0.25">
      <c r="A187" s="100" t="str">
        <f>'OI(Value)'!A187</f>
        <v>SHRIRAMFIN</v>
      </c>
      <c r="B187" s="82">
        <f>VLOOKUP(A187,'Data shares'!$C$2:$CV$216,98,0)</f>
        <v>64137150</v>
      </c>
      <c r="C187" s="82">
        <f>VLOOKUP(A187,'Data shares'!$C$2:$CX$216,100,0)</f>
        <v>3898950</v>
      </c>
      <c r="D187" s="141">
        <f>VLOOKUP(A187,'Data shares'!$C$2:$CY$539,101,0)</f>
        <v>6.4699999999999994E-2</v>
      </c>
      <c r="E187" s="86">
        <f>VLOOKUP($A187,'Data shares'!$C:$FA,74)</f>
        <v>49565175</v>
      </c>
      <c r="F187" s="86">
        <f>VLOOKUP($A187,'Data shares'!$C:$FA,76)</f>
        <v>585750</v>
      </c>
      <c r="G187" s="87">
        <f>VLOOKUP(A187,'Data shares'!$C$2:$CA$216,77,0)</f>
        <v>1.2E-2</v>
      </c>
      <c r="H187" s="86">
        <f>VLOOKUP($A187,'Data shares'!$C:$FA,90)</f>
        <v>7751700</v>
      </c>
      <c r="I187" s="86">
        <f>VLOOKUP($A187,'Data shares'!$C:$FA,92)</f>
        <v>1523775</v>
      </c>
      <c r="J187" s="87">
        <f>VLOOKUP($A187,'Data shares'!$C:$FA,93)</f>
        <v>0.2447</v>
      </c>
      <c r="K187" s="86">
        <f>VLOOKUP($A187,'Data shares'!$C:$FA,94)</f>
        <v>6820275</v>
      </c>
      <c r="L187" s="86">
        <f>VLOOKUP($A187,'Data shares'!$C:$FA,96)</f>
        <v>1789425</v>
      </c>
      <c r="M187" s="87">
        <f>VLOOKUP($A187,'Data shares'!$C:$FA,97)</f>
        <v>0.35570000000000002</v>
      </c>
      <c r="N187" s="86">
        <f>VLOOKUP($A187,'Data shares'!$C:$FA,78)</f>
        <v>48409350</v>
      </c>
      <c r="O187" s="87">
        <f>VLOOKUP($A187,'Data shares'!$C:$FA,81)</f>
        <v>1.11E-2</v>
      </c>
    </row>
    <row r="188" spans="1:15" x14ac:dyDescent="0.25">
      <c r="A188" s="100" t="str">
        <f>'OI(Value)'!A188</f>
        <v>SIEMENS</v>
      </c>
      <c r="B188" s="82">
        <f>VLOOKUP(A188,'Data shares'!$C$2:$CV$216,98,0)</f>
        <v>3360000</v>
      </c>
      <c r="C188" s="82">
        <f>VLOOKUP(A188,'Data shares'!$C$2:$CX$216,100,0)</f>
        <v>138875</v>
      </c>
      <c r="D188" s="141">
        <f>VLOOKUP(A188,'Data shares'!$C$2:$CY$539,101,0)</f>
        <v>4.3099999999999999E-2</v>
      </c>
      <c r="E188" s="86">
        <f>VLOOKUP($A188,'Data shares'!$C:$FA,74)</f>
        <v>2270875</v>
      </c>
      <c r="F188" s="86">
        <f>VLOOKUP($A188,'Data shares'!$C:$FA,76)</f>
        <v>-52250</v>
      </c>
      <c r="G188" s="87">
        <f>VLOOKUP(A188,'Data shares'!$C$2:$CA$216,77,0)</f>
        <v>-2.2499999999999999E-2</v>
      </c>
      <c r="H188" s="86">
        <f>VLOOKUP($A188,'Data shares'!$C:$FA,90)</f>
        <v>703625</v>
      </c>
      <c r="I188" s="86">
        <f>VLOOKUP($A188,'Data shares'!$C:$FA,92)</f>
        <v>83750</v>
      </c>
      <c r="J188" s="87">
        <f>VLOOKUP($A188,'Data shares'!$C:$FA,93)</f>
        <v>0.1351</v>
      </c>
      <c r="K188" s="86">
        <f>VLOOKUP($A188,'Data shares'!$C:$FA,94)</f>
        <v>385500</v>
      </c>
      <c r="L188" s="86">
        <f>VLOOKUP($A188,'Data shares'!$C:$FA,96)</f>
        <v>107375</v>
      </c>
      <c r="M188" s="87">
        <f>VLOOKUP($A188,'Data shares'!$C:$FA,97)</f>
        <v>0.3861</v>
      </c>
      <c r="N188" s="86">
        <f>VLOOKUP($A188,'Data shares'!$C:$FA,78)</f>
        <v>2235625</v>
      </c>
      <c r="O188" s="87">
        <f>VLOOKUP($A188,'Data shares'!$C:$FA,81)</f>
        <v>-2.24E-2</v>
      </c>
    </row>
    <row r="189" spans="1:15" x14ac:dyDescent="0.25">
      <c r="A189" s="100" t="str">
        <f>'OI(Value)'!A189</f>
        <v>ZYDUSLIFE</v>
      </c>
      <c r="B189" s="82">
        <f>VLOOKUP(A189,'Data shares'!$C$2:$CV$216,98,0)</f>
        <v>11953800</v>
      </c>
      <c r="C189" s="82">
        <f>VLOOKUP(A189,'Data shares'!$C$2:$CX$216,100,0)</f>
        <v>340200</v>
      </c>
      <c r="D189" s="141">
        <f>VLOOKUP(A189,'Data shares'!$C$2:$CY$539,101,0)</f>
        <v>2.93E-2</v>
      </c>
      <c r="E189" s="86">
        <f>VLOOKUP($A189,'Data shares'!$C:$FA,74)</f>
        <v>8186400</v>
      </c>
      <c r="F189" s="86">
        <f>VLOOKUP($A189,'Data shares'!$C:$FA,76)</f>
        <v>31500</v>
      </c>
      <c r="G189" s="87">
        <f>VLOOKUP(A189,'Data shares'!$C$2:$CA$216,77,0)</f>
        <v>3.8999999999999998E-3</v>
      </c>
      <c r="H189" s="86">
        <f>VLOOKUP($A189,'Data shares'!$C:$FA,90)</f>
        <v>2220300</v>
      </c>
      <c r="I189" s="86">
        <f>VLOOKUP($A189,'Data shares'!$C:$FA,92)</f>
        <v>312300</v>
      </c>
      <c r="J189" s="87">
        <f>VLOOKUP($A189,'Data shares'!$C:$FA,93)</f>
        <v>0.16370000000000001</v>
      </c>
      <c r="K189" s="86">
        <f>VLOOKUP($A189,'Data shares'!$C:$FA,94)</f>
        <v>1547100</v>
      </c>
      <c r="L189" s="86">
        <f>VLOOKUP($A189,'Data shares'!$C:$FA,96)</f>
        <v>-3600</v>
      </c>
      <c r="M189" s="87">
        <f>VLOOKUP($A189,'Data shares'!$C:$FA,97)</f>
        <v>-2.3E-3</v>
      </c>
      <c r="N189" s="86">
        <f>VLOOKUP($A189,'Data shares'!$C:$FA,78)</f>
        <v>8064900</v>
      </c>
      <c r="O189" s="87">
        <f>VLOOKUP($A189,'Data shares'!$C:$FA,81)</f>
        <v>4.3E-3</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20841906790</v>
      </c>
      <c r="C216" s="119">
        <f>SUM(C7:C215)</f>
        <v>1140653290</v>
      </c>
      <c r="D216" s="120">
        <f>C216*100/(B216-C216)</f>
        <v>5.7897498248017571</v>
      </c>
      <c r="E216" s="119">
        <f>SUM(E7:E215)</f>
        <v>13531173602</v>
      </c>
      <c r="F216" s="119">
        <f>SUM(F7:F215)</f>
        <v>276040082</v>
      </c>
      <c r="G216" s="120">
        <f>F216*100/(E216-F216)</f>
        <v>2.0825145335842681</v>
      </c>
      <c r="H216" s="119">
        <f>SUM(H7:H215)</f>
        <v>4453274381</v>
      </c>
      <c r="I216" s="119">
        <f>SUM(I7:I215)</f>
        <v>578889038</v>
      </c>
      <c r="J216" s="120">
        <f>I216*100/(H216-I216)</f>
        <v>14.941441977264882</v>
      </c>
      <c r="K216" s="119">
        <f>SUM(K7:K215)</f>
        <v>2857458807</v>
      </c>
      <c r="L216" s="119">
        <f>SUM(L7:L215)</f>
        <v>285724170</v>
      </c>
      <c r="M216" s="120">
        <f>L216*100/(K216-L216)</f>
        <v>11.110173106090961</v>
      </c>
      <c r="N216" s="119">
        <f>SUM(N7:N215)</f>
        <v>12981849662</v>
      </c>
      <c r="O216" s="120">
        <f>(N216-FII!V3)/N216*100</f>
        <v>-12.821086704400935</v>
      </c>
    </row>
    <row r="217" spans="1:15" s="89" customFormat="1" ht="16.5" customHeight="1" x14ac:dyDescent="0.25">
      <c r="A217" s="118" t="s">
        <v>409</v>
      </c>
      <c r="B217" s="121">
        <f>B216/10000000</f>
        <v>2084.1906789999998</v>
      </c>
      <c r="C217" s="121">
        <f>C216/10000000</f>
        <v>114.06532900000001</v>
      </c>
      <c r="D217" s="120">
        <f>D216</f>
        <v>5.7897498248017571</v>
      </c>
      <c r="E217" s="121">
        <f>E216/10000000</f>
        <v>1353.1173601999999</v>
      </c>
      <c r="F217" s="121">
        <f>F216/10000000</f>
        <v>27.604008199999999</v>
      </c>
      <c r="G217" s="120">
        <f>G216</f>
        <v>2.0825145335842681</v>
      </c>
      <c r="H217" s="121">
        <f>H216/10000000</f>
        <v>445.32743809999999</v>
      </c>
      <c r="I217" s="121">
        <f>I216/10000000</f>
        <v>57.888903800000001</v>
      </c>
      <c r="J217" s="120">
        <f>J216</f>
        <v>14.941441977264882</v>
      </c>
      <c r="K217" s="121">
        <f>K216/10000000</f>
        <v>285.74588069999999</v>
      </c>
      <c r="L217" s="121">
        <f>L216/10000000</f>
        <v>28.572417000000002</v>
      </c>
      <c r="M217" s="120">
        <f>M216</f>
        <v>11.110173106090961</v>
      </c>
      <c r="N217" s="121">
        <f>N216/10000000</f>
        <v>1298.1849662</v>
      </c>
      <c r="O217" s="120">
        <f>O216</f>
        <v>-12.821086704400935</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1353.1173601999999</v>
      </c>
      <c r="C227" s="37">
        <f>F217</f>
        <v>27.604008199999999</v>
      </c>
      <c r="D227" s="39">
        <f>C227/B227</f>
        <v>2.0400305998527681E-2</v>
      </c>
    </row>
    <row r="228" spans="1:4" x14ac:dyDescent="0.25">
      <c r="A228" s="36" t="s">
        <v>404</v>
      </c>
      <c r="B228" s="37">
        <f>H217</f>
        <v>445.32743809999999</v>
      </c>
      <c r="C228" s="37">
        <f>I217</f>
        <v>57.888903800000001</v>
      </c>
      <c r="D228" s="39">
        <f>C228/B228</f>
        <v>0.12999177424814509</v>
      </c>
    </row>
    <row r="229" spans="1:4" x14ac:dyDescent="0.25">
      <c r="A229" s="36" t="s">
        <v>405</v>
      </c>
      <c r="B229" s="37">
        <f>K217</f>
        <v>285.74588069999999</v>
      </c>
      <c r="C229" s="37">
        <f>L217</f>
        <v>28.572417000000002</v>
      </c>
      <c r="D229" s="39">
        <f>C229/B229</f>
        <v>9.9992402095194943E-2</v>
      </c>
    </row>
    <row r="230" spans="1:4" x14ac:dyDescent="0.25">
      <c r="A230" s="36" t="s">
        <v>406</v>
      </c>
      <c r="B230" s="40">
        <f>SUM(B227:B229)</f>
        <v>2084.1906789999998</v>
      </c>
      <c r="C230" s="40">
        <f>SUM(C227:C229)</f>
        <v>114.06532900000001</v>
      </c>
      <c r="D230" s="41">
        <f>C230/B230</f>
        <v>5.4728835585585119E-2</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45936</v>
      </c>
      <c r="C6" s="76" t="s">
        <v>333</v>
      </c>
      <c r="D6" s="76" t="s">
        <v>328</v>
      </c>
      <c r="E6" s="3">
        <f>B6</f>
        <v>45936</v>
      </c>
      <c r="F6" s="76" t="s">
        <v>333</v>
      </c>
      <c r="G6" s="76" t="s">
        <v>328</v>
      </c>
      <c r="H6" s="3">
        <f>E6</f>
        <v>45936</v>
      </c>
      <c r="I6" s="76" t="s">
        <v>333</v>
      </c>
      <c r="J6" s="76" t="s">
        <v>328</v>
      </c>
      <c r="K6" s="3">
        <f>E6</f>
        <v>45936</v>
      </c>
      <c r="L6" s="76" t="s">
        <v>333</v>
      </c>
      <c r="M6" s="76" t="s">
        <v>328</v>
      </c>
      <c r="N6" s="76" t="s">
        <v>339</v>
      </c>
      <c r="O6" s="76" t="s">
        <v>328</v>
      </c>
    </row>
    <row r="7" spans="1:15" x14ac:dyDescent="0.25">
      <c r="A7" s="97" t="str">
        <f>'Data Vlaue (Cr)'!C2</f>
        <v>360ONE</v>
      </c>
      <c r="B7" s="142">
        <f>VLOOKUP(A7,'Data Vlaue (Cr)'!C2:CW216,99,0)</f>
        <v>395</v>
      </c>
      <c r="C7" s="90">
        <f>VLOOKUP(A7,'Data Vlaue (Cr)'!C2:CY216,101,0)</f>
        <v>18</v>
      </c>
      <c r="D7" s="139">
        <f>VLOOKUP(A7,'Data Vlaue (Cr)'!C2:CZ216,102,0)</f>
        <v>4.7500000000000001E-2</v>
      </c>
      <c r="E7" s="91">
        <f>VLOOKUP($A7,'Data Vlaue (Cr)'!$C:$FB,75)</f>
        <v>264</v>
      </c>
      <c r="F7" s="91">
        <f>VLOOKUP($A7,'Data Vlaue (Cr)'!$C:$FB,77)</f>
        <v>0</v>
      </c>
      <c r="G7" s="92">
        <f>VLOOKUP(A7,'Data Vlaue (Cr)'!C2:CB216,78,0)</f>
        <v>4.0000000000000002E-4</v>
      </c>
      <c r="H7" s="91">
        <f>VLOOKUP($A7,'Data Vlaue (Cr)'!$C:$FB,91)</f>
        <v>80</v>
      </c>
      <c r="I7" s="91">
        <f>VLOOKUP($A7,'Data Vlaue (Cr)'!$C:$FB,93)</f>
        <v>15</v>
      </c>
      <c r="J7" s="92">
        <f>VLOOKUP($A7,'Data Vlaue (Cr)'!$C:$FB,94)</f>
        <v>0.2273</v>
      </c>
      <c r="K7" s="91">
        <f>VLOOKUP($A7,'Data Vlaue (Cr)'!$C:$FB,95)</f>
        <v>51</v>
      </c>
      <c r="L7" s="91">
        <f>VLOOKUP($A7,'Data Vlaue (Cr)'!$C:$FB,97)</f>
        <v>3</v>
      </c>
      <c r="M7" s="92">
        <f>VLOOKUP($A7,'Data Vlaue (Cr)'!$C:$FB,98)</f>
        <v>6.2700000000000006E-2</v>
      </c>
      <c r="N7" s="91">
        <f>VLOOKUP($A7,'Data Vlaue (Cr)'!$C:$FB,79)</f>
        <v>261</v>
      </c>
      <c r="O7" s="92">
        <f>VLOOKUP($A7,'Data Vlaue (Cr)'!$C:$FB,82)</f>
        <v>4.0000000000000002E-4</v>
      </c>
    </row>
    <row r="8" spans="1:15" x14ac:dyDescent="0.25">
      <c r="A8" s="97" t="str">
        <f>'Data Vlaue (Cr)'!C3</f>
        <v>ABB</v>
      </c>
      <c r="B8" s="142">
        <f>VLOOKUP(A8,'Data Vlaue (Cr)'!C3:CW217,99,0)</f>
        <v>2001</v>
      </c>
      <c r="C8" s="90">
        <f>VLOOKUP(A8,'Data Vlaue (Cr)'!C3:CY217,101,0)</f>
        <v>161</v>
      </c>
      <c r="D8" s="139">
        <f>VLOOKUP(A8,'Data Vlaue (Cr)'!C3:CZ217,102,0)</f>
        <v>8.7300000000000003E-2</v>
      </c>
      <c r="E8" s="91">
        <f>VLOOKUP($A8,'Data Vlaue (Cr)'!$C:$FB,75)</f>
        <v>1297</v>
      </c>
      <c r="F8" s="91">
        <f>VLOOKUP($A8,'Data Vlaue (Cr)'!$C:$FB,77)</f>
        <v>52</v>
      </c>
      <c r="G8" s="92">
        <f>VLOOKUP(A8,'Data Vlaue (Cr)'!C3:CB217,78,0)</f>
        <v>4.2000000000000003E-2</v>
      </c>
      <c r="H8" s="91">
        <f>VLOOKUP($A8,'Data Vlaue (Cr)'!$C:$FB,91)</f>
        <v>421</v>
      </c>
      <c r="I8" s="91">
        <f>VLOOKUP($A8,'Data Vlaue (Cr)'!$C:$FB,93)</f>
        <v>80</v>
      </c>
      <c r="J8" s="92">
        <f>VLOOKUP($A8,'Data Vlaue (Cr)'!$C:$FB,94)</f>
        <v>0.23580000000000001</v>
      </c>
      <c r="K8" s="91">
        <f>VLOOKUP($A8,'Data Vlaue (Cr)'!$C:$FB,95)</f>
        <v>284</v>
      </c>
      <c r="L8" s="91">
        <f>VLOOKUP($A8,'Data Vlaue (Cr)'!$C:$FB,97)</f>
        <v>28</v>
      </c>
      <c r="M8" s="92">
        <f>VLOOKUP($A8,'Data Vlaue (Cr)'!$C:$FB,98)</f>
        <v>0.11</v>
      </c>
      <c r="N8" s="91">
        <f>VLOOKUP($A8,'Data Vlaue (Cr)'!$C:$FB,79)</f>
        <v>1264</v>
      </c>
      <c r="O8" s="92">
        <f>VLOOKUP($A8,'Data Vlaue (Cr)'!$C:$FB,82)</f>
        <v>4.1300000000000003E-2</v>
      </c>
    </row>
    <row r="9" spans="1:15" x14ac:dyDescent="0.25">
      <c r="A9" s="97" t="str">
        <f>'Data Vlaue (Cr)'!C4</f>
        <v>ABCAPITAL</v>
      </c>
      <c r="B9" s="142">
        <f>VLOOKUP(A9,'Data Vlaue (Cr)'!C4:CW218,99,0)</f>
        <v>2890</v>
      </c>
      <c r="C9" s="90">
        <f>VLOOKUP(A9,'Data Vlaue (Cr)'!C4:CY218,101,0)</f>
        <v>35</v>
      </c>
      <c r="D9" s="139">
        <f>VLOOKUP(A9,'Data Vlaue (Cr)'!C4:CZ218,102,0)</f>
        <v>1.2200000000000001E-2</v>
      </c>
      <c r="E9" s="91">
        <f>VLOOKUP($A9,'Data Vlaue (Cr)'!$C:$FB,75)</f>
        <v>2066</v>
      </c>
      <c r="F9" s="91">
        <f>VLOOKUP($A9,'Data Vlaue (Cr)'!$C:$FB,77)</f>
        <v>12</v>
      </c>
      <c r="G9" s="92">
        <f>VLOOKUP(A9,'Data Vlaue (Cr)'!C4:CB218,78,0)</f>
        <v>5.7999999999999996E-3</v>
      </c>
      <c r="H9" s="91">
        <f>VLOOKUP($A9,'Data Vlaue (Cr)'!$C:$FB,91)</f>
        <v>518</v>
      </c>
      <c r="I9" s="91">
        <f>VLOOKUP($A9,'Data Vlaue (Cr)'!$C:$FB,93)</f>
        <v>8</v>
      </c>
      <c r="J9" s="92">
        <f>VLOOKUP($A9,'Data Vlaue (Cr)'!$C:$FB,94)</f>
        <v>1.66E-2</v>
      </c>
      <c r="K9" s="91">
        <f>VLOOKUP($A9,'Data Vlaue (Cr)'!$C:$FB,95)</f>
        <v>306</v>
      </c>
      <c r="L9" s="91">
        <f>VLOOKUP($A9,'Data Vlaue (Cr)'!$C:$FB,97)</f>
        <v>14</v>
      </c>
      <c r="M9" s="92">
        <f>VLOOKUP($A9,'Data Vlaue (Cr)'!$C:$FB,98)</f>
        <v>4.9200000000000001E-2</v>
      </c>
      <c r="N9" s="91">
        <f>VLOOKUP($A9,'Data Vlaue (Cr)'!$C:$FB,79)</f>
        <v>2023</v>
      </c>
      <c r="O9" s="92">
        <f>VLOOKUP($A9,'Data Vlaue (Cr)'!$C:$FB,82)</f>
        <v>3.0000000000000001E-3</v>
      </c>
    </row>
    <row r="10" spans="1:15" x14ac:dyDescent="0.25">
      <c r="A10" s="97" t="str">
        <f>'Data Vlaue (Cr)'!C5</f>
        <v>ADANIENSOL</v>
      </c>
      <c r="B10" s="142">
        <f>VLOOKUP(A10,'Data Vlaue (Cr)'!C5:CW219,99,0)</f>
        <v>2175</v>
      </c>
      <c r="C10" s="90">
        <f>VLOOKUP(A10,'Data Vlaue (Cr)'!C5:CY219,101,0)</f>
        <v>28</v>
      </c>
      <c r="D10" s="139">
        <f>VLOOKUP(A10,'Data Vlaue (Cr)'!C5:CZ219,102,0)</f>
        <v>1.3100000000000001E-2</v>
      </c>
      <c r="E10" s="91">
        <f>VLOOKUP($A10,'Data Vlaue (Cr)'!$C:$FB,75)</f>
        <v>1714</v>
      </c>
      <c r="F10" s="91">
        <f>VLOOKUP($A10,'Data Vlaue (Cr)'!$C:$FB,77)</f>
        <v>0</v>
      </c>
      <c r="G10" s="92">
        <f>VLOOKUP(A10,'Data Vlaue (Cr)'!C5:CB219,78,0)</f>
        <v>1E-4</v>
      </c>
      <c r="H10" s="91">
        <f>VLOOKUP($A10,'Data Vlaue (Cr)'!$C:$FB,91)</f>
        <v>302</v>
      </c>
      <c r="I10" s="91">
        <f>VLOOKUP($A10,'Data Vlaue (Cr)'!$C:$FB,93)</f>
        <v>21</v>
      </c>
      <c r="J10" s="92">
        <f>VLOOKUP($A10,'Data Vlaue (Cr)'!$C:$FB,94)</f>
        <v>7.51E-2</v>
      </c>
      <c r="K10" s="91">
        <f>VLOOKUP($A10,'Data Vlaue (Cr)'!$C:$FB,95)</f>
        <v>159</v>
      </c>
      <c r="L10" s="91">
        <f>VLOOKUP($A10,'Data Vlaue (Cr)'!$C:$FB,97)</f>
        <v>7</v>
      </c>
      <c r="M10" s="92">
        <f>VLOOKUP($A10,'Data Vlaue (Cr)'!$C:$FB,98)</f>
        <v>4.58E-2</v>
      </c>
      <c r="N10" s="91">
        <f>VLOOKUP($A10,'Data Vlaue (Cr)'!$C:$FB,79)</f>
        <v>1695</v>
      </c>
      <c r="O10" s="92">
        <f>VLOOKUP($A10,'Data Vlaue (Cr)'!$C:$FB,82)</f>
        <v>-1E-4</v>
      </c>
    </row>
    <row r="11" spans="1:15" x14ac:dyDescent="0.25">
      <c r="A11" s="97" t="str">
        <f>'Data Vlaue (Cr)'!C6</f>
        <v>ADANIENT</v>
      </c>
      <c r="B11" s="142">
        <f>VLOOKUP(A11,'Data Vlaue (Cr)'!C6:CW220,99,0)</f>
        <v>6302</v>
      </c>
      <c r="C11" s="90">
        <f>VLOOKUP(A11,'Data Vlaue (Cr)'!C6:CY220,101,0)</f>
        <v>90</v>
      </c>
      <c r="D11" s="139">
        <f>VLOOKUP(A11,'Data Vlaue (Cr)'!C6:CZ220,102,0)</f>
        <v>1.4500000000000001E-2</v>
      </c>
      <c r="E11" s="91">
        <f>VLOOKUP($A11,'Data Vlaue (Cr)'!$C:$FB,75)</f>
        <v>3736</v>
      </c>
      <c r="F11" s="91">
        <f>VLOOKUP($A11,'Data Vlaue (Cr)'!$C:$FB,77)</f>
        <v>-37</v>
      </c>
      <c r="G11" s="92">
        <f>VLOOKUP(A11,'Data Vlaue (Cr)'!C6:CB220,78,0)</f>
        <v>-9.7999999999999997E-3</v>
      </c>
      <c r="H11" s="91">
        <f>VLOOKUP($A11,'Data Vlaue (Cr)'!$C:$FB,91)</f>
        <v>1566</v>
      </c>
      <c r="I11" s="91">
        <f>VLOOKUP($A11,'Data Vlaue (Cr)'!$C:$FB,93)</f>
        <v>94</v>
      </c>
      <c r="J11" s="92">
        <f>VLOOKUP($A11,'Data Vlaue (Cr)'!$C:$FB,94)</f>
        <v>6.3899999999999998E-2</v>
      </c>
      <c r="K11" s="91">
        <f>VLOOKUP($A11,'Data Vlaue (Cr)'!$C:$FB,95)</f>
        <v>999</v>
      </c>
      <c r="L11" s="91">
        <f>VLOOKUP($A11,'Data Vlaue (Cr)'!$C:$FB,97)</f>
        <v>33</v>
      </c>
      <c r="M11" s="92">
        <f>VLOOKUP($A11,'Data Vlaue (Cr)'!$C:$FB,98)</f>
        <v>3.4200000000000001E-2</v>
      </c>
      <c r="N11" s="91">
        <f>VLOOKUP($A11,'Data Vlaue (Cr)'!$C:$FB,79)</f>
        <v>3675</v>
      </c>
      <c r="O11" s="92">
        <f>VLOOKUP($A11,'Data Vlaue (Cr)'!$C:$FB,82)</f>
        <v>-1.12E-2</v>
      </c>
    </row>
    <row r="12" spans="1:15" x14ac:dyDescent="0.25">
      <c r="A12" s="97" t="str">
        <f>'Data Vlaue (Cr)'!C7</f>
        <v>ADANIGREEN</v>
      </c>
      <c r="B12" s="142">
        <f>VLOOKUP(A12,'Data Vlaue (Cr)'!C7:CW221,99,0)</f>
        <v>3552</v>
      </c>
      <c r="C12" s="90">
        <f>VLOOKUP(A12,'Data Vlaue (Cr)'!C7:CY221,101,0)</f>
        <v>47</v>
      </c>
      <c r="D12" s="139">
        <f>VLOOKUP(A12,'Data Vlaue (Cr)'!C7:CZ221,102,0)</f>
        <v>1.34E-2</v>
      </c>
      <c r="E12" s="91">
        <f>VLOOKUP($A12,'Data Vlaue (Cr)'!$C:$FB,75)</f>
        <v>2139</v>
      </c>
      <c r="F12" s="91">
        <f>VLOOKUP($A12,'Data Vlaue (Cr)'!$C:$FB,77)</f>
        <v>-11</v>
      </c>
      <c r="G12" s="92">
        <f>VLOOKUP(A12,'Data Vlaue (Cr)'!C7:CB221,78,0)</f>
        <v>-5.1000000000000004E-3</v>
      </c>
      <c r="H12" s="91">
        <f>VLOOKUP($A12,'Data Vlaue (Cr)'!$C:$FB,91)</f>
        <v>949</v>
      </c>
      <c r="I12" s="91">
        <f>VLOOKUP($A12,'Data Vlaue (Cr)'!$C:$FB,93)</f>
        <v>42</v>
      </c>
      <c r="J12" s="92">
        <f>VLOOKUP($A12,'Data Vlaue (Cr)'!$C:$FB,94)</f>
        <v>4.6600000000000003E-2</v>
      </c>
      <c r="K12" s="91">
        <f>VLOOKUP($A12,'Data Vlaue (Cr)'!$C:$FB,95)</f>
        <v>465</v>
      </c>
      <c r="L12" s="91">
        <f>VLOOKUP($A12,'Data Vlaue (Cr)'!$C:$FB,97)</f>
        <v>16</v>
      </c>
      <c r="M12" s="92">
        <f>VLOOKUP($A12,'Data Vlaue (Cr)'!$C:$FB,98)</f>
        <v>3.5000000000000003E-2</v>
      </c>
      <c r="N12" s="91">
        <f>VLOOKUP($A12,'Data Vlaue (Cr)'!$C:$FB,79)</f>
        <v>2076</v>
      </c>
      <c r="O12" s="92">
        <f>VLOOKUP($A12,'Data Vlaue (Cr)'!$C:$FB,82)</f>
        <v>-7.1000000000000004E-3</v>
      </c>
    </row>
    <row r="13" spans="1:15" x14ac:dyDescent="0.25">
      <c r="A13" s="97" t="str">
        <f>'Data Vlaue (Cr)'!C8</f>
        <v>ADANIPORTS</v>
      </c>
      <c r="B13" s="142">
        <f>VLOOKUP(A13,'Data Vlaue (Cr)'!C8:CW222,99,0)</f>
        <v>4748</v>
      </c>
      <c r="C13" s="90">
        <f>VLOOKUP(A13,'Data Vlaue (Cr)'!C8:CY222,101,0)</f>
        <v>168</v>
      </c>
      <c r="D13" s="139">
        <f>VLOOKUP(A13,'Data Vlaue (Cr)'!C8:CZ222,102,0)</f>
        <v>3.6700000000000003E-2</v>
      </c>
      <c r="E13" s="91">
        <f>VLOOKUP($A13,'Data Vlaue (Cr)'!$C:$FB,75)</f>
        <v>3189</v>
      </c>
      <c r="F13" s="91">
        <f>VLOOKUP($A13,'Data Vlaue (Cr)'!$C:$FB,77)</f>
        <v>-7</v>
      </c>
      <c r="G13" s="92">
        <f>VLOOKUP(A13,'Data Vlaue (Cr)'!C8:CB222,78,0)</f>
        <v>-2.0999999999999999E-3</v>
      </c>
      <c r="H13" s="91">
        <f>VLOOKUP($A13,'Data Vlaue (Cr)'!$C:$FB,91)</f>
        <v>980</v>
      </c>
      <c r="I13" s="91">
        <f>VLOOKUP($A13,'Data Vlaue (Cr)'!$C:$FB,93)</f>
        <v>148</v>
      </c>
      <c r="J13" s="92">
        <f>VLOOKUP($A13,'Data Vlaue (Cr)'!$C:$FB,94)</f>
        <v>0.1784</v>
      </c>
      <c r="K13" s="91">
        <f>VLOOKUP($A13,'Data Vlaue (Cr)'!$C:$FB,95)</f>
        <v>579</v>
      </c>
      <c r="L13" s="91">
        <f>VLOOKUP($A13,'Data Vlaue (Cr)'!$C:$FB,97)</f>
        <v>26</v>
      </c>
      <c r="M13" s="92">
        <f>VLOOKUP($A13,'Data Vlaue (Cr)'!$C:$FB,98)</f>
        <v>4.7300000000000002E-2</v>
      </c>
      <c r="N13" s="91">
        <f>VLOOKUP($A13,'Data Vlaue (Cr)'!$C:$FB,79)</f>
        <v>3101</v>
      </c>
      <c r="O13" s="92">
        <f>VLOOKUP($A13,'Data Vlaue (Cr)'!$C:$FB,82)</f>
        <v>-4.5999999999999999E-3</v>
      </c>
    </row>
    <row r="14" spans="1:15" x14ac:dyDescent="0.25">
      <c r="A14" s="97" t="str">
        <f>'Data Vlaue (Cr)'!C9</f>
        <v>ALKEM</v>
      </c>
      <c r="B14" s="142">
        <f>VLOOKUP(A14,'Data Vlaue (Cr)'!C9:CW223,99,0)</f>
        <v>963</v>
      </c>
      <c r="C14" s="90">
        <f>VLOOKUP(A14,'Data Vlaue (Cr)'!C9:CY223,101,0)</f>
        <v>38</v>
      </c>
      <c r="D14" s="139">
        <f>VLOOKUP(A14,'Data Vlaue (Cr)'!C9:CZ223,102,0)</f>
        <v>4.1599999999999998E-2</v>
      </c>
      <c r="E14" s="91">
        <f>VLOOKUP($A14,'Data Vlaue (Cr)'!$C:$FB,75)</f>
        <v>823</v>
      </c>
      <c r="F14" s="91">
        <f>VLOOKUP($A14,'Data Vlaue (Cr)'!$C:$FB,77)</f>
        <v>11</v>
      </c>
      <c r="G14" s="92">
        <f>VLOOKUP(A14,'Data Vlaue (Cr)'!C9:CB223,78,0)</f>
        <v>1.34E-2</v>
      </c>
      <c r="H14" s="91">
        <f>VLOOKUP($A14,'Data Vlaue (Cr)'!$C:$FB,91)</f>
        <v>85</v>
      </c>
      <c r="I14" s="91">
        <f>VLOOKUP($A14,'Data Vlaue (Cr)'!$C:$FB,93)</f>
        <v>20</v>
      </c>
      <c r="J14" s="92">
        <f>VLOOKUP($A14,'Data Vlaue (Cr)'!$C:$FB,94)</f>
        <v>0.31309999999999999</v>
      </c>
      <c r="K14" s="91">
        <f>VLOOKUP($A14,'Data Vlaue (Cr)'!$C:$FB,95)</f>
        <v>54</v>
      </c>
      <c r="L14" s="91">
        <f>VLOOKUP($A14,'Data Vlaue (Cr)'!$C:$FB,97)</f>
        <v>7</v>
      </c>
      <c r="M14" s="92">
        <f>VLOOKUP($A14,'Data Vlaue (Cr)'!$C:$FB,98)</f>
        <v>0.15540000000000001</v>
      </c>
      <c r="N14" s="91">
        <f>VLOOKUP($A14,'Data Vlaue (Cr)'!$C:$FB,79)</f>
        <v>818</v>
      </c>
      <c r="O14" s="92">
        <f>VLOOKUP($A14,'Data Vlaue (Cr)'!$C:$FB,82)</f>
        <v>1.2699999999999999E-2</v>
      </c>
    </row>
    <row r="15" spans="1:15" x14ac:dyDescent="0.25">
      <c r="A15" s="97" t="str">
        <f>'Data Vlaue (Cr)'!C10</f>
        <v>AMBER</v>
      </c>
      <c r="B15" s="142">
        <f>VLOOKUP(A15,'Data Vlaue (Cr)'!C10:CW224,99,0)</f>
        <v>831</v>
      </c>
      <c r="C15" s="90">
        <f>VLOOKUP(A15,'Data Vlaue (Cr)'!C10:CY224,101,0)</f>
        <v>24</v>
      </c>
      <c r="D15" s="139">
        <f>VLOOKUP(A15,'Data Vlaue (Cr)'!C10:CZ224,102,0)</f>
        <v>3.0200000000000001E-2</v>
      </c>
      <c r="E15" s="91">
        <f>VLOOKUP($A15,'Data Vlaue (Cr)'!$C:$FB,75)</f>
        <v>412</v>
      </c>
      <c r="F15" s="91">
        <f>VLOOKUP($A15,'Data Vlaue (Cr)'!$C:$FB,77)</f>
        <v>7</v>
      </c>
      <c r="G15" s="92">
        <f>VLOOKUP(A15,'Data Vlaue (Cr)'!C10:CB224,78,0)</f>
        <v>1.7100000000000001E-2</v>
      </c>
      <c r="H15" s="91">
        <f>VLOOKUP($A15,'Data Vlaue (Cr)'!$C:$FB,91)</f>
        <v>276</v>
      </c>
      <c r="I15" s="91">
        <f>VLOOKUP($A15,'Data Vlaue (Cr)'!$C:$FB,93)</f>
        <v>11</v>
      </c>
      <c r="J15" s="92">
        <f>VLOOKUP($A15,'Data Vlaue (Cr)'!$C:$FB,94)</f>
        <v>4.1599999999999998E-2</v>
      </c>
      <c r="K15" s="91">
        <f>VLOOKUP($A15,'Data Vlaue (Cr)'!$C:$FB,95)</f>
        <v>143</v>
      </c>
      <c r="L15" s="91">
        <f>VLOOKUP($A15,'Data Vlaue (Cr)'!$C:$FB,97)</f>
        <v>6</v>
      </c>
      <c r="M15" s="92">
        <f>VLOOKUP($A15,'Data Vlaue (Cr)'!$C:$FB,98)</f>
        <v>4.6600000000000003E-2</v>
      </c>
      <c r="N15" s="91">
        <f>VLOOKUP($A15,'Data Vlaue (Cr)'!$C:$FB,79)</f>
        <v>393</v>
      </c>
      <c r="O15" s="92">
        <f>VLOOKUP($A15,'Data Vlaue (Cr)'!$C:$FB,82)</f>
        <v>8.3999999999999995E-3</v>
      </c>
    </row>
    <row r="16" spans="1:15" x14ac:dyDescent="0.25">
      <c r="A16" s="97" t="str">
        <f>'Data Vlaue (Cr)'!C11</f>
        <v>AMBUJACEM</v>
      </c>
      <c r="B16" s="142">
        <f>VLOOKUP(A16,'Data Vlaue (Cr)'!C11:CW225,99,0)</f>
        <v>3335</v>
      </c>
      <c r="C16" s="90">
        <f>VLOOKUP(A16,'Data Vlaue (Cr)'!C11:CY225,101,0)</f>
        <v>71</v>
      </c>
      <c r="D16" s="139">
        <f>VLOOKUP(A16,'Data Vlaue (Cr)'!C11:CZ225,102,0)</f>
        <v>2.1700000000000001E-2</v>
      </c>
      <c r="E16" s="91">
        <f>VLOOKUP($A16,'Data Vlaue (Cr)'!$C:$FB,75)</f>
        <v>2373</v>
      </c>
      <c r="F16" s="91">
        <f>VLOOKUP($A16,'Data Vlaue (Cr)'!$C:$FB,77)</f>
        <v>9</v>
      </c>
      <c r="G16" s="92">
        <f>VLOOKUP(A16,'Data Vlaue (Cr)'!C11:CB225,78,0)</f>
        <v>3.5999999999999999E-3</v>
      </c>
      <c r="H16" s="91">
        <f>VLOOKUP($A16,'Data Vlaue (Cr)'!$C:$FB,91)</f>
        <v>540</v>
      </c>
      <c r="I16" s="91">
        <f>VLOOKUP($A16,'Data Vlaue (Cr)'!$C:$FB,93)</f>
        <v>43</v>
      </c>
      <c r="J16" s="92">
        <f>VLOOKUP($A16,'Data Vlaue (Cr)'!$C:$FB,94)</f>
        <v>8.5699999999999998E-2</v>
      </c>
      <c r="K16" s="91">
        <f>VLOOKUP($A16,'Data Vlaue (Cr)'!$C:$FB,95)</f>
        <v>422</v>
      </c>
      <c r="L16" s="91">
        <f>VLOOKUP($A16,'Data Vlaue (Cr)'!$C:$FB,97)</f>
        <v>20</v>
      </c>
      <c r="M16" s="92">
        <f>VLOOKUP($A16,'Data Vlaue (Cr)'!$C:$FB,98)</f>
        <v>4.9099999999999998E-2</v>
      </c>
      <c r="N16" s="91">
        <f>VLOOKUP($A16,'Data Vlaue (Cr)'!$C:$FB,79)</f>
        <v>2332</v>
      </c>
      <c r="O16" s="92">
        <f>VLOOKUP($A16,'Data Vlaue (Cr)'!$C:$FB,82)</f>
        <v>2.8999999999999998E-3</v>
      </c>
    </row>
    <row r="17" spans="1:15" x14ac:dyDescent="0.25">
      <c r="A17" s="97" t="str">
        <f>'Data Vlaue (Cr)'!C12</f>
        <v>ANGELONE</v>
      </c>
      <c r="B17" s="142">
        <f>VLOOKUP(A17,'Data Vlaue (Cr)'!C12:CW226,99,0)</f>
        <v>1487</v>
      </c>
      <c r="C17" s="90">
        <f>VLOOKUP(A17,'Data Vlaue (Cr)'!C12:CY226,101,0)</f>
        <v>42</v>
      </c>
      <c r="D17" s="139">
        <f>VLOOKUP(A17,'Data Vlaue (Cr)'!C12:CZ226,102,0)</f>
        <v>2.92E-2</v>
      </c>
      <c r="E17" s="91">
        <f>VLOOKUP($A17,'Data Vlaue (Cr)'!$C:$FB,75)</f>
        <v>874</v>
      </c>
      <c r="F17" s="91">
        <f>VLOOKUP($A17,'Data Vlaue (Cr)'!$C:$FB,77)</f>
        <v>8</v>
      </c>
      <c r="G17" s="92">
        <f>VLOOKUP(A17,'Data Vlaue (Cr)'!C12:CB226,78,0)</f>
        <v>8.8000000000000005E-3</v>
      </c>
      <c r="H17" s="91">
        <f>VLOOKUP($A17,'Data Vlaue (Cr)'!$C:$FB,91)</f>
        <v>341</v>
      </c>
      <c r="I17" s="91">
        <f>VLOOKUP($A17,'Data Vlaue (Cr)'!$C:$FB,93)</f>
        <v>27</v>
      </c>
      <c r="J17" s="92">
        <f>VLOOKUP($A17,'Data Vlaue (Cr)'!$C:$FB,94)</f>
        <v>8.7099999999999997E-2</v>
      </c>
      <c r="K17" s="91">
        <f>VLOOKUP($A17,'Data Vlaue (Cr)'!$C:$FB,95)</f>
        <v>273</v>
      </c>
      <c r="L17" s="91">
        <f>VLOOKUP($A17,'Data Vlaue (Cr)'!$C:$FB,97)</f>
        <v>7</v>
      </c>
      <c r="M17" s="92">
        <f>VLOOKUP($A17,'Data Vlaue (Cr)'!$C:$FB,98)</f>
        <v>2.7199999999999998E-2</v>
      </c>
      <c r="N17" s="91">
        <f>VLOOKUP($A17,'Data Vlaue (Cr)'!$C:$FB,79)</f>
        <v>812</v>
      </c>
      <c r="O17" s="92">
        <f>VLOOKUP($A17,'Data Vlaue (Cr)'!$C:$FB,82)</f>
        <v>1.11E-2</v>
      </c>
    </row>
    <row r="18" spans="1:15" x14ac:dyDescent="0.25">
      <c r="A18" s="97" t="str">
        <f>'Data Vlaue (Cr)'!C13</f>
        <v>APLAPOLLO</v>
      </c>
      <c r="B18" s="142">
        <f>VLOOKUP(A18,'Data Vlaue (Cr)'!C13:CW227,99,0)</f>
        <v>1956</v>
      </c>
      <c r="C18" s="90">
        <f>VLOOKUP(A18,'Data Vlaue (Cr)'!C13:CY227,101,0)</f>
        <v>-6</v>
      </c>
      <c r="D18" s="139">
        <f>VLOOKUP(A18,'Data Vlaue (Cr)'!C13:CZ227,102,0)</f>
        <v>-3.2000000000000002E-3</v>
      </c>
      <c r="E18" s="91">
        <f>VLOOKUP($A18,'Data Vlaue (Cr)'!$C:$FB,75)</f>
        <v>1703</v>
      </c>
      <c r="F18" s="91">
        <f>VLOOKUP($A18,'Data Vlaue (Cr)'!$C:$FB,77)</f>
        <v>-3</v>
      </c>
      <c r="G18" s="92">
        <f>VLOOKUP(A18,'Data Vlaue (Cr)'!C13:CB227,78,0)</f>
        <v>-2E-3</v>
      </c>
      <c r="H18" s="91">
        <f>VLOOKUP($A18,'Data Vlaue (Cr)'!$C:$FB,91)</f>
        <v>153</v>
      </c>
      <c r="I18" s="91">
        <f>VLOOKUP($A18,'Data Vlaue (Cr)'!$C:$FB,93)</f>
        <v>-4</v>
      </c>
      <c r="J18" s="92">
        <f>VLOOKUP($A18,'Data Vlaue (Cr)'!$C:$FB,94)</f>
        <v>-2.8299999999999999E-2</v>
      </c>
      <c r="K18" s="91">
        <f>VLOOKUP($A18,'Data Vlaue (Cr)'!$C:$FB,95)</f>
        <v>99</v>
      </c>
      <c r="L18" s="91">
        <f>VLOOKUP($A18,'Data Vlaue (Cr)'!$C:$FB,97)</f>
        <v>2</v>
      </c>
      <c r="M18" s="92">
        <f>VLOOKUP($A18,'Data Vlaue (Cr)'!$C:$FB,98)</f>
        <v>1.6899999999999998E-2</v>
      </c>
      <c r="N18" s="91">
        <f>VLOOKUP($A18,'Data Vlaue (Cr)'!$C:$FB,79)</f>
        <v>1692</v>
      </c>
      <c r="O18" s="92">
        <f>VLOOKUP($A18,'Data Vlaue (Cr)'!$C:$FB,82)</f>
        <v>-2.3999999999999998E-3</v>
      </c>
    </row>
    <row r="19" spans="1:15" x14ac:dyDescent="0.25">
      <c r="A19" s="97" t="str">
        <f>'Data Vlaue (Cr)'!C14</f>
        <v>APOLLOHOSP</v>
      </c>
      <c r="B19" s="142">
        <f>VLOOKUP(A19,'Data Vlaue (Cr)'!C14:CW228,99,0)</f>
        <v>2934</v>
      </c>
      <c r="C19" s="90">
        <f>VLOOKUP(A19,'Data Vlaue (Cr)'!C14:CY228,101,0)</f>
        <v>140</v>
      </c>
      <c r="D19" s="139">
        <f>VLOOKUP(A19,'Data Vlaue (Cr)'!C14:CZ228,102,0)</f>
        <v>5.0299999999999997E-2</v>
      </c>
      <c r="E19" s="91">
        <f>VLOOKUP($A19,'Data Vlaue (Cr)'!$C:$FB,75)</f>
        <v>2162</v>
      </c>
      <c r="F19" s="91">
        <f>VLOOKUP($A19,'Data Vlaue (Cr)'!$C:$FB,77)</f>
        <v>-16</v>
      </c>
      <c r="G19" s="92">
        <f>VLOOKUP(A19,'Data Vlaue (Cr)'!C14:CB228,78,0)</f>
        <v>-7.4000000000000003E-3</v>
      </c>
      <c r="H19" s="91">
        <f>VLOOKUP($A19,'Data Vlaue (Cr)'!$C:$FB,91)</f>
        <v>464</v>
      </c>
      <c r="I19" s="91">
        <f>VLOOKUP($A19,'Data Vlaue (Cr)'!$C:$FB,93)</f>
        <v>62</v>
      </c>
      <c r="J19" s="92">
        <f>VLOOKUP($A19,'Data Vlaue (Cr)'!$C:$FB,94)</f>
        <v>0.1547</v>
      </c>
      <c r="K19" s="91">
        <f>VLOOKUP($A19,'Data Vlaue (Cr)'!$C:$FB,95)</f>
        <v>308</v>
      </c>
      <c r="L19" s="91">
        <f>VLOOKUP($A19,'Data Vlaue (Cr)'!$C:$FB,97)</f>
        <v>94</v>
      </c>
      <c r="M19" s="92">
        <f>VLOOKUP($A19,'Data Vlaue (Cr)'!$C:$FB,98)</f>
        <v>0.44159999999999999</v>
      </c>
      <c r="N19" s="91">
        <f>VLOOKUP($A19,'Data Vlaue (Cr)'!$C:$FB,79)</f>
        <v>2137</v>
      </c>
      <c r="O19" s="92">
        <f>VLOOKUP($A19,'Data Vlaue (Cr)'!$C:$FB,82)</f>
        <v>-7.7000000000000002E-3</v>
      </c>
    </row>
    <row r="20" spans="1:15" x14ac:dyDescent="0.25">
      <c r="A20" s="97" t="str">
        <f>'Data Vlaue (Cr)'!C15</f>
        <v>ASHOKLEY</v>
      </c>
      <c r="B20" s="142">
        <f>VLOOKUP(A20,'Data Vlaue (Cr)'!C15:CW229,99,0)</f>
        <v>3063</v>
      </c>
      <c r="C20" s="90">
        <f>VLOOKUP(A20,'Data Vlaue (Cr)'!C15:CY229,101,0)</f>
        <v>15</v>
      </c>
      <c r="D20" s="139">
        <f>VLOOKUP(A20,'Data Vlaue (Cr)'!C15:CZ229,102,0)</f>
        <v>4.8999999999999998E-3</v>
      </c>
      <c r="E20" s="91">
        <f>VLOOKUP($A20,'Data Vlaue (Cr)'!$C:$FB,75)</f>
        <v>1783</v>
      </c>
      <c r="F20" s="91">
        <f>VLOOKUP($A20,'Data Vlaue (Cr)'!$C:$FB,77)</f>
        <v>-63</v>
      </c>
      <c r="G20" s="92">
        <f>VLOOKUP(A20,'Data Vlaue (Cr)'!C15:CB229,78,0)</f>
        <v>-3.4000000000000002E-2</v>
      </c>
      <c r="H20" s="91">
        <f>VLOOKUP($A20,'Data Vlaue (Cr)'!$C:$FB,91)</f>
        <v>880</v>
      </c>
      <c r="I20" s="91">
        <f>VLOOKUP($A20,'Data Vlaue (Cr)'!$C:$FB,93)</f>
        <v>63</v>
      </c>
      <c r="J20" s="92">
        <f>VLOOKUP($A20,'Data Vlaue (Cr)'!$C:$FB,94)</f>
        <v>7.7499999999999999E-2</v>
      </c>
      <c r="K20" s="91">
        <f>VLOOKUP($A20,'Data Vlaue (Cr)'!$C:$FB,95)</f>
        <v>400</v>
      </c>
      <c r="L20" s="91">
        <f>VLOOKUP($A20,'Data Vlaue (Cr)'!$C:$FB,97)</f>
        <v>14</v>
      </c>
      <c r="M20" s="92">
        <f>VLOOKUP($A20,'Data Vlaue (Cr)'!$C:$FB,98)</f>
        <v>3.7400000000000003E-2</v>
      </c>
      <c r="N20" s="91">
        <f>VLOOKUP($A20,'Data Vlaue (Cr)'!$C:$FB,79)</f>
        <v>1737</v>
      </c>
      <c r="O20" s="92">
        <f>VLOOKUP($A20,'Data Vlaue (Cr)'!$C:$FB,82)</f>
        <v>-3.9E-2</v>
      </c>
    </row>
    <row r="21" spans="1:15" x14ac:dyDescent="0.25">
      <c r="A21" s="97" t="str">
        <f>'Data Vlaue (Cr)'!C16</f>
        <v>ASIANPAINT</v>
      </c>
      <c r="B21" s="142">
        <f>VLOOKUP(A21,'Data Vlaue (Cr)'!C16:CW230,99,0)</f>
        <v>5130</v>
      </c>
      <c r="C21" s="90">
        <f>VLOOKUP(A21,'Data Vlaue (Cr)'!C16:CY230,101,0)</f>
        <v>132</v>
      </c>
      <c r="D21" s="139">
        <f>VLOOKUP(A21,'Data Vlaue (Cr)'!C16:CZ230,102,0)</f>
        <v>2.64E-2</v>
      </c>
      <c r="E21" s="91">
        <f>VLOOKUP($A21,'Data Vlaue (Cr)'!$C:$FB,75)</f>
        <v>3198</v>
      </c>
      <c r="F21" s="91">
        <f>VLOOKUP($A21,'Data Vlaue (Cr)'!$C:$FB,77)</f>
        <v>-8</v>
      </c>
      <c r="G21" s="92">
        <f>VLOOKUP(A21,'Data Vlaue (Cr)'!C16:CB230,78,0)</f>
        <v>-2.3999999999999998E-3</v>
      </c>
      <c r="H21" s="91">
        <f>VLOOKUP($A21,'Data Vlaue (Cr)'!$C:$FB,91)</f>
        <v>1165</v>
      </c>
      <c r="I21" s="91">
        <f>VLOOKUP($A21,'Data Vlaue (Cr)'!$C:$FB,93)</f>
        <v>78</v>
      </c>
      <c r="J21" s="92">
        <f>VLOOKUP($A21,'Data Vlaue (Cr)'!$C:$FB,94)</f>
        <v>7.2099999999999997E-2</v>
      </c>
      <c r="K21" s="91">
        <f>VLOOKUP($A21,'Data Vlaue (Cr)'!$C:$FB,95)</f>
        <v>767</v>
      </c>
      <c r="L21" s="91">
        <f>VLOOKUP($A21,'Data Vlaue (Cr)'!$C:$FB,97)</f>
        <v>61</v>
      </c>
      <c r="M21" s="92">
        <f>VLOOKUP($A21,'Data Vlaue (Cr)'!$C:$FB,98)</f>
        <v>8.6999999999999994E-2</v>
      </c>
      <c r="N21" s="91">
        <f>VLOOKUP($A21,'Data Vlaue (Cr)'!$C:$FB,79)</f>
        <v>3098</v>
      </c>
      <c r="O21" s="92">
        <f>VLOOKUP($A21,'Data Vlaue (Cr)'!$C:$FB,82)</f>
        <v>-4.1999999999999997E-3</v>
      </c>
    </row>
    <row r="22" spans="1:15" x14ac:dyDescent="0.25">
      <c r="A22" s="97" t="str">
        <f>'Data Vlaue (Cr)'!C17</f>
        <v>ASTRAL</v>
      </c>
      <c r="B22" s="142">
        <f>VLOOKUP(A22,'Data Vlaue (Cr)'!C17:CW231,99,0)</f>
        <v>1570</v>
      </c>
      <c r="C22" s="90">
        <f>VLOOKUP(A22,'Data Vlaue (Cr)'!C17:CY231,101,0)</f>
        <v>66</v>
      </c>
      <c r="D22" s="139">
        <f>VLOOKUP(A22,'Data Vlaue (Cr)'!C17:CZ231,102,0)</f>
        <v>4.36E-2</v>
      </c>
      <c r="E22" s="91">
        <f>VLOOKUP($A22,'Data Vlaue (Cr)'!$C:$FB,75)</f>
        <v>1096</v>
      </c>
      <c r="F22" s="91">
        <f>VLOOKUP($A22,'Data Vlaue (Cr)'!$C:$FB,77)</f>
        <v>32</v>
      </c>
      <c r="G22" s="92">
        <f>VLOOKUP(A22,'Data Vlaue (Cr)'!C17:CB231,78,0)</f>
        <v>3.0499999999999999E-2</v>
      </c>
      <c r="H22" s="91">
        <f>VLOOKUP($A22,'Data Vlaue (Cr)'!$C:$FB,91)</f>
        <v>304</v>
      </c>
      <c r="I22" s="91">
        <f>VLOOKUP($A22,'Data Vlaue (Cr)'!$C:$FB,93)</f>
        <v>26</v>
      </c>
      <c r="J22" s="92">
        <f>VLOOKUP($A22,'Data Vlaue (Cr)'!$C:$FB,94)</f>
        <v>9.1600000000000001E-2</v>
      </c>
      <c r="K22" s="91">
        <f>VLOOKUP($A22,'Data Vlaue (Cr)'!$C:$FB,95)</f>
        <v>170</v>
      </c>
      <c r="L22" s="91">
        <f>VLOOKUP($A22,'Data Vlaue (Cr)'!$C:$FB,97)</f>
        <v>8</v>
      </c>
      <c r="M22" s="92">
        <f>VLOOKUP($A22,'Data Vlaue (Cr)'!$C:$FB,98)</f>
        <v>4.7800000000000002E-2</v>
      </c>
      <c r="N22" s="91">
        <f>VLOOKUP($A22,'Data Vlaue (Cr)'!$C:$FB,79)</f>
        <v>1063</v>
      </c>
      <c r="O22" s="92">
        <f>VLOOKUP($A22,'Data Vlaue (Cr)'!$C:$FB,82)</f>
        <v>2.7300000000000001E-2</v>
      </c>
    </row>
    <row r="23" spans="1:15" x14ac:dyDescent="0.25">
      <c r="A23" s="97" t="str">
        <f>'Data Vlaue (Cr)'!C18</f>
        <v>AUBANK</v>
      </c>
      <c r="B23" s="142">
        <f>VLOOKUP(A23,'Data Vlaue (Cr)'!C18:CW232,99,0)</f>
        <v>2332</v>
      </c>
      <c r="C23" s="90">
        <f>VLOOKUP(A23,'Data Vlaue (Cr)'!C18:CY232,101,0)</f>
        <v>9</v>
      </c>
      <c r="D23" s="139">
        <f>VLOOKUP(A23,'Data Vlaue (Cr)'!C18:CZ232,102,0)</f>
        <v>3.8E-3</v>
      </c>
      <c r="E23" s="91">
        <f>VLOOKUP($A23,'Data Vlaue (Cr)'!$C:$FB,75)</f>
        <v>1705</v>
      </c>
      <c r="F23" s="91">
        <f>VLOOKUP($A23,'Data Vlaue (Cr)'!$C:$FB,77)</f>
        <v>-45</v>
      </c>
      <c r="G23" s="92">
        <f>VLOOKUP(A23,'Data Vlaue (Cr)'!C18:CB232,78,0)</f>
        <v>-2.5499999999999998E-2</v>
      </c>
      <c r="H23" s="91">
        <f>VLOOKUP($A23,'Data Vlaue (Cr)'!$C:$FB,91)</f>
        <v>350</v>
      </c>
      <c r="I23" s="91">
        <f>VLOOKUP($A23,'Data Vlaue (Cr)'!$C:$FB,93)</f>
        <v>26</v>
      </c>
      <c r="J23" s="92">
        <f>VLOOKUP($A23,'Data Vlaue (Cr)'!$C:$FB,94)</f>
        <v>8.1000000000000003E-2</v>
      </c>
      <c r="K23" s="91">
        <f>VLOOKUP($A23,'Data Vlaue (Cr)'!$C:$FB,95)</f>
        <v>277</v>
      </c>
      <c r="L23" s="91">
        <f>VLOOKUP($A23,'Data Vlaue (Cr)'!$C:$FB,97)</f>
        <v>27</v>
      </c>
      <c r="M23" s="92">
        <f>VLOOKUP($A23,'Data Vlaue (Cr)'!$C:$FB,98)</f>
        <v>0.1085</v>
      </c>
      <c r="N23" s="91">
        <f>VLOOKUP($A23,'Data Vlaue (Cr)'!$C:$FB,79)</f>
        <v>1677</v>
      </c>
      <c r="O23" s="92">
        <f>VLOOKUP($A23,'Data Vlaue (Cr)'!$C:$FB,82)</f>
        <v>-2.58E-2</v>
      </c>
    </row>
    <row r="24" spans="1:15" x14ac:dyDescent="0.25">
      <c r="A24" s="97" t="str">
        <f>'Data Vlaue (Cr)'!C19</f>
        <v>AUROPHARMA</v>
      </c>
      <c r="B24" s="142">
        <f>VLOOKUP(A24,'Data Vlaue (Cr)'!C19:CW233,99,0)</f>
        <v>2653</v>
      </c>
      <c r="C24" s="90">
        <f>VLOOKUP(A24,'Data Vlaue (Cr)'!C19:CY233,101,0)</f>
        <v>25</v>
      </c>
      <c r="D24" s="139">
        <f>VLOOKUP(A24,'Data Vlaue (Cr)'!C19:CZ233,102,0)</f>
        <v>9.2999999999999992E-3</v>
      </c>
      <c r="E24" s="91">
        <f>VLOOKUP($A24,'Data Vlaue (Cr)'!$C:$FB,75)</f>
        <v>2136</v>
      </c>
      <c r="F24" s="91">
        <f>VLOOKUP($A24,'Data Vlaue (Cr)'!$C:$FB,77)</f>
        <v>1</v>
      </c>
      <c r="G24" s="92">
        <f>VLOOKUP(A24,'Data Vlaue (Cr)'!C19:CB233,78,0)</f>
        <v>5.9999999999999995E-4</v>
      </c>
      <c r="H24" s="91">
        <f>VLOOKUP($A24,'Data Vlaue (Cr)'!$C:$FB,91)</f>
        <v>270</v>
      </c>
      <c r="I24" s="91">
        <f>VLOOKUP($A24,'Data Vlaue (Cr)'!$C:$FB,93)</f>
        <v>18</v>
      </c>
      <c r="J24" s="92">
        <f>VLOOKUP($A24,'Data Vlaue (Cr)'!$C:$FB,94)</f>
        <v>7.2400000000000006E-2</v>
      </c>
      <c r="K24" s="91">
        <f>VLOOKUP($A24,'Data Vlaue (Cr)'!$C:$FB,95)</f>
        <v>246</v>
      </c>
      <c r="L24" s="91">
        <f>VLOOKUP($A24,'Data Vlaue (Cr)'!$C:$FB,97)</f>
        <v>5</v>
      </c>
      <c r="M24" s="92">
        <f>VLOOKUP($A24,'Data Vlaue (Cr)'!$C:$FB,98)</f>
        <v>2.0400000000000001E-2</v>
      </c>
      <c r="N24" s="91">
        <f>VLOOKUP($A24,'Data Vlaue (Cr)'!$C:$FB,79)</f>
        <v>2114</v>
      </c>
      <c r="O24" s="92">
        <f>VLOOKUP($A24,'Data Vlaue (Cr)'!$C:$FB,82)</f>
        <v>0</v>
      </c>
    </row>
    <row r="25" spans="1:15" x14ac:dyDescent="0.25">
      <c r="A25" s="97" t="str">
        <f>'Data Vlaue (Cr)'!C20</f>
        <v>AXISBANK</v>
      </c>
      <c r="B25" s="142">
        <f>VLOOKUP(A25,'Data Vlaue (Cr)'!C20:CW234,99,0)</f>
        <v>14565</v>
      </c>
      <c r="C25" s="90">
        <f>VLOOKUP(A25,'Data Vlaue (Cr)'!C20:CY234,101,0)</f>
        <v>-94</v>
      </c>
      <c r="D25" s="139">
        <f>VLOOKUP(A25,'Data Vlaue (Cr)'!C20:CZ234,102,0)</f>
        <v>-6.4000000000000003E-3</v>
      </c>
      <c r="E25" s="91">
        <f>VLOOKUP($A25,'Data Vlaue (Cr)'!$C:$FB,75)</f>
        <v>10356</v>
      </c>
      <c r="F25" s="91">
        <f>VLOOKUP($A25,'Data Vlaue (Cr)'!$C:$FB,77)</f>
        <v>-400</v>
      </c>
      <c r="G25" s="92">
        <f>VLOOKUP(A25,'Data Vlaue (Cr)'!C20:CB234,78,0)</f>
        <v>-3.7199999999999997E-2</v>
      </c>
      <c r="H25" s="91">
        <f>VLOOKUP($A25,'Data Vlaue (Cr)'!$C:$FB,91)</f>
        <v>2772</v>
      </c>
      <c r="I25" s="91">
        <f>VLOOKUP($A25,'Data Vlaue (Cr)'!$C:$FB,93)</f>
        <v>44</v>
      </c>
      <c r="J25" s="92">
        <f>VLOOKUP($A25,'Data Vlaue (Cr)'!$C:$FB,94)</f>
        <v>1.6E-2</v>
      </c>
      <c r="K25" s="91">
        <f>VLOOKUP($A25,'Data Vlaue (Cr)'!$C:$FB,95)</f>
        <v>1437</v>
      </c>
      <c r="L25" s="91">
        <f>VLOOKUP($A25,'Data Vlaue (Cr)'!$C:$FB,97)</f>
        <v>261</v>
      </c>
      <c r="M25" s="92">
        <f>VLOOKUP($A25,'Data Vlaue (Cr)'!$C:$FB,98)</f>
        <v>0.22239999999999999</v>
      </c>
      <c r="N25" s="91">
        <f>VLOOKUP($A25,'Data Vlaue (Cr)'!$C:$FB,79)</f>
        <v>10210</v>
      </c>
      <c r="O25" s="92">
        <f>VLOOKUP($A25,'Data Vlaue (Cr)'!$C:$FB,82)</f>
        <v>-3.9600000000000003E-2</v>
      </c>
    </row>
    <row r="26" spans="1:15" x14ac:dyDescent="0.25">
      <c r="A26" s="97" t="str">
        <f>'Data Vlaue (Cr)'!C21</f>
        <v>BAJAJ-AUTO</v>
      </c>
      <c r="B26" s="142">
        <f>VLOOKUP(A26,'Data Vlaue (Cr)'!C21:CW235,99,0)</f>
        <v>4992</v>
      </c>
      <c r="C26" s="90">
        <f>VLOOKUP(A26,'Data Vlaue (Cr)'!C21:CY235,101,0)</f>
        <v>-76</v>
      </c>
      <c r="D26" s="139">
        <f>VLOOKUP(A26,'Data Vlaue (Cr)'!C21:CZ235,102,0)</f>
        <v>-1.5100000000000001E-2</v>
      </c>
      <c r="E26" s="91">
        <f>VLOOKUP($A26,'Data Vlaue (Cr)'!$C:$FB,75)</f>
        <v>2818</v>
      </c>
      <c r="F26" s="91">
        <f>VLOOKUP($A26,'Data Vlaue (Cr)'!$C:$FB,77)</f>
        <v>-87</v>
      </c>
      <c r="G26" s="92">
        <f>VLOOKUP(A26,'Data Vlaue (Cr)'!C21:CB235,78,0)</f>
        <v>-2.9899999999999999E-2</v>
      </c>
      <c r="H26" s="91">
        <f>VLOOKUP($A26,'Data Vlaue (Cr)'!$C:$FB,91)</f>
        <v>1376</v>
      </c>
      <c r="I26" s="91">
        <f>VLOOKUP($A26,'Data Vlaue (Cr)'!$C:$FB,93)</f>
        <v>-22</v>
      </c>
      <c r="J26" s="92">
        <f>VLOOKUP($A26,'Data Vlaue (Cr)'!$C:$FB,94)</f>
        <v>-1.5599999999999999E-2</v>
      </c>
      <c r="K26" s="91">
        <f>VLOOKUP($A26,'Data Vlaue (Cr)'!$C:$FB,95)</f>
        <v>797</v>
      </c>
      <c r="L26" s="91">
        <f>VLOOKUP($A26,'Data Vlaue (Cr)'!$C:$FB,97)</f>
        <v>32</v>
      </c>
      <c r="M26" s="92">
        <f>VLOOKUP($A26,'Data Vlaue (Cr)'!$C:$FB,98)</f>
        <v>4.2099999999999999E-2</v>
      </c>
      <c r="N26" s="91">
        <f>VLOOKUP($A26,'Data Vlaue (Cr)'!$C:$FB,79)</f>
        <v>2755</v>
      </c>
      <c r="O26" s="92">
        <f>VLOOKUP($A26,'Data Vlaue (Cr)'!$C:$FB,82)</f>
        <v>-3.09E-2</v>
      </c>
    </row>
    <row r="27" spans="1:15" x14ac:dyDescent="0.25">
      <c r="A27" s="97" t="str">
        <f>'Data Vlaue (Cr)'!C22</f>
        <v>BAJAJFINSV</v>
      </c>
      <c r="B27" s="142">
        <f>VLOOKUP(A27,'Data Vlaue (Cr)'!C22:CW236,99,0)</f>
        <v>4798</v>
      </c>
      <c r="C27" s="90">
        <f>VLOOKUP(A27,'Data Vlaue (Cr)'!C22:CY236,101,0)</f>
        <v>178</v>
      </c>
      <c r="D27" s="139">
        <f>VLOOKUP(A27,'Data Vlaue (Cr)'!C22:CZ236,102,0)</f>
        <v>3.85E-2</v>
      </c>
      <c r="E27" s="91">
        <f>VLOOKUP($A27,'Data Vlaue (Cr)'!$C:$FB,75)</f>
        <v>3560</v>
      </c>
      <c r="F27" s="91">
        <f>VLOOKUP($A27,'Data Vlaue (Cr)'!$C:$FB,77)</f>
        <v>-6</v>
      </c>
      <c r="G27" s="92">
        <f>VLOOKUP(A27,'Data Vlaue (Cr)'!C22:CB236,78,0)</f>
        <v>-1.6999999999999999E-3</v>
      </c>
      <c r="H27" s="91">
        <f>VLOOKUP($A27,'Data Vlaue (Cr)'!$C:$FB,91)</f>
        <v>713</v>
      </c>
      <c r="I27" s="91">
        <f>VLOOKUP($A27,'Data Vlaue (Cr)'!$C:$FB,93)</f>
        <v>98</v>
      </c>
      <c r="J27" s="92">
        <f>VLOOKUP($A27,'Data Vlaue (Cr)'!$C:$FB,94)</f>
        <v>0.15939999999999999</v>
      </c>
      <c r="K27" s="91">
        <f>VLOOKUP($A27,'Data Vlaue (Cr)'!$C:$FB,95)</f>
        <v>525</v>
      </c>
      <c r="L27" s="91">
        <f>VLOOKUP($A27,'Data Vlaue (Cr)'!$C:$FB,97)</f>
        <v>86</v>
      </c>
      <c r="M27" s="92">
        <f>VLOOKUP($A27,'Data Vlaue (Cr)'!$C:$FB,98)</f>
        <v>0.1966</v>
      </c>
      <c r="N27" s="91">
        <f>VLOOKUP($A27,'Data Vlaue (Cr)'!$C:$FB,79)</f>
        <v>3528</v>
      </c>
      <c r="O27" s="92">
        <f>VLOOKUP($A27,'Data Vlaue (Cr)'!$C:$FB,82)</f>
        <v>-2.5000000000000001E-3</v>
      </c>
    </row>
    <row r="28" spans="1:15" x14ac:dyDescent="0.25">
      <c r="A28" s="97" t="str">
        <f>'Data Vlaue (Cr)'!C23</f>
        <v>BAJFINANCE</v>
      </c>
      <c r="B28" s="142">
        <f>VLOOKUP(A28,'Data Vlaue (Cr)'!C23:CW237,99,0)</f>
        <v>12233</v>
      </c>
      <c r="C28" s="90">
        <f>VLOOKUP(A28,'Data Vlaue (Cr)'!C23:CY237,101,0)</f>
        <v>538</v>
      </c>
      <c r="D28" s="139">
        <f>VLOOKUP(A28,'Data Vlaue (Cr)'!C23:CZ237,102,0)</f>
        <v>4.5999999999999999E-2</v>
      </c>
      <c r="E28" s="91">
        <f>VLOOKUP($A28,'Data Vlaue (Cr)'!$C:$FB,75)</f>
        <v>9233</v>
      </c>
      <c r="F28" s="91">
        <f>VLOOKUP($A28,'Data Vlaue (Cr)'!$C:$FB,77)</f>
        <v>92</v>
      </c>
      <c r="G28" s="92">
        <f>VLOOKUP(A28,'Data Vlaue (Cr)'!C23:CB237,78,0)</f>
        <v>1.01E-2</v>
      </c>
      <c r="H28" s="91">
        <f>VLOOKUP($A28,'Data Vlaue (Cr)'!$C:$FB,91)</f>
        <v>1827</v>
      </c>
      <c r="I28" s="91">
        <f>VLOOKUP($A28,'Data Vlaue (Cr)'!$C:$FB,93)</f>
        <v>340</v>
      </c>
      <c r="J28" s="92">
        <f>VLOOKUP($A28,'Data Vlaue (Cr)'!$C:$FB,94)</f>
        <v>0.22889999999999999</v>
      </c>
      <c r="K28" s="91">
        <f>VLOOKUP($A28,'Data Vlaue (Cr)'!$C:$FB,95)</f>
        <v>1173</v>
      </c>
      <c r="L28" s="91">
        <f>VLOOKUP($A28,'Data Vlaue (Cr)'!$C:$FB,97)</f>
        <v>105</v>
      </c>
      <c r="M28" s="92">
        <f>VLOOKUP($A28,'Data Vlaue (Cr)'!$C:$FB,98)</f>
        <v>9.8400000000000001E-2</v>
      </c>
      <c r="N28" s="91">
        <f>VLOOKUP($A28,'Data Vlaue (Cr)'!$C:$FB,79)</f>
        <v>9134</v>
      </c>
      <c r="O28" s="92">
        <f>VLOOKUP($A28,'Data Vlaue (Cr)'!$C:$FB,82)</f>
        <v>9.7000000000000003E-3</v>
      </c>
    </row>
    <row r="29" spans="1:15" x14ac:dyDescent="0.25">
      <c r="A29" s="97" t="str">
        <f>'Data Vlaue (Cr)'!C24</f>
        <v>BANDHANBNK</v>
      </c>
      <c r="B29" s="142">
        <f>VLOOKUP(A29,'Data Vlaue (Cr)'!C24:CW238,99,0)</f>
        <v>2363</v>
      </c>
      <c r="C29" s="90">
        <f>VLOOKUP(A29,'Data Vlaue (Cr)'!C24:CY238,101,0)</f>
        <v>56</v>
      </c>
      <c r="D29" s="139">
        <f>VLOOKUP(A29,'Data Vlaue (Cr)'!C24:CZ238,102,0)</f>
        <v>2.4299999999999999E-2</v>
      </c>
      <c r="E29" s="91">
        <f>VLOOKUP($A29,'Data Vlaue (Cr)'!$C:$FB,75)</f>
        <v>1578</v>
      </c>
      <c r="F29" s="91">
        <f>VLOOKUP($A29,'Data Vlaue (Cr)'!$C:$FB,77)</f>
        <v>18</v>
      </c>
      <c r="G29" s="92">
        <f>VLOOKUP(A29,'Data Vlaue (Cr)'!C24:CB238,78,0)</f>
        <v>1.17E-2</v>
      </c>
      <c r="H29" s="91">
        <f>VLOOKUP($A29,'Data Vlaue (Cr)'!$C:$FB,91)</f>
        <v>417</v>
      </c>
      <c r="I29" s="91">
        <f>VLOOKUP($A29,'Data Vlaue (Cr)'!$C:$FB,93)</f>
        <v>25</v>
      </c>
      <c r="J29" s="92">
        <f>VLOOKUP($A29,'Data Vlaue (Cr)'!$C:$FB,94)</f>
        <v>6.3899999999999998E-2</v>
      </c>
      <c r="K29" s="91">
        <f>VLOOKUP($A29,'Data Vlaue (Cr)'!$C:$FB,95)</f>
        <v>368</v>
      </c>
      <c r="L29" s="91">
        <f>VLOOKUP($A29,'Data Vlaue (Cr)'!$C:$FB,97)</f>
        <v>13</v>
      </c>
      <c r="M29" s="92">
        <f>VLOOKUP($A29,'Data Vlaue (Cr)'!$C:$FB,98)</f>
        <v>3.5900000000000001E-2</v>
      </c>
      <c r="N29" s="91">
        <f>VLOOKUP($A29,'Data Vlaue (Cr)'!$C:$FB,79)</f>
        <v>1498</v>
      </c>
      <c r="O29" s="92">
        <f>VLOOKUP($A29,'Data Vlaue (Cr)'!$C:$FB,82)</f>
        <v>9.1999999999999998E-3</v>
      </c>
    </row>
    <row r="30" spans="1:15" x14ac:dyDescent="0.25">
      <c r="A30" s="97" t="str">
        <f>'Data Vlaue (Cr)'!C25</f>
        <v>BANKBARODA</v>
      </c>
      <c r="B30" s="142">
        <f>VLOOKUP(A30,'Data Vlaue (Cr)'!C25:CW239,99,0)</f>
        <v>5178</v>
      </c>
      <c r="C30" s="90">
        <f>VLOOKUP(A30,'Data Vlaue (Cr)'!C25:CY239,101,0)</f>
        <v>108</v>
      </c>
      <c r="D30" s="139">
        <f>VLOOKUP(A30,'Data Vlaue (Cr)'!C25:CZ239,102,0)</f>
        <v>2.1299999999999999E-2</v>
      </c>
      <c r="E30" s="91">
        <f>VLOOKUP($A30,'Data Vlaue (Cr)'!$C:$FB,75)</f>
        <v>3512</v>
      </c>
      <c r="F30" s="91">
        <f>VLOOKUP($A30,'Data Vlaue (Cr)'!$C:$FB,77)</f>
        <v>-19</v>
      </c>
      <c r="G30" s="92">
        <f>VLOOKUP(A30,'Data Vlaue (Cr)'!C25:CB239,78,0)</f>
        <v>-5.3E-3</v>
      </c>
      <c r="H30" s="91">
        <f>VLOOKUP($A30,'Data Vlaue (Cr)'!$C:$FB,91)</f>
        <v>865</v>
      </c>
      <c r="I30" s="91">
        <f>VLOOKUP($A30,'Data Vlaue (Cr)'!$C:$FB,93)</f>
        <v>92</v>
      </c>
      <c r="J30" s="92">
        <f>VLOOKUP($A30,'Data Vlaue (Cr)'!$C:$FB,94)</f>
        <v>0.1186</v>
      </c>
      <c r="K30" s="91">
        <f>VLOOKUP($A30,'Data Vlaue (Cr)'!$C:$FB,95)</f>
        <v>800</v>
      </c>
      <c r="L30" s="91">
        <f>VLOOKUP($A30,'Data Vlaue (Cr)'!$C:$FB,97)</f>
        <v>35</v>
      </c>
      <c r="M30" s="92">
        <f>VLOOKUP($A30,'Data Vlaue (Cr)'!$C:$FB,98)</f>
        <v>4.5199999999999997E-2</v>
      </c>
      <c r="N30" s="91">
        <f>VLOOKUP($A30,'Data Vlaue (Cr)'!$C:$FB,79)</f>
        <v>3455</v>
      </c>
      <c r="O30" s="92">
        <f>VLOOKUP($A30,'Data Vlaue (Cr)'!$C:$FB,82)</f>
        <v>-5.8999999999999999E-3</v>
      </c>
    </row>
    <row r="31" spans="1:15" x14ac:dyDescent="0.25">
      <c r="A31" s="97" t="str">
        <f>'Data Vlaue (Cr)'!C26</f>
        <v>BANKINDIA</v>
      </c>
      <c r="B31" s="142">
        <f>VLOOKUP(A31,'Data Vlaue (Cr)'!C26:CW240,99,0)</f>
        <v>1271</v>
      </c>
      <c r="C31" s="90">
        <f>VLOOKUP(A31,'Data Vlaue (Cr)'!C26:CY240,101,0)</f>
        <v>11</v>
      </c>
      <c r="D31" s="139">
        <f>VLOOKUP(A31,'Data Vlaue (Cr)'!C26:CZ240,102,0)</f>
        <v>8.3999999999999995E-3</v>
      </c>
      <c r="E31" s="91">
        <f>VLOOKUP($A31,'Data Vlaue (Cr)'!$C:$FB,75)</f>
        <v>866</v>
      </c>
      <c r="F31" s="91">
        <f>VLOOKUP($A31,'Data Vlaue (Cr)'!$C:$FB,77)</f>
        <v>3</v>
      </c>
      <c r="G31" s="92">
        <f>VLOOKUP(A31,'Data Vlaue (Cr)'!C26:CB240,78,0)</f>
        <v>3.5999999999999999E-3</v>
      </c>
      <c r="H31" s="91">
        <f>VLOOKUP($A31,'Data Vlaue (Cr)'!$C:$FB,91)</f>
        <v>234</v>
      </c>
      <c r="I31" s="91">
        <f>VLOOKUP($A31,'Data Vlaue (Cr)'!$C:$FB,93)</f>
        <v>4</v>
      </c>
      <c r="J31" s="92">
        <f>VLOOKUP($A31,'Data Vlaue (Cr)'!$C:$FB,94)</f>
        <v>1.8700000000000001E-2</v>
      </c>
      <c r="K31" s="91">
        <f>VLOOKUP($A31,'Data Vlaue (Cr)'!$C:$FB,95)</f>
        <v>171</v>
      </c>
      <c r="L31" s="91">
        <f>VLOOKUP($A31,'Data Vlaue (Cr)'!$C:$FB,97)</f>
        <v>3</v>
      </c>
      <c r="M31" s="92">
        <f>VLOOKUP($A31,'Data Vlaue (Cr)'!$C:$FB,98)</f>
        <v>1.9300000000000001E-2</v>
      </c>
      <c r="N31" s="91">
        <f>VLOOKUP($A31,'Data Vlaue (Cr)'!$C:$FB,79)</f>
        <v>837</v>
      </c>
      <c r="O31" s="92">
        <f>VLOOKUP($A31,'Data Vlaue (Cr)'!$C:$FB,82)</f>
        <v>3.0999999999999999E-3</v>
      </c>
    </row>
    <row r="32" spans="1:15" x14ac:dyDescent="0.25">
      <c r="A32" s="97" t="str">
        <f>'Data Vlaue (Cr)'!C27</f>
        <v>BANKNIFTY</v>
      </c>
      <c r="B32" s="142">
        <f>VLOOKUP(A32,'Data Vlaue (Cr)'!C27:CW241,99,0)</f>
        <v>192966</v>
      </c>
      <c r="C32" s="90">
        <f>VLOOKUP(A32,'Data Vlaue (Cr)'!C27:CY241,101,0)</f>
        <v>13428</v>
      </c>
      <c r="D32" s="139">
        <f>VLOOKUP(A32,'Data Vlaue (Cr)'!C27:CZ241,102,0)</f>
        <v>7.4800000000000005E-2</v>
      </c>
      <c r="E32" s="91">
        <f>VLOOKUP($A32,'Data Vlaue (Cr)'!$C:$FB,75)</f>
        <v>11479</v>
      </c>
      <c r="F32" s="91">
        <f>VLOOKUP($A32,'Data Vlaue (Cr)'!$C:$FB,77)</f>
        <v>-395</v>
      </c>
      <c r="G32" s="92">
        <f>VLOOKUP(A32,'Data Vlaue (Cr)'!C27:CB241,78,0)</f>
        <v>-3.3300000000000003E-2</v>
      </c>
      <c r="H32" s="91">
        <f>VLOOKUP($A32,'Data Vlaue (Cr)'!$C:$FB,91)</f>
        <v>85240</v>
      </c>
      <c r="I32" s="91">
        <f>VLOOKUP($A32,'Data Vlaue (Cr)'!$C:$FB,93)</f>
        <v>7344</v>
      </c>
      <c r="J32" s="92">
        <f>VLOOKUP($A32,'Data Vlaue (Cr)'!$C:$FB,94)</f>
        <v>9.4299999999999995E-2</v>
      </c>
      <c r="K32" s="91">
        <f>VLOOKUP($A32,'Data Vlaue (Cr)'!$C:$FB,95)</f>
        <v>96247</v>
      </c>
      <c r="L32" s="91">
        <f>VLOOKUP($A32,'Data Vlaue (Cr)'!$C:$FB,97)</f>
        <v>6479</v>
      </c>
      <c r="M32" s="92">
        <f>VLOOKUP($A32,'Data Vlaue (Cr)'!$C:$FB,98)</f>
        <v>7.22E-2</v>
      </c>
      <c r="N32" s="91">
        <f>VLOOKUP($A32,'Data Vlaue (Cr)'!$C:$FB,79)</f>
        <v>10411</v>
      </c>
      <c r="O32" s="92">
        <f>VLOOKUP($A32,'Data Vlaue (Cr)'!$C:$FB,82)</f>
        <v>-3.5400000000000001E-2</v>
      </c>
    </row>
    <row r="33" spans="1:15" x14ac:dyDescent="0.25">
      <c r="A33" s="97" t="str">
        <f>'Data Vlaue (Cr)'!C28</f>
        <v>BDL</v>
      </c>
      <c r="B33" s="142">
        <f>VLOOKUP(A33,'Data Vlaue (Cr)'!C28:CW242,99,0)</f>
        <v>1340</v>
      </c>
      <c r="C33" s="90">
        <f>VLOOKUP(A33,'Data Vlaue (Cr)'!C28:CY242,101,0)</f>
        <v>63</v>
      </c>
      <c r="D33" s="139">
        <f>VLOOKUP(A33,'Data Vlaue (Cr)'!C28:CZ242,102,0)</f>
        <v>4.9299999999999997E-2</v>
      </c>
      <c r="E33" s="91">
        <f>VLOOKUP($A33,'Data Vlaue (Cr)'!$C:$FB,75)</f>
        <v>698</v>
      </c>
      <c r="F33" s="91">
        <f>VLOOKUP($A33,'Data Vlaue (Cr)'!$C:$FB,77)</f>
        <v>18</v>
      </c>
      <c r="G33" s="92">
        <f>VLOOKUP(A33,'Data Vlaue (Cr)'!C28:CB242,78,0)</f>
        <v>2.5899999999999999E-2</v>
      </c>
      <c r="H33" s="91">
        <f>VLOOKUP($A33,'Data Vlaue (Cr)'!$C:$FB,91)</f>
        <v>388</v>
      </c>
      <c r="I33" s="91">
        <f>VLOOKUP($A33,'Data Vlaue (Cr)'!$C:$FB,93)</f>
        <v>45</v>
      </c>
      <c r="J33" s="92">
        <f>VLOOKUP($A33,'Data Vlaue (Cr)'!$C:$FB,94)</f>
        <v>0.13250000000000001</v>
      </c>
      <c r="K33" s="91">
        <f>VLOOKUP($A33,'Data Vlaue (Cr)'!$C:$FB,95)</f>
        <v>254</v>
      </c>
      <c r="L33" s="91">
        <f>VLOOKUP($A33,'Data Vlaue (Cr)'!$C:$FB,97)</f>
        <v>0</v>
      </c>
      <c r="M33" s="92">
        <f>VLOOKUP($A33,'Data Vlaue (Cr)'!$C:$FB,98)</f>
        <v>-2.0000000000000001E-4</v>
      </c>
      <c r="N33" s="91">
        <f>VLOOKUP($A33,'Data Vlaue (Cr)'!$C:$FB,79)</f>
        <v>671</v>
      </c>
      <c r="O33" s="92">
        <f>VLOOKUP($A33,'Data Vlaue (Cr)'!$C:$FB,82)</f>
        <v>2.47E-2</v>
      </c>
    </row>
    <row r="34" spans="1:15" x14ac:dyDescent="0.25">
      <c r="A34" s="97" t="str">
        <f>'Data Vlaue (Cr)'!C29</f>
        <v>BEL</v>
      </c>
      <c r="B34" s="142">
        <f>VLOOKUP(A34,'Data Vlaue (Cr)'!C29:CW243,99,0)</f>
        <v>7956</v>
      </c>
      <c r="C34" s="90">
        <f>VLOOKUP(A34,'Data Vlaue (Cr)'!C29:CY243,101,0)</f>
        <v>198</v>
      </c>
      <c r="D34" s="139">
        <f>VLOOKUP(A34,'Data Vlaue (Cr)'!C29:CZ243,102,0)</f>
        <v>2.5600000000000001E-2</v>
      </c>
      <c r="E34" s="91">
        <f>VLOOKUP($A34,'Data Vlaue (Cr)'!$C:$FB,75)</f>
        <v>4414</v>
      </c>
      <c r="F34" s="91">
        <f>VLOOKUP($A34,'Data Vlaue (Cr)'!$C:$FB,77)</f>
        <v>-9</v>
      </c>
      <c r="G34" s="92">
        <f>VLOOKUP(A34,'Data Vlaue (Cr)'!C29:CB243,78,0)</f>
        <v>-2.0999999999999999E-3</v>
      </c>
      <c r="H34" s="91">
        <f>VLOOKUP($A34,'Data Vlaue (Cr)'!$C:$FB,91)</f>
        <v>2071</v>
      </c>
      <c r="I34" s="91">
        <f>VLOOKUP($A34,'Data Vlaue (Cr)'!$C:$FB,93)</f>
        <v>111</v>
      </c>
      <c r="J34" s="92">
        <f>VLOOKUP($A34,'Data Vlaue (Cr)'!$C:$FB,94)</f>
        <v>5.67E-2</v>
      </c>
      <c r="K34" s="91">
        <f>VLOOKUP($A34,'Data Vlaue (Cr)'!$C:$FB,95)</f>
        <v>1471</v>
      </c>
      <c r="L34" s="91">
        <f>VLOOKUP($A34,'Data Vlaue (Cr)'!$C:$FB,97)</f>
        <v>97</v>
      </c>
      <c r="M34" s="92">
        <f>VLOOKUP($A34,'Data Vlaue (Cr)'!$C:$FB,98)</f>
        <v>7.0199999999999999E-2</v>
      </c>
      <c r="N34" s="91">
        <f>VLOOKUP($A34,'Data Vlaue (Cr)'!$C:$FB,79)</f>
        <v>4211</v>
      </c>
      <c r="O34" s="92">
        <f>VLOOKUP($A34,'Data Vlaue (Cr)'!$C:$FB,82)</f>
        <v>-6.1999999999999998E-3</v>
      </c>
    </row>
    <row r="35" spans="1:15" x14ac:dyDescent="0.25">
      <c r="A35" s="97" t="str">
        <f>'Data Vlaue (Cr)'!C30</f>
        <v>BHARATFORG</v>
      </c>
      <c r="B35" s="142">
        <f>VLOOKUP(A35,'Data Vlaue (Cr)'!C30:CW244,99,0)</f>
        <v>1783</v>
      </c>
      <c r="C35" s="90">
        <f>VLOOKUP(A35,'Data Vlaue (Cr)'!C30:CY244,101,0)</f>
        <v>75</v>
      </c>
      <c r="D35" s="139">
        <f>VLOOKUP(A35,'Data Vlaue (Cr)'!C30:CZ244,102,0)</f>
        <v>4.3799999999999999E-2</v>
      </c>
      <c r="E35" s="91">
        <f>VLOOKUP($A35,'Data Vlaue (Cr)'!$C:$FB,75)</f>
        <v>1279</v>
      </c>
      <c r="F35" s="91">
        <f>VLOOKUP($A35,'Data Vlaue (Cr)'!$C:$FB,77)</f>
        <v>28</v>
      </c>
      <c r="G35" s="92">
        <f>VLOOKUP(A35,'Data Vlaue (Cr)'!C30:CB244,78,0)</f>
        <v>2.2499999999999999E-2</v>
      </c>
      <c r="H35" s="91">
        <f>VLOOKUP($A35,'Data Vlaue (Cr)'!$C:$FB,91)</f>
        <v>289</v>
      </c>
      <c r="I35" s="91">
        <f>VLOOKUP($A35,'Data Vlaue (Cr)'!$C:$FB,93)</f>
        <v>33</v>
      </c>
      <c r="J35" s="92">
        <f>VLOOKUP($A35,'Data Vlaue (Cr)'!$C:$FB,94)</f>
        <v>0.1298</v>
      </c>
      <c r="K35" s="91">
        <f>VLOOKUP($A35,'Data Vlaue (Cr)'!$C:$FB,95)</f>
        <v>215</v>
      </c>
      <c r="L35" s="91">
        <f>VLOOKUP($A35,'Data Vlaue (Cr)'!$C:$FB,97)</f>
        <v>14</v>
      </c>
      <c r="M35" s="92">
        <f>VLOOKUP($A35,'Data Vlaue (Cr)'!$C:$FB,98)</f>
        <v>6.7000000000000004E-2</v>
      </c>
      <c r="N35" s="91">
        <f>VLOOKUP($A35,'Data Vlaue (Cr)'!$C:$FB,79)</f>
        <v>1250</v>
      </c>
      <c r="O35" s="92">
        <f>VLOOKUP($A35,'Data Vlaue (Cr)'!$C:$FB,82)</f>
        <v>1.7999999999999999E-2</v>
      </c>
    </row>
    <row r="36" spans="1:15" x14ac:dyDescent="0.25">
      <c r="A36" s="97" t="str">
        <f>'Data Vlaue (Cr)'!C31</f>
        <v>BHARTIARTL</v>
      </c>
      <c r="B36" s="142">
        <f>VLOOKUP(A36,'Data Vlaue (Cr)'!C31:CW245,99,0)</f>
        <v>11882</v>
      </c>
      <c r="C36" s="90">
        <f>VLOOKUP(A36,'Data Vlaue (Cr)'!C31:CY245,101,0)</f>
        <v>29</v>
      </c>
      <c r="D36" s="139">
        <f>VLOOKUP(A36,'Data Vlaue (Cr)'!C31:CZ245,102,0)</f>
        <v>2.3999999999999998E-3</v>
      </c>
      <c r="E36" s="91">
        <f>VLOOKUP($A36,'Data Vlaue (Cr)'!$C:$FB,75)</f>
        <v>9419</v>
      </c>
      <c r="F36" s="91">
        <f>VLOOKUP($A36,'Data Vlaue (Cr)'!$C:$FB,77)</f>
        <v>-32</v>
      </c>
      <c r="G36" s="92">
        <f>VLOOKUP(A36,'Data Vlaue (Cr)'!C31:CB245,78,0)</f>
        <v>-3.3999999999999998E-3</v>
      </c>
      <c r="H36" s="91">
        <f>VLOOKUP($A36,'Data Vlaue (Cr)'!$C:$FB,91)</f>
        <v>1571</v>
      </c>
      <c r="I36" s="91">
        <f>VLOOKUP($A36,'Data Vlaue (Cr)'!$C:$FB,93)</f>
        <v>49</v>
      </c>
      <c r="J36" s="92">
        <f>VLOOKUP($A36,'Data Vlaue (Cr)'!$C:$FB,94)</f>
        <v>3.2000000000000001E-2</v>
      </c>
      <c r="K36" s="91">
        <f>VLOOKUP($A36,'Data Vlaue (Cr)'!$C:$FB,95)</f>
        <v>891</v>
      </c>
      <c r="L36" s="91">
        <f>VLOOKUP($A36,'Data Vlaue (Cr)'!$C:$FB,97)</f>
        <v>12</v>
      </c>
      <c r="M36" s="92">
        <f>VLOOKUP($A36,'Data Vlaue (Cr)'!$C:$FB,98)</f>
        <v>1.35E-2</v>
      </c>
      <c r="N36" s="91">
        <f>VLOOKUP($A36,'Data Vlaue (Cr)'!$C:$FB,79)</f>
        <v>9025</v>
      </c>
      <c r="O36" s="92">
        <f>VLOOKUP($A36,'Data Vlaue (Cr)'!$C:$FB,82)</f>
        <v>-3.3E-3</v>
      </c>
    </row>
    <row r="37" spans="1:15" x14ac:dyDescent="0.25">
      <c r="A37" s="97" t="str">
        <f>'Data Vlaue (Cr)'!C32</f>
        <v>BHEL</v>
      </c>
      <c r="B37" s="142">
        <f>VLOOKUP(A37,'Data Vlaue (Cr)'!C32:CW246,99,0)</f>
        <v>2243</v>
      </c>
      <c r="C37" s="90">
        <f>VLOOKUP(A37,'Data Vlaue (Cr)'!C32:CY246,101,0)</f>
        <v>35</v>
      </c>
      <c r="D37" s="139">
        <f>VLOOKUP(A37,'Data Vlaue (Cr)'!C32:CZ246,102,0)</f>
        <v>1.6E-2</v>
      </c>
      <c r="E37" s="91">
        <f>VLOOKUP($A37,'Data Vlaue (Cr)'!$C:$FB,75)</f>
        <v>1449</v>
      </c>
      <c r="F37" s="91">
        <f>VLOOKUP($A37,'Data Vlaue (Cr)'!$C:$FB,77)</f>
        <v>6</v>
      </c>
      <c r="G37" s="92">
        <f>VLOOKUP(A37,'Data Vlaue (Cr)'!C32:CB246,78,0)</f>
        <v>4.3E-3</v>
      </c>
      <c r="H37" s="91">
        <f>VLOOKUP($A37,'Data Vlaue (Cr)'!$C:$FB,91)</f>
        <v>446</v>
      </c>
      <c r="I37" s="91">
        <f>VLOOKUP($A37,'Data Vlaue (Cr)'!$C:$FB,93)</f>
        <v>33</v>
      </c>
      <c r="J37" s="92">
        <f>VLOOKUP($A37,'Data Vlaue (Cr)'!$C:$FB,94)</f>
        <v>7.8600000000000003E-2</v>
      </c>
      <c r="K37" s="91">
        <f>VLOOKUP($A37,'Data Vlaue (Cr)'!$C:$FB,95)</f>
        <v>348</v>
      </c>
      <c r="L37" s="91">
        <f>VLOOKUP($A37,'Data Vlaue (Cr)'!$C:$FB,97)</f>
        <v>-3</v>
      </c>
      <c r="M37" s="92">
        <f>VLOOKUP($A37,'Data Vlaue (Cr)'!$C:$FB,98)</f>
        <v>-9.5999999999999992E-3</v>
      </c>
      <c r="N37" s="91">
        <f>VLOOKUP($A37,'Data Vlaue (Cr)'!$C:$FB,79)</f>
        <v>1412</v>
      </c>
      <c r="O37" s="92">
        <f>VLOOKUP($A37,'Data Vlaue (Cr)'!$C:$FB,82)</f>
        <v>2.8999999999999998E-3</v>
      </c>
    </row>
    <row r="38" spans="1:15" x14ac:dyDescent="0.25">
      <c r="A38" s="97" t="str">
        <f>'Data Vlaue (Cr)'!C33</f>
        <v>BIOCON</v>
      </c>
      <c r="B38" s="142">
        <f>VLOOKUP(A38,'Data Vlaue (Cr)'!C33:CW247,99,0)</f>
        <v>2131</v>
      </c>
      <c r="C38" s="90">
        <f>VLOOKUP(A38,'Data Vlaue (Cr)'!C33:CY247,101,0)</f>
        <v>87</v>
      </c>
      <c r="D38" s="139">
        <f>VLOOKUP(A38,'Data Vlaue (Cr)'!C33:CZ247,102,0)</f>
        <v>4.24E-2</v>
      </c>
      <c r="E38" s="91">
        <f>VLOOKUP($A38,'Data Vlaue (Cr)'!$C:$FB,75)</f>
        <v>1375</v>
      </c>
      <c r="F38" s="91">
        <f>VLOOKUP($A38,'Data Vlaue (Cr)'!$C:$FB,77)</f>
        <v>0</v>
      </c>
      <c r="G38" s="92">
        <f>VLOOKUP(A38,'Data Vlaue (Cr)'!C33:CB247,78,0)</f>
        <v>-2.9999999999999997E-4</v>
      </c>
      <c r="H38" s="91">
        <f>VLOOKUP($A38,'Data Vlaue (Cr)'!$C:$FB,91)</f>
        <v>457</v>
      </c>
      <c r="I38" s="91">
        <f>VLOOKUP($A38,'Data Vlaue (Cr)'!$C:$FB,93)</f>
        <v>81</v>
      </c>
      <c r="J38" s="92">
        <f>VLOOKUP($A38,'Data Vlaue (Cr)'!$C:$FB,94)</f>
        <v>0.2152</v>
      </c>
      <c r="K38" s="91">
        <f>VLOOKUP($A38,'Data Vlaue (Cr)'!$C:$FB,95)</f>
        <v>299</v>
      </c>
      <c r="L38" s="91">
        <f>VLOOKUP($A38,'Data Vlaue (Cr)'!$C:$FB,97)</f>
        <v>6</v>
      </c>
      <c r="M38" s="92">
        <f>VLOOKUP($A38,'Data Vlaue (Cr)'!$C:$FB,98)</f>
        <v>2.0899999999999998E-2</v>
      </c>
      <c r="N38" s="91">
        <f>VLOOKUP($A38,'Data Vlaue (Cr)'!$C:$FB,79)</f>
        <v>1347</v>
      </c>
      <c r="O38" s="92">
        <f>VLOOKUP($A38,'Data Vlaue (Cr)'!$C:$FB,82)</f>
        <v>-4.3E-3</v>
      </c>
    </row>
    <row r="39" spans="1:15" x14ac:dyDescent="0.25">
      <c r="A39" s="97" t="str">
        <f>'Data Vlaue (Cr)'!C34</f>
        <v>BLUESTARCO</v>
      </c>
      <c r="B39" s="142">
        <f>VLOOKUP(A39,'Data Vlaue (Cr)'!C34:CW248,99,0)</f>
        <v>444</v>
      </c>
      <c r="C39" s="90">
        <f>VLOOKUP(A39,'Data Vlaue (Cr)'!C34:CY248,101,0)</f>
        <v>4</v>
      </c>
      <c r="D39" s="139">
        <f>VLOOKUP(A39,'Data Vlaue (Cr)'!C34:CZ248,102,0)</f>
        <v>9.7000000000000003E-3</v>
      </c>
      <c r="E39" s="91">
        <f>VLOOKUP($A39,'Data Vlaue (Cr)'!$C:$FB,75)</f>
        <v>355</v>
      </c>
      <c r="F39" s="91">
        <f>VLOOKUP($A39,'Data Vlaue (Cr)'!$C:$FB,77)</f>
        <v>-3</v>
      </c>
      <c r="G39" s="92">
        <f>VLOOKUP(A39,'Data Vlaue (Cr)'!C34:CB248,78,0)</f>
        <v>-9.1000000000000004E-3</v>
      </c>
      <c r="H39" s="91">
        <f>VLOOKUP($A39,'Data Vlaue (Cr)'!$C:$FB,91)</f>
        <v>47</v>
      </c>
      <c r="I39" s="91">
        <f>VLOOKUP($A39,'Data Vlaue (Cr)'!$C:$FB,93)</f>
        <v>4</v>
      </c>
      <c r="J39" s="92">
        <f>VLOOKUP($A39,'Data Vlaue (Cr)'!$C:$FB,94)</f>
        <v>8.2199999999999995E-2</v>
      </c>
      <c r="K39" s="91">
        <f>VLOOKUP($A39,'Data Vlaue (Cr)'!$C:$FB,95)</f>
        <v>41</v>
      </c>
      <c r="L39" s="91">
        <f>VLOOKUP($A39,'Data Vlaue (Cr)'!$C:$FB,97)</f>
        <v>4</v>
      </c>
      <c r="M39" s="92">
        <f>VLOOKUP($A39,'Data Vlaue (Cr)'!$C:$FB,98)</f>
        <v>0.1061</v>
      </c>
      <c r="N39" s="91">
        <f>VLOOKUP($A39,'Data Vlaue (Cr)'!$C:$FB,79)</f>
        <v>351</v>
      </c>
      <c r="O39" s="92">
        <f>VLOOKUP($A39,'Data Vlaue (Cr)'!$C:$FB,82)</f>
        <v>-9.4000000000000004E-3</v>
      </c>
    </row>
    <row r="40" spans="1:15" x14ac:dyDescent="0.25">
      <c r="A40" s="97" t="str">
        <f>'Data Vlaue (Cr)'!C35</f>
        <v>BOSCHLTD</v>
      </c>
      <c r="B40" s="142">
        <f>VLOOKUP(A40,'Data Vlaue (Cr)'!C35:CW249,99,0)</f>
        <v>1226</v>
      </c>
      <c r="C40" s="90">
        <f>VLOOKUP(A40,'Data Vlaue (Cr)'!C35:CY249,101,0)</f>
        <v>20</v>
      </c>
      <c r="D40" s="139">
        <f>VLOOKUP(A40,'Data Vlaue (Cr)'!C35:CZ249,102,0)</f>
        <v>1.7000000000000001E-2</v>
      </c>
      <c r="E40" s="91">
        <f>VLOOKUP($A40,'Data Vlaue (Cr)'!$C:$FB,75)</f>
        <v>929</v>
      </c>
      <c r="F40" s="91">
        <f>VLOOKUP($A40,'Data Vlaue (Cr)'!$C:$FB,77)</f>
        <v>-7</v>
      </c>
      <c r="G40" s="92">
        <f>VLOOKUP(A40,'Data Vlaue (Cr)'!C35:CB249,78,0)</f>
        <v>-7.1000000000000004E-3</v>
      </c>
      <c r="H40" s="91">
        <f>VLOOKUP($A40,'Data Vlaue (Cr)'!$C:$FB,91)</f>
        <v>177</v>
      </c>
      <c r="I40" s="91">
        <f>VLOOKUP($A40,'Data Vlaue (Cr)'!$C:$FB,93)</f>
        <v>21</v>
      </c>
      <c r="J40" s="92">
        <f>VLOOKUP($A40,'Data Vlaue (Cr)'!$C:$FB,94)</f>
        <v>0.1321</v>
      </c>
      <c r="K40" s="91">
        <f>VLOOKUP($A40,'Data Vlaue (Cr)'!$C:$FB,95)</f>
        <v>119</v>
      </c>
      <c r="L40" s="91">
        <f>VLOOKUP($A40,'Data Vlaue (Cr)'!$C:$FB,97)</f>
        <v>6</v>
      </c>
      <c r="M40" s="92">
        <f>VLOOKUP($A40,'Data Vlaue (Cr)'!$C:$FB,98)</f>
        <v>5.7200000000000001E-2</v>
      </c>
      <c r="N40" s="91">
        <f>VLOOKUP($A40,'Data Vlaue (Cr)'!$C:$FB,79)</f>
        <v>909</v>
      </c>
      <c r="O40" s="92">
        <f>VLOOKUP($A40,'Data Vlaue (Cr)'!$C:$FB,82)</f>
        <v>-8.6E-3</v>
      </c>
    </row>
    <row r="41" spans="1:15" x14ac:dyDescent="0.25">
      <c r="A41" s="97" t="str">
        <f>'Data Vlaue (Cr)'!C36</f>
        <v>BPCL</v>
      </c>
      <c r="B41" s="142">
        <f>VLOOKUP(A41,'Data Vlaue (Cr)'!C36:CW250,99,0)</f>
        <v>2012</v>
      </c>
      <c r="C41" s="90">
        <f>VLOOKUP(A41,'Data Vlaue (Cr)'!C36:CY250,101,0)</f>
        <v>211</v>
      </c>
      <c r="D41" s="139">
        <f>VLOOKUP(A41,'Data Vlaue (Cr)'!C36:CZ250,102,0)</f>
        <v>0.1172</v>
      </c>
      <c r="E41" s="91">
        <f>VLOOKUP($A41,'Data Vlaue (Cr)'!$C:$FB,75)</f>
        <v>1238</v>
      </c>
      <c r="F41" s="91">
        <f>VLOOKUP($A41,'Data Vlaue (Cr)'!$C:$FB,77)</f>
        <v>46</v>
      </c>
      <c r="G41" s="92">
        <f>VLOOKUP(A41,'Data Vlaue (Cr)'!C36:CB250,78,0)</f>
        <v>3.8699999999999998E-2</v>
      </c>
      <c r="H41" s="91">
        <f>VLOOKUP($A41,'Data Vlaue (Cr)'!$C:$FB,91)</f>
        <v>400</v>
      </c>
      <c r="I41" s="91">
        <f>VLOOKUP($A41,'Data Vlaue (Cr)'!$C:$FB,93)</f>
        <v>53</v>
      </c>
      <c r="J41" s="92">
        <f>VLOOKUP($A41,'Data Vlaue (Cr)'!$C:$FB,94)</f>
        <v>0.1537</v>
      </c>
      <c r="K41" s="91">
        <f>VLOOKUP($A41,'Data Vlaue (Cr)'!$C:$FB,95)</f>
        <v>373</v>
      </c>
      <c r="L41" s="91">
        <f>VLOOKUP($A41,'Data Vlaue (Cr)'!$C:$FB,97)</f>
        <v>111</v>
      </c>
      <c r="M41" s="92">
        <f>VLOOKUP($A41,'Data Vlaue (Cr)'!$C:$FB,98)</f>
        <v>0.42680000000000001</v>
      </c>
      <c r="N41" s="91">
        <f>VLOOKUP($A41,'Data Vlaue (Cr)'!$C:$FB,79)</f>
        <v>1221</v>
      </c>
      <c r="O41" s="92">
        <f>VLOOKUP($A41,'Data Vlaue (Cr)'!$C:$FB,82)</f>
        <v>3.5900000000000001E-2</v>
      </c>
    </row>
    <row r="42" spans="1:15" x14ac:dyDescent="0.25">
      <c r="A42" s="97" t="str">
        <f>'Data Vlaue (Cr)'!C37</f>
        <v>BRITANNIA</v>
      </c>
      <c r="B42" s="142">
        <f>VLOOKUP(A42,'Data Vlaue (Cr)'!C37:CW251,99,0)</f>
        <v>2892</v>
      </c>
      <c r="C42" s="90">
        <f>VLOOKUP(A42,'Data Vlaue (Cr)'!C37:CY251,101,0)</f>
        <v>70</v>
      </c>
      <c r="D42" s="139">
        <f>VLOOKUP(A42,'Data Vlaue (Cr)'!C37:CZ251,102,0)</f>
        <v>2.4799999999999999E-2</v>
      </c>
      <c r="E42" s="91">
        <f>VLOOKUP($A42,'Data Vlaue (Cr)'!$C:$FB,75)</f>
        <v>2227</v>
      </c>
      <c r="F42" s="91">
        <f>VLOOKUP($A42,'Data Vlaue (Cr)'!$C:$FB,77)</f>
        <v>-13</v>
      </c>
      <c r="G42" s="92">
        <f>VLOOKUP(A42,'Data Vlaue (Cr)'!C37:CB251,78,0)</f>
        <v>-5.8999999999999999E-3</v>
      </c>
      <c r="H42" s="91">
        <f>VLOOKUP($A42,'Data Vlaue (Cr)'!$C:$FB,91)</f>
        <v>433</v>
      </c>
      <c r="I42" s="91">
        <f>VLOOKUP($A42,'Data Vlaue (Cr)'!$C:$FB,93)</f>
        <v>54</v>
      </c>
      <c r="J42" s="92">
        <f>VLOOKUP($A42,'Data Vlaue (Cr)'!$C:$FB,94)</f>
        <v>0.1416</v>
      </c>
      <c r="K42" s="91">
        <f>VLOOKUP($A42,'Data Vlaue (Cr)'!$C:$FB,95)</f>
        <v>232</v>
      </c>
      <c r="L42" s="91">
        <f>VLOOKUP($A42,'Data Vlaue (Cr)'!$C:$FB,97)</f>
        <v>29</v>
      </c>
      <c r="M42" s="92">
        <f>VLOOKUP($A42,'Data Vlaue (Cr)'!$C:$FB,98)</f>
        <v>0.1454</v>
      </c>
      <c r="N42" s="91">
        <f>VLOOKUP($A42,'Data Vlaue (Cr)'!$C:$FB,79)</f>
        <v>2218</v>
      </c>
      <c r="O42" s="92">
        <f>VLOOKUP($A42,'Data Vlaue (Cr)'!$C:$FB,82)</f>
        <v>-6.1000000000000004E-3</v>
      </c>
    </row>
    <row r="43" spans="1:15" x14ac:dyDescent="0.25">
      <c r="A43" s="97" t="str">
        <f>'Data Vlaue (Cr)'!C38</f>
        <v>BSE</v>
      </c>
      <c r="B43" s="142">
        <f>VLOOKUP(A43,'Data Vlaue (Cr)'!C38:CW252,99,0)</f>
        <v>6303</v>
      </c>
      <c r="C43" s="90">
        <f>VLOOKUP(A43,'Data Vlaue (Cr)'!C38:CY252,101,0)</f>
        <v>161</v>
      </c>
      <c r="D43" s="139">
        <f>VLOOKUP(A43,'Data Vlaue (Cr)'!C38:CZ252,102,0)</f>
        <v>2.63E-2</v>
      </c>
      <c r="E43" s="91">
        <f>VLOOKUP($A43,'Data Vlaue (Cr)'!$C:$FB,75)</f>
        <v>3100</v>
      </c>
      <c r="F43" s="91">
        <f>VLOOKUP($A43,'Data Vlaue (Cr)'!$C:$FB,77)</f>
        <v>-68</v>
      </c>
      <c r="G43" s="92">
        <f>VLOOKUP(A43,'Data Vlaue (Cr)'!C38:CB252,78,0)</f>
        <v>-2.1499999999999998E-2</v>
      </c>
      <c r="H43" s="91">
        <f>VLOOKUP($A43,'Data Vlaue (Cr)'!$C:$FB,91)</f>
        <v>1645</v>
      </c>
      <c r="I43" s="91">
        <f>VLOOKUP($A43,'Data Vlaue (Cr)'!$C:$FB,93)</f>
        <v>88</v>
      </c>
      <c r="J43" s="92">
        <f>VLOOKUP($A43,'Data Vlaue (Cr)'!$C:$FB,94)</f>
        <v>5.6899999999999999E-2</v>
      </c>
      <c r="K43" s="91">
        <f>VLOOKUP($A43,'Data Vlaue (Cr)'!$C:$FB,95)</f>
        <v>1558</v>
      </c>
      <c r="L43" s="91">
        <f>VLOOKUP($A43,'Data Vlaue (Cr)'!$C:$FB,97)</f>
        <v>141</v>
      </c>
      <c r="M43" s="92">
        <f>VLOOKUP($A43,'Data Vlaue (Cr)'!$C:$FB,98)</f>
        <v>9.9599999999999994E-2</v>
      </c>
      <c r="N43" s="91">
        <f>VLOOKUP($A43,'Data Vlaue (Cr)'!$C:$FB,79)</f>
        <v>2903</v>
      </c>
      <c r="O43" s="92">
        <f>VLOOKUP($A43,'Data Vlaue (Cr)'!$C:$FB,82)</f>
        <v>-2.53E-2</v>
      </c>
    </row>
    <row r="44" spans="1:15" x14ac:dyDescent="0.25">
      <c r="A44" s="97" t="str">
        <f>'Data Vlaue (Cr)'!C39</f>
        <v>CAMS</v>
      </c>
      <c r="B44" s="142">
        <f>VLOOKUP(A44,'Data Vlaue (Cr)'!C39:CW253,99,0)</f>
        <v>1142</v>
      </c>
      <c r="C44" s="90">
        <f>VLOOKUP(A44,'Data Vlaue (Cr)'!C39:CY253,101,0)</f>
        <v>61</v>
      </c>
      <c r="D44" s="139">
        <f>VLOOKUP(A44,'Data Vlaue (Cr)'!C39:CZ253,102,0)</f>
        <v>5.62E-2</v>
      </c>
      <c r="E44" s="91">
        <f>VLOOKUP($A44,'Data Vlaue (Cr)'!$C:$FB,75)</f>
        <v>777</v>
      </c>
      <c r="F44" s="91">
        <f>VLOOKUP($A44,'Data Vlaue (Cr)'!$C:$FB,77)</f>
        <v>21</v>
      </c>
      <c r="G44" s="92">
        <f>VLOOKUP(A44,'Data Vlaue (Cr)'!C39:CB253,78,0)</f>
        <v>2.75E-2</v>
      </c>
      <c r="H44" s="91">
        <f>VLOOKUP($A44,'Data Vlaue (Cr)'!$C:$FB,91)</f>
        <v>212</v>
      </c>
      <c r="I44" s="91">
        <f>VLOOKUP($A44,'Data Vlaue (Cr)'!$C:$FB,93)</f>
        <v>19</v>
      </c>
      <c r="J44" s="92">
        <f>VLOOKUP($A44,'Data Vlaue (Cr)'!$C:$FB,94)</f>
        <v>9.74E-2</v>
      </c>
      <c r="K44" s="91">
        <f>VLOOKUP($A44,'Data Vlaue (Cr)'!$C:$FB,95)</f>
        <v>153</v>
      </c>
      <c r="L44" s="91">
        <f>VLOOKUP($A44,'Data Vlaue (Cr)'!$C:$FB,97)</f>
        <v>21</v>
      </c>
      <c r="M44" s="92">
        <f>VLOOKUP($A44,'Data Vlaue (Cr)'!$C:$FB,98)</f>
        <v>0.1605</v>
      </c>
      <c r="N44" s="91">
        <f>VLOOKUP($A44,'Data Vlaue (Cr)'!$C:$FB,79)</f>
        <v>748</v>
      </c>
      <c r="O44" s="92">
        <f>VLOOKUP($A44,'Data Vlaue (Cr)'!$C:$FB,82)</f>
        <v>2.7699999999999999E-2</v>
      </c>
    </row>
    <row r="45" spans="1:15" x14ac:dyDescent="0.25">
      <c r="A45" s="97" t="str">
        <f>'Data Vlaue (Cr)'!C40</f>
        <v>CANBK</v>
      </c>
      <c r="B45" s="142">
        <f>VLOOKUP(A45,'Data Vlaue (Cr)'!C40:CW254,99,0)</f>
        <v>5264</v>
      </c>
      <c r="C45" s="90">
        <f>VLOOKUP(A45,'Data Vlaue (Cr)'!C40:CY254,101,0)</f>
        <v>154</v>
      </c>
      <c r="D45" s="139">
        <f>VLOOKUP(A45,'Data Vlaue (Cr)'!C40:CZ254,102,0)</f>
        <v>3.0099999999999998E-2</v>
      </c>
      <c r="E45" s="91">
        <f>VLOOKUP($A45,'Data Vlaue (Cr)'!$C:$FB,75)</f>
        <v>3489</v>
      </c>
      <c r="F45" s="91">
        <f>VLOOKUP($A45,'Data Vlaue (Cr)'!$C:$FB,77)</f>
        <v>49</v>
      </c>
      <c r="G45" s="92">
        <f>VLOOKUP(A45,'Data Vlaue (Cr)'!C40:CB254,78,0)</f>
        <v>1.44E-2</v>
      </c>
      <c r="H45" s="91">
        <f>VLOOKUP($A45,'Data Vlaue (Cr)'!$C:$FB,91)</f>
        <v>915</v>
      </c>
      <c r="I45" s="91">
        <f>VLOOKUP($A45,'Data Vlaue (Cr)'!$C:$FB,93)</f>
        <v>56</v>
      </c>
      <c r="J45" s="92">
        <f>VLOOKUP($A45,'Data Vlaue (Cr)'!$C:$FB,94)</f>
        <v>6.5299999999999997E-2</v>
      </c>
      <c r="K45" s="91">
        <f>VLOOKUP($A45,'Data Vlaue (Cr)'!$C:$FB,95)</f>
        <v>859</v>
      </c>
      <c r="L45" s="91">
        <f>VLOOKUP($A45,'Data Vlaue (Cr)'!$C:$FB,97)</f>
        <v>48</v>
      </c>
      <c r="M45" s="92">
        <f>VLOOKUP($A45,'Data Vlaue (Cr)'!$C:$FB,98)</f>
        <v>5.9299999999999999E-2</v>
      </c>
      <c r="N45" s="91">
        <f>VLOOKUP($A45,'Data Vlaue (Cr)'!$C:$FB,79)</f>
        <v>3414</v>
      </c>
      <c r="O45" s="92">
        <f>VLOOKUP($A45,'Data Vlaue (Cr)'!$C:$FB,82)</f>
        <v>1.3100000000000001E-2</v>
      </c>
    </row>
    <row r="46" spans="1:15" x14ac:dyDescent="0.25">
      <c r="A46" s="97" t="str">
        <f>'Data Vlaue (Cr)'!C41</f>
        <v>CDSL</v>
      </c>
      <c r="B46" s="142">
        <f>VLOOKUP(A46,'Data Vlaue (Cr)'!C41:CW255,99,0)</f>
        <v>2500</v>
      </c>
      <c r="C46" s="90">
        <f>VLOOKUP(A46,'Data Vlaue (Cr)'!C41:CY255,101,0)</f>
        <v>85</v>
      </c>
      <c r="D46" s="139">
        <f>VLOOKUP(A46,'Data Vlaue (Cr)'!C41:CZ255,102,0)</f>
        <v>3.5099999999999999E-2</v>
      </c>
      <c r="E46" s="91">
        <f>VLOOKUP($A46,'Data Vlaue (Cr)'!$C:$FB,75)</f>
        <v>1361</v>
      </c>
      <c r="F46" s="91">
        <f>VLOOKUP($A46,'Data Vlaue (Cr)'!$C:$FB,77)</f>
        <v>15</v>
      </c>
      <c r="G46" s="92">
        <f>VLOOKUP(A46,'Data Vlaue (Cr)'!C41:CB255,78,0)</f>
        <v>1.1299999999999999E-2</v>
      </c>
      <c r="H46" s="91">
        <f>VLOOKUP($A46,'Data Vlaue (Cr)'!$C:$FB,91)</f>
        <v>661</v>
      </c>
      <c r="I46" s="91">
        <f>VLOOKUP($A46,'Data Vlaue (Cr)'!$C:$FB,93)</f>
        <v>44</v>
      </c>
      <c r="J46" s="92">
        <f>VLOOKUP($A46,'Data Vlaue (Cr)'!$C:$FB,94)</f>
        <v>7.1499999999999994E-2</v>
      </c>
      <c r="K46" s="91">
        <f>VLOOKUP($A46,'Data Vlaue (Cr)'!$C:$FB,95)</f>
        <v>479</v>
      </c>
      <c r="L46" s="91">
        <f>VLOOKUP($A46,'Data Vlaue (Cr)'!$C:$FB,97)</f>
        <v>26</v>
      </c>
      <c r="M46" s="92">
        <f>VLOOKUP($A46,'Data Vlaue (Cr)'!$C:$FB,98)</f>
        <v>5.6399999999999999E-2</v>
      </c>
      <c r="N46" s="91">
        <f>VLOOKUP($A46,'Data Vlaue (Cr)'!$C:$FB,79)</f>
        <v>1271</v>
      </c>
      <c r="O46" s="92">
        <f>VLOOKUP($A46,'Data Vlaue (Cr)'!$C:$FB,82)</f>
        <v>6.7000000000000002E-3</v>
      </c>
    </row>
    <row r="47" spans="1:15" x14ac:dyDescent="0.25">
      <c r="A47" s="97" t="str">
        <f>'Data Vlaue (Cr)'!C42</f>
        <v>CGPOWER</v>
      </c>
      <c r="B47" s="142">
        <f>VLOOKUP(A47,'Data Vlaue (Cr)'!C42:CW256,99,0)</f>
        <v>1823</v>
      </c>
      <c r="C47" s="90">
        <f>VLOOKUP(A47,'Data Vlaue (Cr)'!C42:CY256,101,0)</f>
        <v>46</v>
      </c>
      <c r="D47" s="139">
        <f>VLOOKUP(A47,'Data Vlaue (Cr)'!C42:CZ256,102,0)</f>
        <v>2.6100000000000002E-2</v>
      </c>
      <c r="E47" s="91">
        <f>VLOOKUP($A47,'Data Vlaue (Cr)'!$C:$FB,75)</f>
        <v>1312</v>
      </c>
      <c r="F47" s="91">
        <f>VLOOKUP($A47,'Data Vlaue (Cr)'!$C:$FB,77)</f>
        <v>14</v>
      </c>
      <c r="G47" s="92">
        <f>VLOOKUP(A47,'Data Vlaue (Cr)'!C42:CB256,78,0)</f>
        <v>1.12E-2</v>
      </c>
      <c r="H47" s="91">
        <f>VLOOKUP($A47,'Data Vlaue (Cr)'!$C:$FB,91)</f>
        <v>322</v>
      </c>
      <c r="I47" s="91">
        <f>VLOOKUP($A47,'Data Vlaue (Cr)'!$C:$FB,93)</f>
        <v>23</v>
      </c>
      <c r="J47" s="92">
        <f>VLOOKUP($A47,'Data Vlaue (Cr)'!$C:$FB,94)</f>
        <v>7.8E-2</v>
      </c>
      <c r="K47" s="91">
        <f>VLOOKUP($A47,'Data Vlaue (Cr)'!$C:$FB,95)</f>
        <v>189</v>
      </c>
      <c r="L47" s="91">
        <f>VLOOKUP($A47,'Data Vlaue (Cr)'!$C:$FB,97)</f>
        <v>9</v>
      </c>
      <c r="M47" s="92">
        <f>VLOOKUP($A47,'Data Vlaue (Cr)'!$C:$FB,98)</f>
        <v>4.7699999999999999E-2</v>
      </c>
      <c r="N47" s="91">
        <f>VLOOKUP($A47,'Data Vlaue (Cr)'!$C:$FB,79)</f>
        <v>1289</v>
      </c>
      <c r="O47" s="92">
        <f>VLOOKUP($A47,'Data Vlaue (Cr)'!$C:$FB,82)</f>
        <v>1.0200000000000001E-2</v>
      </c>
    </row>
    <row r="48" spans="1:15" x14ac:dyDescent="0.25">
      <c r="A48" s="97" t="str">
        <f>'Data Vlaue (Cr)'!C43</f>
        <v>CHOLAFIN</v>
      </c>
      <c r="B48" s="142">
        <f>VLOOKUP(A48,'Data Vlaue (Cr)'!C43:CW257,99,0)</f>
        <v>2941</v>
      </c>
      <c r="C48" s="90">
        <f>VLOOKUP(A48,'Data Vlaue (Cr)'!C43:CY257,101,0)</f>
        <v>22</v>
      </c>
      <c r="D48" s="139">
        <f>VLOOKUP(A48,'Data Vlaue (Cr)'!C43:CZ257,102,0)</f>
        <v>7.4000000000000003E-3</v>
      </c>
      <c r="E48" s="91">
        <f>VLOOKUP($A48,'Data Vlaue (Cr)'!$C:$FB,75)</f>
        <v>2374</v>
      </c>
      <c r="F48" s="91">
        <f>VLOOKUP($A48,'Data Vlaue (Cr)'!$C:$FB,77)</f>
        <v>-8</v>
      </c>
      <c r="G48" s="92">
        <f>VLOOKUP(A48,'Data Vlaue (Cr)'!C43:CB257,78,0)</f>
        <v>-3.2000000000000002E-3</v>
      </c>
      <c r="H48" s="91">
        <f>VLOOKUP($A48,'Data Vlaue (Cr)'!$C:$FB,91)</f>
        <v>312</v>
      </c>
      <c r="I48" s="91">
        <f>VLOOKUP($A48,'Data Vlaue (Cr)'!$C:$FB,93)</f>
        <v>15</v>
      </c>
      <c r="J48" s="92">
        <f>VLOOKUP($A48,'Data Vlaue (Cr)'!$C:$FB,94)</f>
        <v>4.9000000000000002E-2</v>
      </c>
      <c r="K48" s="91">
        <f>VLOOKUP($A48,'Data Vlaue (Cr)'!$C:$FB,95)</f>
        <v>254</v>
      </c>
      <c r="L48" s="91">
        <f>VLOOKUP($A48,'Data Vlaue (Cr)'!$C:$FB,97)</f>
        <v>15</v>
      </c>
      <c r="M48" s="92">
        <f>VLOOKUP($A48,'Data Vlaue (Cr)'!$C:$FB,98)</f>
        <v>6.13E-2</v>
      </c>
      <c r="N48" s="91">
        <f>VLOOKUP($A48,'Data Vlaue (Cr)'!$C:$FB,79)</f>
        <v>2342</v>
      </c>
      <c r="O48" s="92">
        <f>VLOOKUP($A48,'Data Vlaue (Cr)'!$C:$FB,82)</f>
        <v>-3.3999999999999998E-3</v>
      </c>
    </row>
    <row r="49" spans="1:15" x14ac:dyDescent="0.25">
      <c r="A49" s="97" t="str">
        <f>'Data Vlaue (Cr)'!C44</f>
        <v>CIPLA</v>
      </c>
      <c r="B49" s="142">
        <f>VLOOKUP(A49,'Data Vlaue (Cr)'!C44:CW258,99,0)</f>
        <v>2343</v>
      </c>
      <c r="C49" s="90">
        <f>VLOOKUP(A49,'Data Vlaue (Cr)'!C44:CY258,101,0)</f>
        <v>86</v>
      </c>
      <c r="D49" s="139">
        <f>VLOOKUP(A49,'Data Vlaue (Cr)'!C44:CZ258,102,0)</f>
        <v>3.8100000000000002E-2</v>
      </c>
      <c r="E49" s="91">
        <f>VLOOKUP($A49,'Data Vlaue (Cr)'!$C:$FB,75)</f>
        <v>1631</v>
      </c>
      <c r="F49" s="91">
        <f>VLOOKUP($A49,'Data Vlaue (Cr)'!$C:$FB,77)</f>
        <v>-9</v>
      </c>
      <c r="G49" s="92">
        <f>VLOOKUP(A49,'Data Vlaue (Cr)'!C44:CB258,78,0)</f>
        <v>-5.5999999999999999E-3</v>
      </c>
      <c r="H49" s="91">
        <f>VLOOKUP($A49,'Data Vlaue (Cr)'!$C:$FB,91)</f>
        <v>408</v>
      </c>
      <c r="I49" s="91">
        <f>VLOOKUP($A49,'Data Vlaue (Cr)'!$C:$FB,93)</f>
        <v>84</v>
      </c>
      <c r="J49" s="92">
        <f>VLOOKUP($A49,'Data Vlaue (Cr)'!$C:$FB,94)</f>
        <v>0.26119999999999999</v>
      </c>
      <c r="K49" s="91">
        <f>VLOOKUP($A49,'Data Vlaue (Cr)'!$C:$FB,95)</f>
        <v>304</v>
      </c>
      <c r="L49" s="91">
        <f>VLOOKUP($A49,'Data Vlaue (Cr)'!$C:$FB,97)</f>
        <v>11</v>
      </c>
      <c r="M49" s="92">
        <f>VLOOKUP($A49,'Data Vlaue (Cr)'!$C:$FB,98)</f>
        <v>3.6200000000000003E-2</v>
      </c>
      <c r="N49" s="91">
        <f>VLOOKUP($A49,'Data Vlaue (Cr)'!$C:$FB,79)</f>
        <v>1619</v>
      </c>
      <c r="O49" s="92">
        <f>VLOOKUP($A49,'Data Vlaue (Cr)'!$C:$FB,82)</f>
        <v>-7.0000000000000001E-3</v>
      </c>
    </row>
    <row r="50" spans="1:15" x14ac:dyDescent="0.25">
      <c r="A50" s="97" t="str">
        <f>'Data Vlaue (Cr)'!C45</f>
        <v>COALINDIA</v>
      </c>
      <c r="B50" s="142">
        <f>VLOOKUP(A50,'Data Vlaue (Cr)'!C45:CW259,99,0)</f>
        <v>4319</v>
      </c>
      <c r="C50" s="90">
        <f>VLOOKUP(A50,'Data Vlaue (Cr)'!C45:CY259,101,0)</f>
        <v>178</v>
      </c>
      <c r="D50" s="139">
        <f>VLOOKUP(A50,'Data Vlaue (Cr)'!C45:CZ259,102,0)</f>
        <v>4.2999999999999997E-2</v>
      </c>
      <c r="E50" s="91">
        <f>VLOOKUP($A50,'Data Vlaue (Cr)'!$C:$FB,75)</f>
        <v>2708</v>
      </c>
      <c r="F50" s="91">
        <f>VLOOKUP($A50,'Data Vlaue (Cr)'!$C:$FB,77)</f>
        <v>24</v>
      </c>
      <c r="G50" s="92">
        <f>VLOOKUP(A50,'Data Vlaue (Cr)'!C45:CB259,78,0)</f>
        <v>8.9999999999999993E-3</v>
      </c>
      <c r="H50" s="91">
        <f>VLOOKUP($A50,'Data Vlaue (Cr)'!$C:$FB,91)</f>
        <v>938</v>
      </c>
      <c r="I50" s="91">
        <f>VLOOKUP($A50,'Data Vlaue (Cr)'!$C:$FB,93)</f>
        <v>117</v>
      </c>
      <c r="J50" s="92">
        <f>VLOOKUP($A50,'Data Vlaue (Cr)'!$C:$FB,94)</f>
        <v>0.1431</v>
      </c>
      <c r="K50" s="91">
        <f>VLOOKUP($A50,'Data Vlaue (Cr)'!$C:$FB,95)</f>
        <v>673</v>
      </c>
      <c r="L50" s="91">
        <f>VLOOKUP($A50,'Data Vlaue (Cr)'!$C:$FB,97)</f>
        <v>36</v>
      </c>
      <c r="M50" s="92">
        <f>VLOOKUP($A50,'Data Vlaue (Cr)'!$C:$FB,98)</f>
        <v>5.6800000000000003E-2</v>
      </c>
      <c r="N50" s="91">
        <f>VLOOKUP($A50,'Data Vlaue (Cr)'!$C:$FB,79)</f>
        <v>2640</v>
      </c>
      <c r="O50" s="92">
        <f>VLOOKUP($A50,'Data Vlaue (Cr)'!$C:$FB,82)</f>
        <v>6.1999999999999998E-3</v>
      </c>
    </row>
    <row r="51" spans="1:15" x14ac:dyDescent="0.25">
      <c r="A51" s="97" t="str">
        <f>'Data Vlaue (Cr)'!C46</f>
        <v>COFORGE</v>
      </c>
      <c r="B51" s="142">
        <f>VLOOKUP(A51,'Data Vlaue (Cr)'!C46:CW260,99,0)</f>
        <v>3283</v>
      </c>
      <c r="C51" s="90">
        <f>VLOOKUP(A51,'Data Vlaue (Cr)'!C46:CY260,101,0)</f>
        <v>-4</v>
      </c>
      <c r="D51" s="139">
        <f>VLOOKUP(A51,'Data Vlaue (Cr)'!C46:CZ260,102,0)</f>
        <v>-1.1999999999999999E-3</v>
      </c>
      <c r="E51" s="91">
        <f>VLOOKUP($A51,'Data Vlaue (Cr)'!$C:$FB,75)</f>
        <v>2194</v>
      </c>
      <c r="F51" s="91">
        <f>VLOOKUP($A51,'Data Vlaue (Cr)'!$C:$FB,77)</f>
        <v>-41</v>
      </c>
      <c r="G51" s="92">
        <f>VLOOKUP(A51,'Data Vlaue (Cr)'!C46:CB260,78,0)</f>
        <v>-1.8499999999999999E-2</v>
      </c>
      <c r="H51" s="91">
        <f>VLOOKUP($A51,'Data Vlaue (Cr)'!$C:$FB,91)</f>
        <v>684</v>
      </c>
      <c r="I51" s="91">
        <f>VLOOKUP($A51,'Data Vlaue (Cr)'!$C:$FB,93)</f>
        <v>26</v>
      </c>
      <c r="J51" s="92">
        <f>VLOOKUP($A51,'Data Vlaue (Cr)'!$C:$FB,94)</f>
        <v>3.9899999999999998E-2</v>
      </c>
      <c r="K51" s="91">
        <f>VLOOKUP($A51,'Data Vlaue (Cr)'!$C:$FB,95)</f>
        <v>405</v>
      </c>
      <c r="L51" s="91">
        <f>VLOOKUP($A51,'Data Vlaue (Cr)'!$C:$FB,97)</f>
        <v>11</v>
      </c>
      <c r="M51" s="92">
        <f>VLOOKUP($A51,'Data Vlaue (Cr)'!$C:$FB,98)</f>
        <v>2.81E-2</v>
      </c>
      <c r="N51" s="91">
        <f>VLOOKUP($A51,'Data Vlaue (Cr)'!$C:$FB,79)</f>
        <v>2151</v>
      </c>
      <c r="O51" s="92">
        <f>VLOOKUP($A51,'Data Vlaue (Cr)'!$C:$FB,82)</f>
        <v>-1.84E-2</v>
      </c>
    </row>
    <row r="52" spans="1:15" x14ac:dyDescent="0.25">
      <c r="A52" s="97" t="str">
        <f>'Data Vlaue (Cr)'!C47</f>
        <v>COLPAL</v>
      </c>
      <c r="B52" s="142">
        <f>VLOOKUP(A52,'Data Vlaue (Cr)'!C47:CW261,99,0)</f>
        <v>1770</v>
      </c>
      <c r="C52" s="90">
        <f>VLOOKUP(A52,'Data Vlaue (Cr)'!C47:CY261,101,0)</f>
        <v>3</v>
      </c>
      <c r="D52" s="139">
        <f>VLOOKUP(A52,'Data Vlaue (Cr)'!C47:CZ261,102,0)</f>
        <v>1.6999999999999999E-3</v>
      </c>
      <c r="E52" s="91">
        <f>VLOOKUP($A52,'Data Vlaue (Cr)'!$C:$FB,75)</f>
        <v>1180</v>
      </c>
      <c r="F52" s="91">
        <f>VLOOKUP($A52,'Data Vlaue (Cr)'!$C:$FB,77)</f>
        <v>-8</v>
      </c>
      <c r="G52" s="92">
        <f>VLOOKUP(A52,'Data Vlaue (Cr)'!C47:CB261,78,0)</f>
        <v>-6.4999999999999997E-3</v>
      </c>
      <c r="H52" s="91">
        <f>VLOOKUP($A52,'Data Vlaue (Cr)'!$C:$FB,91)</f>
        <v>329</v>
      </c>
      <c r="I52" s="91">
        <f>VLOOKUP($A52,'Data Vlaue (Cr)'!$C:$FB,93)</f>
        <v>4</v>
      </c>
      <c r="J52" s="92">
        <f>VLOOKUP($A52,'Data Vlaue (Cr)'!$C:$FB,94)</f>
        <v>1.38E-2</v>
      </c>
      <c r="K52" s="91">
        <f>VLOOKUP($A52,'Data Vlaue (Cr)'!$C:$FB,95)</f>
        <v>261</v>
      </c>
      <c r="L52" s="91">
        <f>VLOOKUP($A52,'Data Vlaue (Cr)'!$C:$FB,97)</f>
        <v>6</v>
      </c>
      <c r="M52" s="92">
        <f>VLOOKUP($A52,'Data Vlaue (Cr)'!$C:$FB,98)</f>
        <v>2.4199999999999999E-2</v>
      </c>
      <c r="N52" s="91">
        <f>VLOOKUP($A52,'Data Vlaue (Cr)'!$C:$FB,79)</f>
        <v>1083</v>
      </c>
      <c r="O52" s="92">
        <f>VLOOKUP($A52,'Data Vlaue (Cr)'!$C:$FB,82)</f>
        <v>-8.8000000000000005E-3</v>
      </c>
    </row>
    <row r="53" spans="1:15" x14ac:dyDescent="0.25">
      <c r="A53" s="97" t="str">
        <f>'Data Vlaue (Cr)'!C48</f>
        <v>CONCOR</v>
      </c>
      <c r="B53" s="142">
        <f>VLOOKUP(A53,'Data Vlaue (Cr)'!C48:CW262,99,0)</f>
        <v>2103</v>
      </c>
      <c r="C53" s="90">
        <f>VLOOKUP(A53,'Data Vlaue (Cr)'!C48:CY262,101,0)</f>
        <v>84</v>
      </c>
      <c r="D53" s="139">
        <f>VLOOKUP(A53,'Data Vlaue (Cr)'!C48:CZ262,102,0)</f>
        <v>4.1700000000000001E-2</v>
      </c>
      <c r="E53" s="91">
        <f>VLOOKUP($A53,'Data Vlaue (Cr)'!$C:$FB,75)</f>
        <v>1363</v>
      </c>
      <c r="F53" s="91">
        <f>VLOOKUP($A53,'Data Vlaue (Cr)'!$C:$FB,77)</f>
        <v>36</v>
      </c>
      <c r="G53" s="92">
        <f>VLOOKUP(A53,'Data Vlaue (Cr)'!C48:CB262,78,0)</f>
        <v>2.7300000000000001E-2</v>
      </c>
      <c r="H53" s="91">
        <f>VLOOKUP($A53,'Data Vlaue (Cr)'!$C:$FB,91)</f>
        <v>412</v>
      </c>
      <c r="I53" s="91">
        <f>VLOOKUP($A53,'Data Vlaue (Cr)'!$C:$FB,93)</f>
        <v>33</v>
      </c>
      <c r="J53" s="92">
        <f>VLOOKUP($A53,'Data Vlaue (Cr)'!$C:$FB,94)</f>
        <v>8.77E-2</v>
      </c>
      <c r="K53" s="91">
        <f>VLOOKUP($A53,'Data Vlaue (Cr)'!$C:$FB,95)</f>
        <v>328</v>
      </c>
      <c r="L53" s="91">
        <f>VLOOKUP($A53,'Data Vlaue (Cr)'!$C:$FB,97)</f>
        <v>15</v>
      </c>
      <c r="M53" s="92">
        <f>VLOOKUP($A53,'Data Vlaue (Cr)'!$C:$FB,98)</f>
        <v>4.7100000000000003E-2</v>
      </c>
      <c r="N53" s="91">
        <f>VLOOKUP($A53,'Data Vlaue (Cr)'!$C:$FB,79)</f>
        <v>1270</v>
      </c>
      <c r="O53" s="92">
        <f>VLOOKUP($A53,'Data Vlaue (Cr)'!$C:$FB,82)</f>
        <v>2.4E-2</v>
      </c>
    </row>
    <row r="54" spans="1:15" x14ac:dyDescent="0.25">
      <c r="A54" s="97" t="str">
        <f>'Data Vlaue (Cr)'!C49</f>
        <v>CROMPTON</v>
      </c>
      <c r="B54" s="142">
        <f>VLOOKUP(A54,'Data Vlaue (Cr)'!C49:CW263,99,0)</f>
        <v>2027</v>
      </c>
      <c r="C54" s="90">
        <f>VLOOKUP(A54,'Data Vlaue (Cr)'!C49:CY263,101,0)</f>
        <v>135</v>
      </c>
      <c r="D54" s="139">
        <f>VLOOKUP(A54,'Data Vlaue (Cr)'!C49:CZ263,102,0)</f>
        <v>7.1199999999999999E-2</v>
      </c>
      <c r="E54" s="91">
        <f>VLOOKUP($A54,'Data Vlaue (Cr)'!$C:$FB,75)</f>
        <v>1451</v>
      </c>
      <c r="F54" s="91">
        <f>VLOOKUP($A54,'Data Vlaue (Cr)'!$C:$FB,77)</f>
        <v>42</v>
      </c>
      <c r="G54" s="92">
        <f>VLOOKUP(A54,'Data Vlaue (Cr)'!C49:CB263,78,0)</f>
        <v>2.9600000000000001E-2</v>
      </c>
      <c r="H54" s="91">
        <f>VLOOKUP($A54,'Data Vlaue (Cr)'!$C:$FB,91)</f>
        <v>344</v>
      </c>
      <c r="I54" s="91">
        <f>VLOOKUP($A54,'Data Vlaue (Cr)'!$C:$FB,93)</f>
        <v>70</v>
      </c>
      <c r="J54" s="92">
        <f>VLOOKUP($A54,'Data Vlaue (Cr)'!$C:$FB,94)</f>
        <v>0.25419999999999998</v>
      </c>
      <c r="K54" s="91">
        <f>VLOOKUP($A54,'Data Vlaue (Cr)'!$C:$FB,95)</f>
        <v>232</v>
      </c>
      <c r="L54" s="91">
        <f>VLOOKUP($A54,'Data Vlaue (Cr)'!$C:$FB,97)</f>
        <v>24</v>
      </c>
      <c r="M54" s="92">
        <f>VLOOKUP($A54,'Data Vlaue (Cr)'!$C:$FB,98)</f>
        <v>0.1125</v>
      </c>
      <c r="N54" s="91">
        <f>VLOOKUP($A54,'Data Vlaue (Cr)'!$C:$FB,79)</f>
        <v>1390</v>
      </c>
      <c r="O54" s="92">
        <f>VLOOKUP($A54,'Data Vlaue (Cr)'!$C:$FB,82)</f>
        <v>1.9300000000000001E-2</v>
      </c>
    </row>
    <row r="55" spans="1:15" x14ac:dyDescent="0.25">
      <c r="A55" s="97" t="str">
        <f>'Data Vlaue (Cr)'!C50</f>
        <v>CUMMINSIND</v>
      </c>
      <c r="B55" s="142">
        <f>VLOOKUP(A55,'Data Vlaue (Cr)'!C50:CW264,99,0)</f>
        <v>1605</v>
      </c>
      <c r="C55" s="90">
        <f>VLOOKUP(A55,'Data Vlaue (Cr)'!C50:CY264,101,0)</f>
        <v>28</v>
      </c>
      <c r="D55" s="139">
        <f>VLOOKUP(A55,'Data Vlaue (Cr)'!C50:CZ264,102,0)</f>
        <v>1.8100000000000002E-2</v>
      </c>
      <c r="E55" s="91">
        <f>VLOOKUP($A55,'Data Vlaue (Cr)'!$C:$FB,75)</f>
        <v>1196</v>
      </c>
      <c r="F55" s="91">
        <f>VLOOKUP($A55,'Data Vlaue (Cr)'!$C:$FB,77)</f>
        <v>-1</v>
      </c>
      <c r="G55" s="92">
        <f>VLOOKUP(A55,'Data Vlaue (Cr)'!C50:CB264,78,0)</f>
        <v>-8.9999999999999998E-4</v>
      </c>
      <c r="H55" s="91">
        <f>VLOOKUP($A55,'Data Vlaue (Cr)'!$C:$FB,91)</f>
        <v>230</v>
      </c>
      <c r="I55" s="91">
        <f>VLOOKUP($A55,'Data Vlaue (Cr)'!$C:$FB,93)</f>
        <v>25</v>
      </c>
      <c r="J55" s="92">
        <f>VLOOKUP($A55,'Data Vlaue (Cr)'!$C:$FB,94)</f>
        <v>0.1202</v>
      </c>
      <c r="K55" s="91">
        <f>VLOOKUP($A55,'Data Vlaue (Cr)'!$C:$FB,95)</f>
        <v>179</v>
      </c>
      <c r="L55" s="91">
        <f>VLOOKUP($A55,'Data Vlaue (Cr)'!$C:$FB,97)</f>
        <v>5</v>
      </c>
      <c r="M55" s="92">
        <f>VLOOKUP($A55,'Data Vlaue (Cr)'!$C:$FB,98)</f>
        <v>2.7699999999999999E-2</v>
      </c>
      <c r="N55" s="91">
        <f>VLOOKUP($A55,'Data Vlaue (Cr)'!$C:$FB,79)</f>
        <v>1184</v>
      </c>
      <c r="O55" s="92">
        <f>VLOOKUP($A55,'Data Vlaue (Cr)'!$C:$FB,82)</f>
        <v>-1.1999999999999999E-3</v>
      </c>
    </row>
    <row r="56" spans="1:15" x14ac:dyDescent="0.25">
      <c r="A56" s="97" t="str">
        <f>'Data Vlaue (Cr)'!C51</f>
        <v>CYIENT</v>
      </c>
      <c r="B56" s="142">
        <f>VLOOKUP(A56,'Data Vlaue (Cr)'!C51:CW265,99,0)</f>
        <v>686</v>
      </c>
      <c r="C56" s="90">
        <f>VLOOKUP(A56,'Data Vlaue (Cr)'!C51:CY265,101,0)</f>
        <v>60</v>
      </c>
      <c r="D56" s="139">
        <f>VLOOKUP(A56,'Data Vlaue (Cr)'!C51:CZ265,102,0)</f>
        <v>9.5399999999999999E-2</v>
      </c>
      <c r="E56" s="91">
        <f>VLOOKUP($A56,'Data Vlaue (Cr)'!$C:$FB,75)</f>
        <v>421</v>
      </c>
      <c r="F56" s="91">
        <f>VLOOKUP($A56,'Data Vlaue (Cr)'!$C:$FB,77)</f>
        <v>32</v>
      </c>
      <c r="G56" s="92">
        <f>VLOOKUP(A56,'Data Vlaue (Cr)'!C51:CB265,78,0)</f>
        <v>8.2299999999999998E-2</v>
      </c>
      <c r="H56" s="91">
        <f>VLOOKUP($A56,'Data Vlaue (Cr)'!$C:$FB,91)</f>
        <v>165</v>
      </c>
      <c r="I56" s="91">
        <f>VLOOKUP($A56,'Data Vlaue (Cr)'!$C:$FB,93)</f>
        <v>17</v>
      </c>
      <c r="J56" s="92">
        <f>VLOOKUP($A56,'Data Vlaue (Cr)'!$C:$FB,94)</f>
        <v>0.1133</v>
      </c>
      <c r="K56" s="91">
        <f>VLOOKUP($A56,'Data Vlaue (Cr)'!$C:$FB,95)</f>
        <v>101</v>
      </c>
      <c r="L56" s="91">
        <f>VLOOKUP($A56,'Data Vlaue (Cr)'!$C:$FB,97)</f>
        <v>11</v>
      </c>
      <c r="M56" s="92">
        <f>VLOOKUP($A56,'Data Vlaue (Cr)'!$C:$FB,98)</f>
        <v>0.12230000000000001</v>
      </c>
      <c r="N56" s="91">
        <f>VLOOKUP($A56,'Data Vlaue (Cr)'!$C:$FB,79)</f>
        <v>390</v>
      </c>
      <c r="O56" s="92">
        <f>VLOOKUP($A56,'Data Vlaue (Cr)'!$C:$FB,82)</f>
        <v>8.4500000000000006E-2</v>
      </c>
    </row>
    <row r="57" spans="1:15" x14ac:dyDescent="0.25">
      <c r="A57" s="97" t="str">
        <f>'Data Vlaue (Cr)'!C52</f>
        <v>DABUR</v>
      </c>
      <c r="B57" s="142">
        <f>VLOOKUP(A57,'Data Vlaue (Cr)'!C52:CW266,99,0)</f>
        <v>2233</v>
      </c>
      <c r="C57" s="90">
        <f>VLOOKUP(A57,'Data Vlaue (Cr)'!C52:CY266,101,0)</f>
        <v>94</v>
      </c>
      <c r="D57" s="139">
        <f>VLOOKUP(A57,'Data Vlaue (Cr)'!C52:CZ266,102,0)</f>
        <v>4.41E-2</v>
      </c>
      <c r="E57" s="91">
        <f>VLOOKUP($A57,'Data Vlaue (Cr)'!$C:$FB,75)</f>
        <v>1335</v>
      </c>
      <c r="F57" s="91">
        <f>VLOOKUP($A57,'Data Vlaue (Cr)'!$C:$FB,77)</f>
        <v>28</v>
      </c>
      <c r="G57" s="92">
        <f>VLOOKUP(A57,'Data Vlaue (Cr)'!C52:CB266,78,0)</f>
        <v>2.12E-2</v>
      </c>
      <c r="H57" s="91">
        <f>VLOOKUP($A57,'Data Vlaue (Cr)'!$C:$FB,91)</f>
        <v>593</v>
      </c>
      <c r="I57" s="91">
        <f>VLOOKUP($A57,'Data Vlaue (Cr)'!$C:$FB,93)</f>
        <v>55</v>
      </c>
      <c r="J57" s="92">
        <f>VLOOKUP($A57,'Data Vlaue (Cr)'!$C:$FB,94)</f>
        <v>0.1032</v>
      </c>
      <c r="K57" s="91">
        <f>VLOOKUP($A57,'Data Vlaue (Cr)'!$C:$FB,95)</f>
        <v>305</v>
      </c>
      <c r="L57" s="91">
        <f>VLOOKUP($A57,'Data Vlaue (Cr)'!$C:$FB,97)</f>
        <v>11</v>
      </c>
      <c r="M57" s="92">
        <f>VLOOKUP($A57,'Data Vlaue (Cr)'!$C:$FB,98)</f>
        <v>3.8399999999999997E-2</v>
      </c>
      <c r="N57" s="91">
        <f>VLOOKUP($A57,'Data Vlaue (Cr)'!$C:$FB,79)</f>
        <v>1276</v>
      </c>
      <c r="O57" s="92">
        <f>VLOOKUP($A57,'Data Vlaue (Cr)'!$C:$FB,82)</f>
        <v>1.8599999999999998E-2</v>
      </c>
    </row>
    <row r="58" spans="1:15" x14ac:dyDescent="0.25">
      <c r="A58" s="97" t="str">
        <f>'Data Vlaue (Cr)'!C53</f>
        <v>DALBHARAT</v>
      </c>
      <c r="B58" s="142">
        <f>VLOOKUP(A58,'Data Vlaue (Cr)'!C53:CW267,99,0)</f>
        <v>644</v>
      </c>
      <c r="C58" s="90">
        <f>VLOOKUP(A58,'Data Vlaue (Cr)'!C53:CY267,101,0)</f>
        <v>13</v>
      </c>
      <c r="D58" s="139">
        <f>VLOOKUP(A58,'Data Vlaue (Cr)'!C53:CZ267,102,0)</f>
        <v>2.0299999999999999E-2</v>
      </c>
      <c r="E58" s="91">
        <f>VLOOKUP($A58,'Data Vlaue (Cr)'!$C:$FB,75)</f>
        <v>544</v>
      </c>
      <c r="F58" s="91">
        <f>VLOOKUP($A58,'Data Vlaue (Cr)'!$C:$FB,77)</f>
        <v>7</v>
      </c>
      <c r="G58" s="92">
        <f>VLOOKUP(A58,'Data Vlaue (Cr)'!C53:CB267,78,0)</f>
        <v>1.2500000000000001E-2</v>
      </c>
      <c r="H58" s="91">
        <f>VLOOKUP($A58,'Data Vlaue (Cr)'!$C:$FB,91)</f>
        <v>66</v>
      </c>
      <c r="I58" s="91">
        <f>VLOOKUP($A58,'Data Vlaue (Cr)'!$C:$FB,93)</f>
        <v>5</v>
      </c>
      <c r="J58" s="92">
        <f>VLOOKUP($A58,'Data Vlaue (Cr)'!$C:$FB,94)</f>
        <v>7.4099999999999999E-2</v>
      </c>
      <c r="K58" s="91">
        <f>VLOOKUP($A58,'Data Vlaue (Cr)'!$C:$FB,95)</f>
        <v>33</v>
      </c>
      <c r="L58" s="91">
        <f>VLOOKUP($A58,'Data Vlaue (Cr)'!$C:$FB,97)</f>
        <v>2</v>
      </c>
      <c r="M58" s="92">
        <f>VLOOKUP($A58,'Data Vlaue (Cr)'!$C:$FB,98)</f>
        <v>4.8500000000000001E-2</v>
      </c>
      <c r="N58" s="91">
        <f>VLOOKUP($A58,'Data Vlaue (Cr)'!$C:$FB,79)</f>
        <v>539</v>
      </c>
      <c r="O58" s="92">
        <f>VLOOKUP($A58,'Data Vlaue (Cr)'!$C:$FB,82)</f>
        <v>1.15E-2</v>
      </c>
    </row>
    <row r="59" spans="1:15" x14ac:dyDescent="0.25">
      <c r="A59" s="97" t="str">
        <f>'Data Vlaue (Cr)'!C54</f>
        <v>DELHIVERY</v>
      </c>
      <c r="B59" s="142">
        <f>VLOOKUP(A59,'Data Vlaue (Cr)'!C54:CW268,99,0)</f>
        <v>1363</v>
      </c>
      <c r="C59" s="90">
        <f>VLOOKUP(A59,'Data Vlaue (Cr)'!C54:CY268,101,0)</f>
        <v>179</v>
      </c>
      <c r="D59" s="139">
        <f>VLOOKUP(A59,'Data Vlaue (Cr)'!C54:CZ268,102,0)</f>
        <v>0.15090000000000001</v>
      </c>
      <c r="E59" s="91">
        <f>VLOOKUP($A59,'Data Vlaue (Cr)'!$C:$FB,75)</f>
        <v>836</v>
      </c>
      <c r="F59" s="91">
        <f>VLOOKUP($A59,'Data Vlaue (Cr)'!$C:$FB,77)</f>
        <v>81</v>
      </c>
      <c r="G59" s="92">
        <f>VLOOKUP(A59,'Data Vlaue (Cr)'!C54:CB268,78,0)</f>
        <v>0.10730000000000001</v>
      </c>
      <c r="H59" s="91">
        <f>VLOOKUP($A59,'Data Vlaue (Cr)'!$C:$FB,91)</f>
        <v>300</v>
      </c>
      <c r="I59" s="91">
        <f>VLOOKUP($A59,'Data Vlaue (Cr)'!$C:$FB,93)</f>
        <v>25</v>
      </c>
      <c r="J59" s="92">
        <f>VLOOKUP($A59,'Data Vlaue (Cr)'!$C:$FB,94)</f>
        <v>9.2499999999999999E-2</v>
      </c>
      <c r="K59" s="91">
        <f>VLOOKUP($A59,'Data Vlaue (Cr)'!$C:$FB,95)</f>
        <v>227</v>
      </c>
      <c r="L59" s="91">
        <f>VLOOKUP($A59,'Data Vlaue (Cr)'!$C:$FB,97)</f>
        <v>72</v>
      </c>
      <c r="M59" s="92">
        <f>VLOOKUP($A59,'Data Vlaue (Cr)'!$C:$FB,98)</f>
        <v>0.46779999999999999</v>
      </c>
      <c r="N59" s="91">
        <f>VLOOKUP($A59,'Data Vlaue (Cr)'!$C:$FB,79)</f>
        <v>815</v>
      </c>
      <c r="O59" s="92">
        <f>VLOOKUP($A59,'Data Vlaue (Cr)'!$C:$FB,82)</f>
        <v>0.11070000000000001</v>
      </c>
    </row>
    <row r="60" spans="1:15" x14ac:dyDescent="0.25">
      <c r="A60" s="97" t="str">
        <f>'Data Vlaue (Cr)'!C55</f>
        <v>DIVISLAB</v>
      </c>
      <c r="B60" s="142">
        <f>VLOOKUP(A60,'Data Vlaue (Cr)'!C55:CW269,99,0)</f>
        <v>2300</v>
      </c>
      <c r="C60" s="90">
        <f>VLOOKUP(A60,'Data Vlaue (Cr)'!C55:CY269,101,0)</f>
        <v>31</v>
      </c>
      <c r="D60" s="139">
        <f>VLOOKUP(A60,'Data Vlaue (Cr)'!C55:CZ269,102,0)</f>
        <v>1.35E-2</v>
      </c>
      <c r="E60" s="91">
        <f>VLOOKUP($A60,'Data Vlaue (Cr)'!$C:$FB,75)</f>
        <v>1591</v>
      </c>
      <c r="F60" s="91">
        <f>VLOOKUP($A60,'Data Vlaue (Cr)'!$C:$FB,77)</f>
        <v>1</v>
      </c>
      <c r="G60" s="92">
        <f>VLOOKUP(A60,'Data Vlaue (Cr)'!C55:CB269,78,0)</f>
        <v>5.9999999999999995E-4</v>
      </c>
      <c r="H60" s="91">
        <f>VLOOKUP($A60,'Data Vlaue (Cr)'!$C:$FB,91)</f>
        <v>442</v>
      </c>
      <c r="I60" s="91">
        <f>VLOOKUP($A60,'Data Vlaue (Cr)'!$C:$FB,93)</f>
        <v>29</v>
      </c>
      <c r="J60" s="92">
        <f>VLOOKUP($A60,'Data Vlaue (Cr)'!$C:$FB,94)</f>
        <v>7.1499999999999994E-2</v>
      </c>
      <c r="K60" s="91">
        <f>VLOOKUP($A60,'Data Vlaue (Cr)'!$C:$FB,95)</f>
        <v>267</v>
      </c>
      <c r="L60" s="91">
        <f>VLOOKUP($A60,'Data Vlaue (Cr)'!$C:$FB,97)</f>
        <v>0</v>
      </c>
      <c r="M60" s="92">
        <f>VLOOKUP($A60,'Data Vlaue (Cr)'!$C:$FB,98)</f>
        <v>8.9999999999999998E-4</v>
      </c>
      <c r="N60" s="91">
        <f>VLOOKUP($A60,'Data Vlaue (Cr)'!$C:$FB,79)</f>
        <v>1561</v>
      </c>
      <c r="O60" s="92">
        <f>VLOOKUP($A60,'Data Vlaue (Cr)'!$C:$FB,82)</f>
        <v>-2.7000000000000001E-3</v>
      </c>
    </row>
    <row r="61" spans="1:15" x14ac:dyDescent="0.25">
      <c r="A61" s="97" t="str">
        <f>'Data Vlaue (Cr)'!C56</f>
        <v>DIXON</v>
      </c>
      <c r="B61" s="142">
        <f>VLOOKUP(A61,'Data Vlaue (Cr)'!C56:CW270,99,0)</f>
        <v>5449</v>
      </c>
      <c r="C61" s="90">
        <f>VLOOKUP(A61,'Data Vlaue (Cr)'!C56:CY270,101,0)</f>
        <v>-161</v>
      </c>
      <c r="D61" s="139">
        <f>VLOOKUP(A61,'Data Vlaue (Cr)'!C56:CZ270,102,0)</f>
        <v>-2.87E-2</v>
      </c>
      <c r="E61" s="91">
        <f>VLOOKUP($A61,'Data Vlaue (Cr)'!$C:$FB,75)</f>
        <v>2796</v>
      </c>
      <c r="F61" s="91">
        <f>VLOOKUP($A61,'Data Vlaue (Cr)'!$C:$FB,77)</f>
        <v>7</v>
      </c>
      <c r="G61" s="92">
        <f>VLOOKUP(A61,'Data Vlaue (Cr)'!C56:CB270,78,0)</f>
        <v>2.5999999999999999E-3</v>
      </c>
      <c r="H61" s="91">
        <f>VLOOKUP($A61,'Data Vlaue (Cr)'!$C:$FB,91)</f>
        <v>1507</v>
      </c>
      <c r="I61" s="91">
        <f>VLOOKUP($A61,'Data Vlaue (Cr)'!$C:$FB,93)</f>
        <v>-236</v>
      </c>
      <c r="J61" s="92">
        <f>VLOOKUP($A61,'Data Vlaue (Cr)'!$C:$FB,94)</f>
        <v>-0.13550000000000001</v>
      </c>
      <c r="K61" s="91">
        <f>VLOOKUP($A61,'Data Vlaue (Cr)'!$C:$FB,95)</f>
        <v>1145</v>
      </c>
      <c r="L61" s="91">
        <f>VLOOKUP($A61,'Data Vlaue (Cr)'!$C:$FB,97)</f>
        <v>68</v>
      </c>
      <c r="M61" s="92">
        <f>VLOOKUP($A61,'Data Vlaue (Cr)'!$C:$FB,98)</f>
        <v>6.3399999999999998E-2</v>
      </c>
      <c r="N61" s="91">
        <f>VLOOKUP($A61,'Data Vlaue (Cr)'!$C:$FB,79)</f>
        <v>2695</v>
      </c>
      <c r="O61" s="92">
        <f>VLOOKUP($A61,'Data Vlaue (Cr)'!$C:$FB,82)</f>
        <v>-5.7000000000000002E-3</v>
      </c>
    </row>
    <row r="62" spans="1:15" x14ac:dyDescent="0.25">
      <c r="A62" s="97" t="str">
        <f>'Data Vlaue (Cr)'!C57</f>
        <v>DLF</v>
      </c>
      <c r="B62" s="142">
        <f>VLOOKUP(A62,'Data Vlaue (Cr)'!C57:CW271,99,0)</f>
        <v>5078</v>
      </c>
      <c r="C62" s="90">
        <f>VLOOKUP(A62,'Data Vlaue (Cr)'!C57:CY271,101,0)</f>
        <v>53</v>
      </c>
      <c r="D62" s="139">
        <f>VLOOKUP(A62,'Data Vlaue (Cr)'!C57:CZ271,102,0)</f>
        <v>1.06E-2</v>
      </c>
      <c r="E62" s="91">
        <f>VLOOKUP($A62,'Data Vlaue (Cr)'!$C:$FB,75)</f>
        <v>3230</v>
      </c>
      <c r="F62" s="91">
        <f>VLOOKUP($A62,'Data Vlaue (Cr)'!$C:$FB,77)</f>
        <v>-14</v>
      </c>
      <c r="G62" s="92">
        <f>VLOOKUP(A62,'Data Vlaue (Cr)'!C57:CB271,78,0)</f>
        <v>-4.4000000000000003E-3</v>
      </c>
      <c r="H62" s="91">
        <f>VLOOKUP($A62,'Data Vlaue (Cr)'!$C:$FB,91)</f>
        <v>1111</v>
      </c>
      <c r="I62" s="91">
        <f>VLOOKUP($A62,'Data Vlaue (Cr)'!$C:$FB,93)</f>
        <v>52</v>
      </c>
      <c r="J62" s="92">
        <f>VLOOKUP($A62,'Data Vlaue (Cr)'!$C:$FB,94)</f>
        <v>4.8599999999999997E-2</v>
      </c>
      <c r="K62" s="91">
        <f>VLOOKUP($A62,'Data Vlaue (Cr)'!$C:$FB,95)</f>
        <v>737</v>
      </c>
      <c r="L62" s="91">
        <f>VLOOKUP($A62,'Data Vlaue (Cr)'!$C:$FB,97)</f>
        <v>16</v>
      </c>
      <c r="M62" s="92">
        <f>VLOOKUP($A62,'Data Vlaue (Cr)'!$C:$FB,98)</f>
        <v>2.1999999999999999E-2</v>
      </c>
      <c r="N62" s="91">
        <f>VLOOKUP($A62,'Data Vlaue (Cr)'!$C:$FB,79)</f>
        <v>3133</v>
      </c>
      <c r="O62" s="92">
        <f>VLOOKUP($A62,'Data Vlaue (Cr)'!$C:$FB,82)</f>
        <v>-5.4999999999999997E-3</v>
      </c>
    </row>
    <row r="63" spans="1:15" x14ac:dyDescent="0.25">
      <c r="A63" s="97" t="str">
        <f>'Data Vlaue (Cr)'!C58</f>
        <v>DMART</v>
      </c>
      <c r="B63" s="142">
        <f>VLOOKUP(A63,'Data Vlaue (Cr)'!C58:CW272,99,0)</f>
        <v>3741</v>
      </c>
      <c r="C63" s="90">
        <f>VLOOKUP(A63,'Data Vlaue (Cr)'!C58:CY272,101,0)</f>
        <v>387</v>
      </c>
      <c r="D63" s="139">
        <f>VLOOKUP(A63,'Data Vlaue (Cr)'!C58:CZ272,102,0)</f>
        <v>0.11550000000000001</v>
      </c>
      <c r="E63" s="91">
        <f>VLOOKUP($A63,'Data Vlaue (Cr)'!$C:$FB,75)</f>
        <v>2562</v>
      </c>
      <c r="F63" s="91">
        <f>VLOOKUP($A63,'Data Vlaue (Cr)'!$C:$FB,77)</f>
        <v>3</v>
      </c>
      <c r="G63" s="92">
        <f>VLOOKUP(A63,'Data Vlaue (Cr)'!C58:CB272,78,0)</f>
        <v>1.1000000000000001E-3</v>
      </c>
      <c r="H63" s="91">
        <f>VLOOKUP($A63,'Data Vlaue (Cr)'!$C:$FB,91)</f>
        <v>729</v>
      </c>
      <c r="I63" s="91">
        <f>VLOOKUP($A63,'Data Vlaue (Cr)'!$C:$FB,93)</f>
        <v>253</v>
      </c>
      <c r="J63" s="92">
        <f>VLOOKUP($A63,'Data Vlaue (Cr)'!$C:$FB,94)</f>
        <v>0.53220000000000001</v>
      </c>
      <c r="K63" s="91">
        <f>VLOOKUP($A63,'Data Vlaue (Cr)'!$C:$FB,95)</f>
        <v>450</v>
      </c>
      <c r="L63" s="91">
        <f>VLOOKUP($A63,'Data Vlaue (Cr)'!$C:$FB,97)</f>
        <v>132</v>
      </c>
      <c r="M63" s="92">
        <f>VLOOKUP($A63,'Data Vlaue (Cr)'!$C:$FB,98)</f>
        <v>0.41249999999999998</v>
      </c>
      <c r="N63" s="91">
        <f>VLOOKUP($A63,'Data Vlaue (Cr)'!$C:$FB,79)</f>
        <v>2526</v>
      </c>
      <c r="O63" s="92">
        <f>VLOOKUP($A63,'Data Vlaue (Cr)'!$C:$FB,82)</f>
        <v>-3.8999999999999998E-3</v>
      </c>
    </row>
    <row r="64" spans="1:15" x14ac:dyDescent="0.25">
      <c r="A64" s="97" t="str">
        <f>'Data Vlaue (Cr)'!C59</f>
        <v>DRREDDY</v>
      </c>
      <c r="B64" s="142">
        <f>VLOOKUP(A64,'Data Vlaue (Cr)'!C59:CW273,99,0)</f>
        <v>2337</v>
      </c>
      <c r="C64" s="90">
        <f>VLOOKUP(A64,'Data Vlaue (Cr)'!C59:CY273,101,0)</f>
        <v>116</v>
      </c>
      <c r="D64" s="139">
        <f>VLOOKUP(A64,'Data Vlaue (Cr)'!C59:CZ273,102,0)</f>
        <v>5.1999999999999998E-2</v>
      </c>
      <c r="E64" s="91">
        <f>VLOOKUP($A64,'Data Vlaue (Cr)'!$C:$FB,75)</f>
        <v>1528</v>
      </c>
      <c r="F64" s="91">
        <f>VLOOKUP($A64,'Data Vlaue (Cr)'!$C:$FB,77)</f>
        <v>14</v>
      </c>
      <c r="G64" s="92">
        <f>VLOOKUP(A64,'Data Vlaue (Cr)'!C59:CB273,78,0)</f>
        <v>9.1000000000000004E-3</v>
      </c>
      <c r="H64" s="91">
        <f>VLOOKUP($A64,'Data Vlaue (Cr)'!$C:$FB,91)</f>
        <v>491</v>
      </c>
      <c r="I64" s="91">
        <f>VLOOKUP($A64,'Data Vlaue (Cr)'!$C:$FB,93)</f>
        <v>91</v>
      </c>
      <c r="J64" s="92">
        <f>VLOOKUP($A64,'Data Vlaue (Cr)'!$C:$FB,94)</f>
        <v>0.22789999999999999</v>
      </c>
      <c r="K64" s="91">
        <f>VLOOKUP($A64,'Data Vlaue (Cr)'!$C:$FB,95)</f>
        <v>318</v>
      </c>
      <c r="L64" s="91">
        <f>VLOOKUP($A64,'Data Vlaue (Cr)'!$C:$FB,97)</f>
        <v>11</v>
      </c>
      <c r="M64" s="92">
        <f>VLOOKUP($A64,'Data Vlaue (Cr)'!$C:$FB,98)</f>
        <v>3.4700000000000002E-2</v>
      </c>
      <c r="N64" s="91">
        <f>VLOOKUP($A64,'Data Vlaue (Cr)'!$C:$FB,79)</f>
        <v>1508</v>
      </c>
      <c r="O64" s="92">
        <f>VLOOKUP($A64,'Data Vlaue (Cr)'!$C:$FB,82)</f>
        <v>7.0000000000000001E-3</v>
      </c>
    </row>
    <row r="65" spans="1:15" x14ac:dyDescent="0.25">
      <c r="A65" s="97" t="str">
        <f>'Data Vlaue (Cr)'!C60</f>
        <v>EICHERMOT</v>
      </c>
      <c r="B65" s="142">
        <f>VLOOKUP(A65,'Data Vlaue (Cr)'!C60:CW274,99,0)</f>
        <v>4697</v>
      </c>
      <c r="C65" s="90">
        <f>VLOOKUP(A65,'Data Vlaue (Cr)'!C60:CY274,101,0)</f>
        <v>-30</v>
      </c>
      <c r="D65" s="139">
        <f>VLOOKUP(A65,'Data Vlaue (Cr)'!C60:CZ274,102,0)</f>
        <v>-6.3E-3</v>
      </c>
      <c r="E65" s="91">
        <f>VLOOKUP($A65,'Data Vlaue (Cr)'!$C:$FB,75)</f>
        <v>2526</v>
      </c>
      <c r="F65" s="91">
        <f>VLOOKUP($A65,'Data Vlaue (Cr)'!$C:$FB,77)</f>
        <v>-112</v>
      </c>
      <c r="G65" s="92">
        <f>VLOOKUP(A65,'Data Vlaue (Cr)'!C60:CB274,78,0)</f>
        <v>-4.24E-2</v>
      </c>
      <c r="H65" s="91">
        <f>VLOOKUP($A65,'Data Vlaue (Cr)'!$C:$FB,91)</f>
        <v>1234</v>
      </c>
      <c r="I65" s="91">
        <f>VLOOKUP($A65,'Data Vlaue (Cr)'!$C:$FB,93)</f>
        <v>101</v>
      </c>
      <c r="J65" s="92">
        <f>VLOOKUP($A65,'Data Vlaue (Cr)'!$C:$FB,94)</f>
        <v>8.9099999999999999E-2</v>
      </c>
      <c r="K65" s="91">
        <f>VLOOKUP($A65,'Data Vlaue (Cr)'!$C:$FB,95)</f>
        <v>937</v>
      </c>
      <c r="L65" s="91">
        <f>VLOOKUP($A65,'Data Vlaue (Cr)'!$C:$FB,97)</f>
        <v>-19</v>
      </c>
      <c r="M65" s="92">
        <f>VLOOKUP($A65,'Data Vlaue (Cr)'!$C:$FB,98)</f>
        <v>-1.9599999999999999E-2</v>
      </c>
      <c r="N65" s="91">
        <f>VLOOKUP($A65,'Data Vlaue (Cr)'!$C:$FB,79)</f>
        <v>2483</v>
      </c>
      <c r="O65" s="92">
        <f>VLOOKUP($A65,'Data Vlaue (Cr)'!$C:$FB,82)</f>
        <v>-4.1000000000000002E-2</v>
      </c>
    </row>
    <row r="66" spans="1:15" x14ac:dyDescent="0.25">
      <c r="A66" s="97" t="str">
        <f>'Data Vlaue (Cr)'!C61</f>
        <v>ETERNAL</v>
      </c>
      <c r="B66" s="142">
        <f>VLOOKUP(A66,'Data Vlaue (Cr)'!C61:CW275,99,0)</f>
        <v>11388</v>
      </c>
      <c r="C66" s="90">
        <f>VLOOKUP(A66,'Data Vlaue (Cr)'!C61:CY275,101,0)</f>
        <v>75</v>
      </c>
      <c r="D66" s="139">
        <f>VLOOKUP(A66,'Data Vlaue (Cr)'!C61:CZ275,102,0)</f>
        <v>6.6E-3</v>
      </c>
      <c r="E66" s="91">
        <f>VLOOKUP($A66,'Data Vlaue (Cr)'!$C:$FB,75)</f>
        <v>8536</v>
      </c>
      <c r="F66" s="91">
        <f>VLOOKUP($A66,'Data Vlaue (Cr)'!$C:$FB,77)</f>
        <v>14</v>
      </c>
      <c r="G66" s="92">
        <f>VLOOKUP(A66,'Data Vlaue (Cr)'!C61:CB275,78,0)</f>
        <v>1.6999999999999999E-3</v>
      </c>
      <c r="H66" s="91">
        <f>VLOOKUP($A66,'Data Vlaue (Cr)'!$C:$FB,91)</f>
        <v>1648</v>
      </c>
      <c r="I66" s="91">
        <f>VLOOKUP($A66,'Data Vlaue (Cr)'!$C:$FB,93)</f>
        <v>1</v>
      </c>
      <c r="J66" s="92">
        <f>VLOOKUP($A66,'Data Vlaue (Cr)'!$C:$FB,94)</f>
        <v>5.0000000000000001E-4</v>
      </c>
      <c r="K66" s="91">
        <f>VLOOKUP($A66,'Data Vlaue (Cr)'!$C:$FB,95)</f>
        <v>1203</v>
      </c>
      <c r="L66" s="91">
        <f>VLOOKUP($A66,'Data Vlaue (Cr)'!$C:$FB,97)</f>
        <v>60</v>
      </c>
      <c r="M66" s="92">
        <f>VLOOKUP($A66,'Data Vlaue (Cr)'!$C:$FB,98)</f>
        <v>5.2699999999999997E-2</v>
      </c>
      <c r="N66" s="91">
        <f>VLOOKUP($A66,'Data Vlaue (Cr)'!$C:$FB,79)</f>
        <v>8450</v>
      </c>
      <c r="O66" s="92">
        <f>VLOOKUP($A66,'Data Vlaue (Cr)'!$C:$FB,82)</f>
        <v>5.9999999999999995E-4</v>
      </c>
    </row>
    <row r="67" spans="1:15" x14ac:dyDescent="0.25">
      <c r="A67" s="97" t="str">
        <f>'Data Vlaue (Cr)'!C62</f>
        <v>EXIDEIND</v>
      </c>
      <c r="B67" s="142">
        <f>VLOOKUP(A67,'Data Vlaue (Cr)'!C62:CW276,99,0)</f>
        <v>1844</v>
      </c>
      <c r="C67" s="90">
        <f>VLOOKUP(A67,'Data Vlaue (Cr)'!C62:CY276,101,0)</f>
        <v>20</v>
      </c>
      <c r="D67" s="139">
        <f>VLOOKUP(A67,'Data Vlaue (Cr)'!C62:CZ276,102,0)</f>
        <v>1.0800000000000001E-2</v>
      </c>
      <c r="E67" s="91">
        <f>VLOOKUP($A67,'Data Vlaue (Cr)'!$C:$FB,75)</f>
        <v>1227</v>
      </c>
      <c r="F67" s="91">
        <f>VLOOKUP($A67,'Data Vlaue (Cr)'!$C:$FB,77)</f>
        <v>8</v>
      </c>
      <c r="G67" s="92">
        <f>VLOOKUP(A67,'Data Vlaue (Cr)'!C62:CB276,78,0)</f>
        <v>6.4999999999999997E-3</v>
      </c>
      <c r="H67" s="91">
        <f>VLOOKUP($A67,'Data Vlaue (Cr)'!$C:$FB,91)</f>
        <v>353</v>
      </c>
      <c r="I67" s="91">
        <f>VLOOKUP($A67,'Data Vlaue (Cr)'!$C:$FB,93)</f>
        <v>5</v>
      </c>
      <c r="J67" s="92">
        <f>VLOOKUP($A67,'Data Vlaue (Cr)'!$C:$FB,94)</f>
        <v>1.4999999999999999E-2</v>
      </c>
      <c r="K67" s="91">
        <f>VLOOKUP($A67,'Data Vlaue (Cr)'!$C:$FB,95)</f>
        <v>264</v>
      </c>
      <c r="L67" s="91">
        <f>VLOOKUP($A67,'Data Vlaue (Cr)'!$C:$FB,97)</f>
        <v>7</v>
      </c>
      <c r="M67" s="92">
        <f>VLOOKUP($A67,'Data Vlaue (Cr)'!$C:$FB,98)</f>
        <v>2.58E-2</v>
      </c>
      <c r="N67" s="91">
        <f>VLOOKUP($A67,'Data Vlaue (Cr)'!$C:$FB,79)</f>
        <v>1183</v>
      </c>
      <c r="O67" s="92">
        <f>VLOOKUP($A67,'Data Vlaue (Cr)'!$C:$FB,82)</f>
        <v>6.6E-3</v>
      </c>
    </row>
    <row r="68" spans="1:15" x14ac:dyDescent="0.25">
      <c r="A68" s="97" t="str">
        <f>'Data Vlaue (Cr)'!C63</f>
        <v>FEDERALBNK</v>
      </c>
      <c r="B68" s="142">
        <f>VLOOKUP(A68,'Data Vlaue (Cr)'!C63:CW277,99,0)</f>
        <v>3195</v>
      </c>
      <c r="C68" s="90">
        <f>VLOOKUP(A68,'Data Vlaue (Cr)'!C63:CY277,101,0)</f>
        <v>351</v>
      </c>
      <c r="D68" s="139">
        <f>VLOOKUP(A68,'Data Vlaue (Cr)'!C63:CZ277,102,0)</f>
        <v>0.1236</v>
      </c>
      <c r="E68" s="91">
        <f>VLOOKUP($A68,'Data Vlaue (Cr)'!$C:$FB,75)</f>
        <v>1791</v>
      </c>
      <c r="F68" s="91">
        <f>VLOOKUP($A68,'Data Vlaue (Cr)'!$C:$FB,77)</f>
        <v>22</v>
      </c>
      <c r="G68" s="92">
        <f>VLOOKUP(A68,'Data Vlaue (Cr)'!C63:CB277,78,0)</f>
        <v>1.2699999999999999E-2</v>
      </c>
      <c r="H68" s="91">
        <f>VLOOKUP($A68,'Data Vlaue (Cr)'!$C:$FB,91)</f>
        <v>829</v>
      </c>
      <c r="I68" s="91">
        <f>VLOOKUP($A68,'Data Vlaue (Cr)'!$C:$FB,93)</f>
        <v>246</v>
      </c>
      <c r="J68" s="92">
        <f>VLOOKUP($A68,'Data Vlaue (Cr)'!$C:$FB,94)</f>
        <v>0.42130000000000001</v>
      </c>
      <c r="K68" s="91">
        <f>VLOOKUP($A68,'Data Vlaue (Cr)'!$C:$FB,95)</f>
        <v>574</v>
      </c>
      <c r="L68" s="91">
        <f>VLOOKUP($A68,'Data Vlaue (Cr)'!$C:$FB,97)</f>
        <v>83</v>
      </c>
      <c r="M68" s="92">
        <f>VLOOKUP($A68,'Data Vlaue (Cr)'!$C:$FB,98)</f>
        <v>0.1696</v>
      </c>
      <c r="N68" s="91">
        <f>VLOOKUP($A68,'Data Vlaue (Cr)'!$C:$FB,79)</f>
        <v>1745</v>
      </c>
      <c r="O68" s="92">
        <f>VLOOKUP($A68,'Data Vlaue (Cr)'!$C:$FB,82)</f>
        <v>1.1599999999999999E-2</v>
      </c>
    </row>
    <row r="69" spans="1:15" x14ac:dyDescent="0.25">
      <c r="A69" s="97" t="str">
        <f>'Data Vlaue (Cr)'!C64</f>
        <v>FINNIFTY</v>
      </c>
      <c r="B69" s="142">
        <f>VLOOKUP(A69,'Data Vlaue (Cr)'!C64:CW278,99,0)</f>
        <v>3502</v>
      </c>
      <c r="C69" s="90">
        <f>VLOOKUP(A69,'Data Vlaue (Cr)'!C64:CY278,101,0)</f>
        <v>1746</v>
      </c>
      <c r="D69" s="139">
        <f>VLOOKUP(A69,'Data Vlaue (Cr)'!C64:CZ278,102,0)</f>
        <v>0.99439999999999995</v>
      </c>
      <c r="E69" s="91">
        <f>VLOOKUP($A69,'Data Vlaue (Cr)'!$C:$FB,75)</f>
        <v>82</v>
      </c>
      <c r="F69" s="91">
        <f>VLOOKUP($A69,'Data Vlaue (Cr)'!$C:$FB,77)</f>
        <v>-11</v>
      </c>
      <c r="G69" s="92">
        <f>VLOOKUP(A69,'Data Vlaue (Cr)'!C64:CB278,78,0)</f>
        <v>-0.1215</v>
      </c>
      <c r="H69" s="91">
        <f>VLOOKUP($A69,'Data Vlaue (Cr)'!$C:$FB,91)</f>
        <v>1998</v>
      </c>
      <c r="I69" s="91">
        <f>VLOOKUP($A69,'Data Vlaue (Cr)'!$C:$FB,93)</f>
        <v>948</v>
      </c>
      <c r="J69" s="92">
        <f>VLOOKUP($A69,'Data Vlaue (Cr)'!$C:$FB,94)</f>
        <v>0.90259999999999996</v>
      </c>
      <c r="K69" s="91">
        <f>VLOOKUP($A69,'Data Vlaue (Cr)'!$C:$FB,95)</f>
        <v>1423</v>
      </c>
      <c r="L69" s="91">
        <f>VLOOKUP($A69,'Data Vlaue (Cr)'!$C:$FB,97)</f>
        <v>810</v>
      </c>
      <c r="M69" s="92">
        <f>VLOOKUP($A69,'Data Vlaue (Cr)'!$C:$FB,98)</f>
        <v>1.3214999999999999</v>
      </c>
      <c r="N69" s="91">
        <f>VLOOKUP($A69,'Data Vlaue (Cr)'!$C:$FB,79)</f>
        <v>79</v>
      </c>
      <c r="O69" s="92">
        <f>VLOOKUP($A69,'Data Vlaue (Cr)'!$C:$FB,82)</f>
        <v>-0.11990000000000001</v>
      </c>
    </row>
    <row r="70" spans="1:15" x14ac:dyDescent="0.25">
      <c r="A70" s="97" t="str">
        <f>'Data Vlaue (Cr)'!C65</f>
        <v>FORTIS</v>
      </c>
      <c r="B70" s="142">
        <f>VLOOKUP(A70,'Data Vlaue (Cr)'!C65:CW279,99,0)</f>
        <v>1682</v>
      </c>
      <c r="C70" s="90">
        <f>VLOOKUP(A70,'Data Vlaue (Cr)'!C65:CY279,101,0)</f>
        <v>564</v>
      </c>
      <c r="D70" s="139">
        <f>VLOOKUP(A70,'Data Vlaue (Cr)'!C65:CZ279,102,0)</f>
        <v>0.50509999999999999</v>
      </c>
      <c r="E70" s="91">
        <f>VLOOKUP($A70,'Data Vlaue (Cr)'!$C:$FB,75)</f>
        <v>923</v>
      </c>
      <c r="F70" s="91">
        <f>VLOOKUP($A70,'Data Vlaue (Cr)'!$C:$FB,77)</f>
        <v>110</v>
      </c>
      <c r="G70" s="92">
        <f>VLOOKUP(A70,'Data Vlaue (Cr)'!C65:CB279,78,0)</f>
        <v>0.13469999999999999</v>
      </c>
      <c r="H70" s="91">
        <f>VLOOKUP($A70,'Data Vlaue (Cr)'!$C:$FB,91)</f>
        <v>447</v>
      </c>
      <c r="I70" s="91">
        <f>VLOOKUP($A70,'Data Vlaue (Cr)'!$C:$FB,93)</f>
        <v>255</v>
      </c>
      <c r="J70" s="92">
        <f>VLOOKUP($A70,'Data Vlaue (Cr)'!$C:$FB,94)</f>
        <v>1.3244</v>
      </c>
      <c r="K70" s="91">
        <f>VLOOKUP($A70,'Data Vlaue (Cr)'!$C:$FB,95)</f>
        <v>312</v>
      </c>
      <c r="L70" s="91">
        <f>VLOOKUP($A70,'Data Vlaue (Cr)'!$C:$FB,97)</f>
        <v>200</v>
      </c>
      <c r="M70" s="92">
        <f>VLOOKUP($A70,'Data Vlaue (Cr)'!$C:$FB,98)</f>
        <v>1.7930999999999999</v>
      </c>
      <c r="N70" s="91">
        <f>VLOOKUP($A70,'Data Vlaue (Cr)'!$C:$FB,79)</f>
        <v>890</v>
      </c>
      <c r="O70" s="92">
        <f>VLOOKUP($A70,'Data Vlaue (Cr)'!$C:$FB,82)</f>
        <v>0.13639999999999999</v>
      </c>
    </row>
    <row r="71" spans="1:15" x14ac:dyDescent="0.25">
      <c r="A71" s="97" t="str">
        <f>'Data Vlaue (Cr)'!C66</f>
        <v>GAIL</v>
      </c>
      <c r="B71" s="142">
        <f>VLOOKUP(A71,'Data Vlaue (Cr)'!C66:CW280,99,0)</f>
        <v>2875</v>
      </c>
      <c r="C71" s="90">
        <f>VLOOKUP(A71,'Data Vlaue (Cr)'!C66:CY280,101,0)</f>
        <v>117</v>
      </c>
      <c r="D71" s="139">
        <f>VLOOKUP(A71,'Data Vlaue (Cr)'!C66:CZ280,102,0)</f>
        <v>4.2299999999999997E-2</v>
      </c>
      <c r="E71" s="91">
        <f>VLOOKUP($A71,'Data Vlaue (Cr)'!$C:$FB,75)</f>
        <v>1822</v>
      </c>
      <c r="F71" s="91">
        <f>VLOOKUP($A71,'Data Vlaue (Cr)'!$C:$FB,77)</f>
        <v>9</v>
      </c>
      <c r="G71" s="92">
        <f>VLOOKUP(A71,'Data Vlaue (Cr)'!C66:CB280,78,0)</f>
        <v>4.7999999999999996E-3</v>
      </c>
      <c r="H71" s="91">
        <f>VLOOKUP($A71,'Data Vlaue (Cr)'!$C:$FB,91)</f>
        <v>639</v>
      </c>
      <c r="I71" s="91">
        <f>VLOOKUP($A71,'Data Vlaue (Cr)'!$C:$FB,93)</f>
        <v>88</v>
      </c>
      <c r="J71" s="92">
        <f>VLOOKUP($A71,'Data Vlaue (Cr)'!$C:$FB,94)</f>
        <v>0.15939999999999999</v>
      </c>
      <c r="K71" s="91">
        <f>VLOOKUP($A71,'Data Vlaue (Cr)'!$C:$FB,95)</f>
        <v>414</v>
      </c>
      <c r="L71" s="91">
        <f>VLOOKUP($A71,'Data Vlaue (Cr)'!$C:$FB,97)</f>
        <v>20</v>
      </c>
      <c r="M71" s="92">
        <f>VLOOKUP($A71,'Data Vlaue (Cr)'!$C:$FB,98)</f>
        <v>5.0599999999999999E-2</v>
      </c>
      <c r="N71" s="91">
        <f>VLOOKUP($A71,'Data Vlaue (Cr)'!$C:$FB,79)</f>
        <v>1768</v>
      </c>
      <c r="O71" s="92">
        <f>VLOOKUP($A71,'Data Vlaue (Cr)'!$C:$FB,82)</f>
        <v>2.8999999999999998E-3</v>
      </c>
    </row>
    <row r="72" spans="1:15" x14ac:dyDescent="0.25">
      <c r="A72" s="97" t="str">
        <f>'Data Vlaue (Cr)'!C67</f>
        <v>GLENMARK</v>
      </c>
      <c r="B72" s="142">
        <f>VLOOKUP(A72,'Data Vlaue (Cr)'!C67:CW281,99,0)</f>
        <v>1908</v>
      </c>
      <c r="C72" s="90">
        <f>VLOOKUP(A72,'Data Vlaue (Cr)'!C67:CY281,101,0)</f>
        <v>8</v>
      </c>
      <c r="D72" s="139">
        <f>VLOOKUP(A72,'Data Vlaue (Cr)'!C67:CZ281,102,0)</f>
        <v>4.3E-3</v>
      </c>
      <c r="E72" s="91">
        <f>VLOOKUP($A72,'Data Vlaue (Cr)'!$C:$FB,75)</f>
        <v>1445</v>
      </c>
      <c r="F72" s="91">
        <f>VLOOKUP($A72,'Data Vlaue (Cr)'!$C:$FB,77)</f>
        <v>-7</v>
      </c>
      <c r="G72" s="92">
        <f>VLOOKUP(A72,'Data Vlaue (Cr)'!C67:CB281,78,0)</f>
        <v>-4.5999999999999999E-3</v>
      </c>
      <c r="H72" s="91">
        <f>VLOOKUP($A72,'Data Vlaue (Cr)'!$C:$FB,91)</f>
        <v>273</v>
      </c>
      <c r="I72" s="91">
        <f>VLOOKUP($A72,'Data Vlaue (Cr)'!$C:$FB,93)</f>
        <v>14</v>
      </c>
      <c r="J72" s="92">
        <f>VLOOKUP($A72,'Data Vlaue (Cr)'!$C:$FB,94)</f>
        <v>5.3499999999999999E-2</v>
      </c>
      <c r="K72" s="91">
        <f>VLOOKUP($A72,'Data Vlaue (Cr)'!$C:$FB,95)</f>
        <v>190</v>
      </c>
      <c r="L72" s="91">
        <f>VLOOKUP($A72,'Data Vlaue (Cr)'!$C:$FB,97)</f>
        <v>1</v>
      </c>
      <c r="M72" s="92">
        <f>VLOOKUP($A72,'Data Vlaue (Cr)'!$C:$FB,98)</f>
        <v>4.7000000000000002E-3</v>
      </c>
      <c r="N72" s="91">
        <f>VLOOKUP($A72,'Data Vlaue (Cr)'!$C:$FB,79)</f>
        <v>1430</v>
      </c>
      <c r="O72" s="92">
        <f>VLOOKUP($A72,'Data Vlaue (Cr)'!$C:$FB,82)</f>
        <v>-4.7999999999999996E-3</v>
      </c>
    </row>
    <row r="73" spans="1:15" x14ac:dyDescent="0.25">
      <c r="A73" s="97" t="str">
        <f>'Data Vlaue (Cr)'!C68</f>
        <v>GMRAIRPORT</v>
      </c>
      <c r="B73" s="142">
        <f>VLOOKUP(A73,'Data Vlaue (Cr)'!C68:CW282,99,0)</f>
        <v>2696</v>
      </c>
      <c r="C73" s="90">
        <f>VLOOKUP(A73,'Data Vlaue (Cr)'!C68:CY282,101,0)</f>
        <v>61</v>
      </c>
      <c r="D73" s="139">
        <f>VLOOKUP(A73,'Data Vlaue (Cr)'!C68:CZ282,102,0)</f>
        <v>2.3099999999999999E-2</v>
      </c>
      <c r="E73" s="91">
        <f>VLOOKUP($A73,'Data Vlaue (Cr)'!$C:$FB,75)</f>
        <v>1898</v>
      </c>
      <c r="F73" s="91">
        <f>VLOOKUP($A73,'Data Vlaue (Cr)'!$C:$FB,77)</f>
        <v>11</v>
      </c>
      <c r="G73" s="92">
        <f>VLOOKUP(A73,'Data Vlaue (Cr)'!C68:CB282,78,0)</f>
        <v>6.1000000000000004E-3</v>
      </c>
      <c r="H73" s="91">
        <f>VLOOKUP($A73,'Data Vlaue (Cr)'!$C:$FB,91)</f>
        <v>527</v>
      </c>
      <c r="I73" s="91">
        <f>VLOOKUP($A73,'Data Vlaue (Cr)'!$C:$FB,93)</f>
        <v>36</v>
      </c>
      <c r="J73" s="92">
        <f>VLOOKUP($A73,'Data Vlaue (Cr)'!$C:$FB,94)</f>
        <v>7.3700000000000002E-2</v>
      </c>
      <c r="K73" s="91">
        <f>VLOOKUP($A73,'Data Vlaue (Cr)'!$C:$FB,95)</f>
        <v>271</v>
      </c>
      <c r="L73" s="91">
        <f>VLOOKUP($A73,'Data Vlaue (Cr)'!$C:$FB,97)</f>
        <v>13</v>
      </c>
      <c r="M73" s="92">
        <f>VLOOKUP($A73,'Data Vlaue (Cr)'!$C:$FB,98)</f>
        <v>5.0999999999999997E-2</v>
      </c>
      <c r="N73" s="91">
        <f>VLOOKUP($A73,'Data Vlaue (Cr)'!$C:$FB,79)</f>
        <v>1837</v>
      </c>
      <c r="O73" s="92">
        <f>VLOOKUP($A73,'Data Vlaue (Cr)'!$C:$FB,82)</f>
        <v>-4.4999999999999997E-3</v>
      </c>
    </row>
    <row r="74" spans="1:15" x14ac:dyDescent="0.25">
      <c r="A74" s="97" t="str">
        <f>'Data Vlaue (Cr)'!C69</f>
        <v>GODREJCP</v>
      </c>
      <c r="B74" s="142">
        <f>VLOOKUP(A74,'Data Vlaue (Cr)'!C69:CW283,99,0)</f>
        <v>1790</v>
      </c>
      <c r="C74" s="90">
        <f>VLOOKUP(A74,'Data Vlaue (Cr)'!C69:CY283,101,0)</f>
        <v>54</v>
      </c>
      <c r="D74" s="139">
        <f>VLOOKUP(A74,'Data Vlaue (Cr)'!C69:CZ283,102,0)</f>
        <v>3.09E-2</v>
      </c>
      <c r="E74" s="91">
        <f>VLOOKUP($A74,'Data Vlaue (Cr)'!$C:$FB,75)</f>
        <v>1319</v>
      </c>
      <c r="F74" s="91">
        <f>VLOOKUP($A74,'Data Vlaue (Cr)'!$C:$FB,77)</f>
        <v>-16</v>
      </c>
      <c r="G74" s="92">
        <f>VLOOKUP(A74,'Data Vlaue (Cr)'!C69:CB283,78,0)</f>
        <v>-1.21E-2</v>
      </c>
      <c r="H74" s="91">
        <f>VLOOKUP($A74,'Data Vlaue (Cr)'!$C:$FB,91)</f>
        <v>274</v>
      </c>
      <c r="I74" s="91">
        <f>VLOOKUP($A74,'Data Vlaue (Cr)'!$C:$FB,93)</f>
        <v>32</v>
      </c>
      <c r="J74" s="92">
        <f>VLOOKUP($A74,'Data Vlaue (Cr)'!$C:$FB,94)</f>
        <v>0.13239999999999999</v>
      </c>
      <c r="K74" s="91">
        <f>VLOOKUP($A74,'Data Vlaue (Cr)'!$C:$FB,95)</f>
        <v>196</v>
      </c>
      <c r="L74" s="91">
        <f>VLOOKUP($A74,'Data Vlaue (Cr)'!$C:$FB,97)</f>
        <v>38</v>
      </c>
      <c r="M74" s="92">
        <f>VLOOKUP($A74,'Data Vlaue (Cr)'!$C:$FB,98)</f>
        <v>0.2392</v>
      </c>
      <c r="N74" s="91">
        <f>VLOOKUP($A74,'Data Vlaue (Cr)'!$C:$FB,79)</f>
        <v>1286</v>
      </c>
      <c r="O74" s="92">
        <f>VLOOKUP($A74,'Data Vlaue (Cr)'!$C:$FB,82)</f>
        <v>-1.2999999999999999E-2</v>
      </c>
    </row>
    <row r="75" spans="1:15" x14ac:dyDescent="0.25">
      <c r="A75" s="97" t="str">
        <f>'Data Vlaue (Cr)'!C70</f>
        <v>GODREJPROP</v>
      </c>
      <c r="B75" s="142">
        <f>VLOOKUP(A75,'Data Vlaue (Cr)'!C70:CW284,99,0)</f>
        <v>2868</v>
      </c>
      <c r="C75" s="90">
        <f>VLOOKUP(A75,'Data Vlaue (Cr)'!C70:CY284,101,0)</f>
        <v>14</v>
      </c>
      <c r="D75" s="139">
        <f>VLOOKUP(A75,'Data Vlaue (Cr)'!C70:CZ284,102,0)</f>
        <v>5.0000000000000001E-3</v>
      </c>
      <c r="E75" s="91">
        <f>VLOOKUP($A75,'Data Vlaue (Cr)'!$C:$FB,75)</f>
        <v>2029</v>
      </c>
      <c r="F75" s="91">
        <f>VLOOKUP($A75,'Data Vlaue (Cr)'!$C:$FB,77)</f>
        <v>7</v>
      </c>
      <c r="G75" s="92">
        <f>VLOOKUP(A75,'Data Vlaue (Cr)'!C70:CB284,78,0)</f>
        <v>3.5999999999999999E-3</v>
      </c>
      <c r="H75" s="91">
        <f>VLOOKUP($A75,'Data Vlaue (Cr)'!$C:$FB,91)</f>
        <v>506</v>
      </c>
      <c r="I75" s="91">
        <f>VLOOKUP($A75,'Data Vlaue (Cr)'!$C:$FB,93)</f>
        <v>8</v>
      </c>
      <c r="J75" s="92">
        <f>VLOOKUP($A75,'Data Vlaue (Cr)'!$C:$FB,94)</f>
        <v>1.6799999999999999E-2</v>
      </c>
      <c r="K75" s="91">
        <f>VLOOKUP($A75,'Data Vlaue (Cr)'!$C:$FB,95)</f>
        <v>334</v>
      </c>
      <c r="L75" s="91">
        <f>VLOOKUP($A75,'Data Vlaue (Cr)'!$C:$FB,97)</f>
        <v>-1</v>
      </c>
      <c r="M75" s="92">
        <f>VLOOKUP($A75,'Data Vlaue (Cr)'!$C:$FB,98)</f>
        <v>-4.1000000000000003E-3</v>
      </c>
      <c r="N75" s="91">
        <f>VLOOKUP($A75,'Data Vlaue (Cr)'!$C:$FB,79)</f>
        <v>1984</v>
      </c>
      <c r="O75" s="92">
        <f>VLOOKUP($A75,'Data Vlaue (Cr)'!$C:$FB,82)</f>
        <v>2.8E-3</v>
      </c>
    </row>
    <row r="76" spans="1:15" x14ac:dyDescent="0.25">
      <c r="A76" s="97" t="str">
        <f>'Data Vlaue (Cr)'!C71</f>
        <v>GRASIM</v>
      </c>
      <c r="B76" s="142">
        <f>VLOOKUP(A76,'Data Vlaue (Cr)'!C71:CW285,99,0)</f>
        <v>4646</v>
      </c>
      <c r="C76" s="90">
        <f>VLOOKUP(A76,'Data Vlaue (Cr)'!C71:CY285,101,0)</f>
        <v>57</v>
      </c>
      <c r="D76" s="139">
        <f>VLOOKUP(A76,'Data Vlaue (Cr)'!C71:CZ285,102,0)</f>
        <v>1.2500000000000001E-2</v>
      </c>
      <c r="E76" s="91">
        <f>VLOOKUP($A76,'Data Vlaue (Cr)'!$C:$FB,75)</f>
        <v>3996</v>
      </c>
      <c r="F76" s="91">
        <f>VLOOKUP($A76,'Data Vlaue (Cr)'!$C:$FB,77)</f>
        <v>-7</v>
      </c>
      <c r="G76" s="92">
        <f>VLOOKUP(A76,'Data Vlaue (Cr)'!C71:CB285,78,0)</f>
        <v>-1.6999999999999999E-3</v>
      </c>
      <c r="H76" s="91">
        <f>VLOOKUP($A76,'Data Vlaue (Cr)'!$C:$FB,91)</f>
        <v>402</v>
      </c>
      <c r="I76" s="91">
        <f>VLOOKUP($A76,'Data Vlaue (Cr)'!$C:$FB,93)</f>
        <v>41</v>
      </c>
      <c r="J76" s="92">
        <f>VLOOKUP($A76,'Data Vlaue (Cr)'!$C:$FB,94)</f>
        <v>0.11509999999999999</v>
      </c>
      <c r="K76" s="91">
        <f>VLOOKUP($A76,'Data Vlaue (Cr)'!$C:$FB,95)</f>
        <v>248</v>
      </c>
      <c r="L76" s="91">
        <f>VLOOKUP($A76,'Data Vlaue (Cr)'!$C:$FB,97)</f>
        <v>23</v>
      </c>
      <c r="M76" s="92">
        <f>VLOOKUP($A76,'Data Vlaue (Cr)'!$C:$FB,98)</f>
        <v>0.1002</v>
      </c>
      <c r="N76" s="91">
        <f>VLOOKUP($A76,'Data Vlaue (Cr)'!$C:$FB,79)</f>
        <v>3983</v>
      </c>
      <c r="O76" s="92">
        <f>VLOOKUP($A76,'Data Vlaue (Cr)'!$C:$FB,82)</f>
        <v>-1.8E-3</v>
      </c>
    </row>
    <row r="77" spans="1:15" x14ac:dyDescent="0.25">
      <c r="A77" s="97" t="str">
        <f>'Data Vlaue (Cr)'!C72</f>
        <v>HAL</v>
      </c>
      <c r="B77" s="142">
        <f>VLOOKUP(A77,'Data Vlaue (Cr)'!C72:CW286,99,0)</f>
        <v>7158</v>
      </c>
      <c r="C77" s="90">
        <f>VLOOKUP(A77,'Data Vlaue (Cr)'!C72:CY286,101,0)</f>
        <v>307</v>
      </c>
      <c r="D77" s="139">
        <f>VLOOKUP(A77,'Data Vlaue (Cr)'!C72:CZ286,102,0)</f>
        <v>4.48E-2</v>
      </c>
      <c r="E77" s="91">
        <f>VLOOKUP($A77,'Data Vlaue (Cr)'!$C:$FB,75)</f>
        <v>4316</v>
      </c>
      <c r="F77" s="91">
        <f>VLOOKUP($A77,'Data Vlaue (Cr)'!$C:$FB,77)</f>
        <v>76</v>
      </c>
      <c r="G77" s="92">
        <f>VLOOKUP(A77,'Data Vlaue (Cr)'!C72:CB286,78,0)</f>
        <v>1.7999999999999999E-2</v>
      </c>
      <c r="H77" s="91">
        <f>VLOOKUP($A77,'Data Vlaue (Cr)'!$C:$FB,91)</f>
        <v>1739</v>
      </c>
      <c r="I77" s="91">
        <f>VLOOKUP($A77,'Data Vlaue (Cr)'!$C:$FB,93)</f>
        <v>207</v>
      </c>
      <c r="J77" s="92">
        <f>VLOOKUP($A77,'Data Vlaue (Cr)'!$C:$FB,94)</f>
        <v>0.1351</v>
      </c>
      <c r="K77" s="91">
        <f>VLOOKUP($A77,'Data Vlaue (Cr)'!$C:$FB,95)</f>
        <v>1103</v>
      </c>
      <c r="L77" s="91">
        <f>VLOOKUP($A77,'Data Vlaue (Cr)'!$C:$FB,97)</f>
        <v>24</v>
      </c>
      <c r="M77" s="92">
        <f>VLOOKUP($A77,'Data Vlaue (Cr)'!$C:$FB,98)</f>
        <v>2.1899999999999999E-2</v>
      </c>
      <c r="N77" s="91">
        <f>VLOOKUP($A77,'Data Vlaue (Cr)'!$C:$FB,79)</f>
        <v>4126</v>
      </c>
      <c r="O77" s="92">
        <f>VLOOKUP($A77,'Data Vlaue (Cr)'!$C:$FB,82)</f>
        <v>1.37E-2</v>
      </c>
    </row>
    <row r="78" spans="1:15" x14ac:dyDescent="0.25">
      <c r="A78" s="97" t="str">
        <f>'Data Vlaue (Cr)'!C73</f>
        <v>HAVELLS</v>
      </c>
      <c r="B78" s="142">
        <f>VLOOKUP(A78,'Data Vlaue (Cr)'!C73:CW287,99,0)</f>
        <v>2181</v>
      </c>
      <c r="C78" s="90">
        <f>VLOOKUP(A78,'Data Vlaue (Cr)'!C73:CY287,101,0)</f>
        <v>67</v>
      </c>
      <c r="D78" s="139">
        <f>VLOOKUP(A78,'Data Vlaue (Cr)'!C73:CZ287,102,0)</f>
        <v>3.1899999999999998E-2</v>
      </c>
      <c r="E78" s="91">
        <f>VLOOKUP($A78,'Data Vlaue (Cr)'!$C:$FB,75)</f>
        <v>1564</v>
      </c>
      <c r="F78" s="91">
        <f>VLOOKUP($A78,'Data Vlaue (Cr)'!$C:$FB,77)</f>
        <v>27</v>
      </c>
      <c r="G78" s="92">
        <f>VLOOKUP(A78,'Data Vlaue (Cr)'!C73:CB287,78,0)</f>
        <v>1.7500000000000002E-2</v>
      </c>
      <c r="H78" s="91">
        <f>VLOOKUP($A78,'Data Vlaue (Cr)'!$C:$FB,91)</f>
        <v>374</v>
      </c>
      <c r="I78" s="91">
        <f>VLOOKUP($A78,'Data Vlaue (Cr)'!$C:$FB,93)</f>
        <v>24</v>
      </c>
      <c r="J78" s="92">
        <f>VLOOKUP($A78,'Data Vlaue (Cr)'!$C:$FB,94)</f>
        <v>6.7500000000000004E-2</v>
      </c>
      <c r="K78" s="91">
        <f>VLOOKUP($A78,'Data Vlaue (Cr)'!$C:$FB,95)</f>
        <v>242</v>
      </c>
      <c r="L78" s="91">
        <f>VLOOKUP($A78,'Data Vlaue (Cr)'!$C:$FB,97)</f>
        <v>17</v>
      </c>
      <c r="M78" s="92">
        <f>VLOOKUP($A78,'Data Vlaue (Cr)'!$C:$FB,98)</f>
        <v>7.46E-2</v>
      </c>
      <c r="N78" s="91">
        <f>VLOOKUP($A78,'Data Vlaue (Cr)'!$C:$FB,79)</f>
        <v>1536</v>
      </c>
      <c r="O78" s="92">
        <f>VLOOKUP($A78,'Data Vlaue (Cr)'!$C:$FB,82)</f>
        <v>1.52E-2</v>
      </c>
    </row>
    <row r="79" spans="1:15" x14ac:dyDescent="0.25">
      <c r="A79" s="97" t="str">
        <f>'Data Vlaue (Cr)'!C74</f>
        <v>HCLTECH</v>
      </c>
      <c r="B79" s="142">
        <f>VLOOKUP(A79,'Data Vlaue (Cr)'!C74:CW288,99,0)</f>
        <v>4236</v>
      </c>
      <c r="C79" s="90">
        <f>VLOOKUP(A79,'Data Vlaue (Cr)'!C74:CY288,101,0)</f>
        <v>97</v>
      </c>
      <c r="D79" s="139">
        <f>VLOOKUP(A79,'Data Vlaue (Cr)'!C74:CZ288,102,0)</f>
        <v>2.35E-2</v>
      </c>
      <c r="E79" s="91">
        <f>VLOOKUP($A79,'Data Vlaue (Cr)'!$C:$FB,75)</f>
        <v>2962</v>
      </c>
      <c r="F79" s="91">
        <f>VLOOKUP($A79,'Data Vlaue (Cr)'!$C:$FB,77)</f>
        <v>10</v>
      </c>
      <c r="G79" s="92">
        <f>VLOOKUP(A79,'Data Vlaue (Cr)'!C74:CB288,78,0)</f>
        <v>3.5000000000000001E-3</v>
      </c>
      <c r="H79" s="91">
        <f>VLOOKUP($A79,'Data Vlaue (Cr)'!$C:$FB,91)</f>
        <v>714</v>
      </c>
      <c r="I79" s="91">
        <f>VLOOKUP($A79,'Data Vlaue (Cr)'!$C:$FB,93)</f>
        <v>67</v>
      </c>
      <c r="J79" s="92">
        <f>VLOOKUP($A79,'Data Vlaue (Cr)'!$C:$FB,94)</f>
        <v>0.1041</v>
      </c>
      <c r="K79" s="91">
        <f>VLOOKUP($A79,'Data Vlaue (Cr)'!$C:$FB,95)</f>
        <v>560</v>
      </c>
      <c r="L79" s="91">
        <f>VLOOKUP($A79,'Data Vlaue (Cr)'!$C:$FB,97)</f>
        <v>20</v>
      </c>
      <c r="M79" s="92">
        <f>VLOOKUP($A79,'Data Vlaue (Cr)'!$C:$FB,98)</f>
        <v>3.6600000000000001E-2</v>
      </c>
      <c r="N79" s="91">
        <f>VLOOKUP($A79,'Data Vlaue (Cr)'!$C:$FB,79)</f>
        <v>2891</v>
      </c>
      <c r="O79" s="92">
        <f>VLOOKUP($A79,'Data Vlaue (Cr)'!$C:$FB,82)</f>
        <v>2.5999999999999999E-3</v>
      </c>
    </row>
    <row r="80" spans="1:15" x14ac:dyDescent="0.25">
      <c r="A80" s="97" t="str">
        <f>'Data Vlaue (Cr)'!C75</f>
        <v>HDFCAMC</v>
      </c>
      <c r="B80" s="142">
        <f>VLOOKUP(A80,'Data Vlaue (Cr)'!C75:CW289,99,0)</f>
        <v>1719</v>
      </c>
      <c r="C80" s="90">
        <f>VLOOKUP(A80,'Data Vlaue (Cr)'!C75:CY289,101,0)</f>
        <v>37</v>
      </c>
      <c r="D80" s="139">
        <f>VLOOKUP(A80,'Data Vlaue (Cr)'!C75:CZ289,102,0)</f>
        <v>2.23E-2</v>
      </c>
      <c r="E80" s="91">
        <f>VLOOKUP($A80,'Data Vlaue (Cr)'!$C:$FB,75)</f>
        <v>1175</v>
      </c>
      <c r="F80" s="91">
        <f>VLOOKUP($A80,'Data Vlaue (Cr)'!$C:$FB,77)</f>
        <v>26</v>
      </c>
      <c r="G80" s="92">
        <f>VLOOKUP(A80,'Data Vlaue (Cr)'!C75:CB289,78,0)</f>
        <v>2.24E-2</v>
      </c>
      <c r="H80" s="91">
        <f>VLOOKUP($A80,'Data Vlaue (Cr)'!$C:$FB,91)</f>
        <v>288</v>
      </c>
      <c r="I80" s="91">
        <f>VLOOKUP($A80,'Data Vlaue (Cr)'!$C:$FB,93)</f>
        <v>14</v>
      </c>
      <c r="J80" s="92">
        <f>VLOOKUP($A80,'Data Vlaue (Cr)'!$C:$FB,94)</f>
        <v>5.0500000000000003E-2</v>
      </c>
      <c r="K80" s="91">
        <f>VLOOKUP($A80,'Data Vlaue (Cr)'!$C:$FB,95)</f>
        <v>256</v>
      </c>
      <c r="L80" s="91">
        <f>VLOOKUP($A80,'Data Vlaue (Cr)'!$C:$FB,97)</f>
        <v>-2</v>
      </c>
      <c r="M80" s="92">
        <f>VLOOKUP($A80,'Data Vlaue (Cr)'!$C:$FB,98)</f>
        <v>-7.9000000000000008E-3</v>
      </c>
      <c r="N80" s="91">
        <f>VLOOKUP($A80,'Data Vlaue (Cr)'!$C:$FB,79)</f>
        <v>1159</v>
      </c>
      <c r="O80" s="92">
        <f>VLOOKUP($A80,'Data Vlaue (Cr)'!$C:$FB,82)</f>
        <v>1.66E-2</v>
      </c>
    </row>
    <row r="81" spans="1:15" x14ac:dyDescent="0.25">
      <c r="A81" s="97" t="str">
        <f>'Data Vlaue (Cr)'!C76</f>
        <v>HDFCBANK</v>
      </c>
      <c r="B81" s="142">
        <f>VLOOKUP(A81,'Data Vlaue (Cr)'!C76:CW290,99,0)</f>
        <v>26151</v>
      </c>
      <c r="C81" s="90">
        <f>VLOOKUP(A81,'Data Vlaue (Cr)'!C76:CY290,101,0)</f>
        <v>-276</v>
      </c>
      <c r="D81" s="139">
        <f>VLOOKUP(A81,'Data Vlaue (Cr)'!C76:CZ290,102,0)</f>
        <v>-1.04E-2</v>
      </c>
      <c r="E81" s="91">
        <f>VLOOKUP($A81,'Data Vlaue (Cr)'!$C:$FB,75)</f>
        <v>20813</v>
      </c>
      <c r="F81" s="91">
        <f>VLOOKUP($A81,'Data Vlaue (Cr)'!$C:$FB,77)</f>
        <v>-400</v>
      </c>
      <c r="G81" s="92">
        <f>VLOOKUP(A81,'Data Vlaue (Cr)'!C76:CB290,78,0)</f>
        <v>-1.89E-2</v>
      </c>
      <c r="H81" s="91">
        <f>VLOOKUP($A81,'Data Vlaue (Cr)'!$C:$FB,91)</f>
        <v>2922</v>
      </c>
      <c r="I81" s="91">
        <f>VLOOKUP($A81,'Data Vlaue (Cr)'!$C:$FB,93)</f>
        <v>2</v>
      </c>
      <c r="J81" s="92">
        <f>VLOOKUP($A81,'Data Vlaue (Cr)'!$C:$FB,94)</f>
        <v>6.9999999999999999E-4</v>
      </c>
      <c r="K81" s="91">
        <f>VLOOKUP($A81,'Data Vlaue (Cr)'!$C:$FB,95)</f>
        <v>2416</v>
      </c>
      <c r="L81" s="91">
        <f>VLOOKUP($A81,'Data Vlaue (Cr)'!$C:$FB,97)</f>
        <v>122</v>
      </c>
      <c r="M81" s="92">
        <f>VLOOKUP($A81,'Data Vlaue (Cr)'!$C:$FB,98)</f>
        <v>5.3100000000000001E-2</v>
      </c>
      <c r="N81" s="91">
        <f>VLOOKUP($A81,'Data Vlaue (Cr)'!$C:$FB,79)</f>
        <v>20354</v>
      </c>
      <c r="O81" s="92">
        <f>VLOOKUP($A81,'Data Vlaue (Cr)'!$C:$FB,82)</f>
        <v>-1.9599999999999999E-2</v>
      </c>
    </row>
    <row r="82" spans="1:15" x14ac:dyDescent="0.25">
      <c r="A82" s="97" t="str">
        <f>'Data Vlaue (Cr)'!C77</f>
        <v>HDFCLIFE</v>
      </c>
      <c r="B82" s="142">
        <f>VLOOKUP(A82,'Data Vlaue (Cr)'!C77:CW291,99,0)</f>
        <v>2962</v>
      </c>
      <c r="C82" s="90">
        <f>VLOOKUP(A82,'Data Vlaue (Cr)'!C77:CY291,101,0)</f>
        <v>107</v>
      </c>
      <c r="D82" s="139">
        <f>VLOOKUP(A82,'Data Vlaue (Cr)'!C77:CZ291,102,0)</f>
        <v>3.7600000000000001E-2</v>
      </c>
      <c r="E82" s="91">
        <f>VLOOKUP($A82,'Data Vlaue (Cr)'!$C:$FB,75)</f>
        <v>2149</v>
      </c>
      <c r="F82" s="91">
        <f>VLOOKUP($A82,'Data Vlaue (Cr)'!$C:$FB,77)</f>
        <v>1</v>
      </c>
      <c r="G82" s="92">
        <f>VLOOKUP(A82,'Data Vlaue (Cr)'!C77:CB291,78,0)</f>
        <v>5.0000000000000001E-4</v>
      </c>
      <c r="H82" s="91">
        <f>VLOOKUP($A82,'Data Vlaue (Cr)'!$C:$FB,91)</f>
        <v>494</v>
      </c>
      <c r="I82" s="91">
        <f>VLOOKUP($A82,'Data Vlaue (Cr)'!$C:$FB,93)</f>
        <v>75</v>
      </c>
      <c r="J82" s="92">
        <f>VLOOKUP($A82,'Data Vlaue (Cr)'!$C:$FB,94)</f>
        <v>0.17829999999999999</v>
      </c>
      <c r="K82" s="91">
        <f>VLOOKUP($A82,'Data Vlaue (Cr)'!$C:$FB,95)</f>
        <v>319</v>
      </c>
      <c r="L82" s="91">
        <f>VLOOKUP($A82,'Data Vlaue (Cr)'!$C:$FB,97)</f>
        <v>31</v>
      </c>
      <c r="M82" s="92">
        <f>VLOOKUP($A82,'Data Vlaue (Cr)'!$C:$FB,98)</f>
        <v>0.1087</v>
      </c>
      <c r="N82" s="91">
        <f>VLOOKUP($A82,'Data Vlaue (Cr)'!$C:$FB,79)</f>
        <v>2127</v>
      </c>
      <c r="O82" s="92">
        <f>VLOOKUP($A82,'Data Vlaue (Cr)'!$C:$FB,82)</f>
        <v>5.0000000000000001E-4</v>
      </c>
    </row>
    <row r="83" spans="1:15" x14ac:dyDescent="0.25">
      <c r="A83" s="97" t="str">
        <f>'Data Vlaue (Cr)'!C78</f>
        <v>HEROMOTOCO</v>
      </c>
      <c r="B83" s="142">
        <f>VLOOKUP(A83,'Data Vlaue (Cr)'!C78:CW292,99,0)</f>
        <v>4862</v>
      </c>
      <c r="C83" s="90">
        <f>VLOOKUP(A83,'Data Vlaue (Cr)'!C78:CY292,101,0)</f>
        <v>-21</v>
      </c>
      <c r="D83" s="139">
        <f>VLOOKUP(A83,'Data Vlaue (Cr)'!C78:CZ292,102,0)</f>
        <v>-4.3E-3</v>
      </c>
      <c r="E83" s="91">
        <f>VLOOKUP($A83,'Data Vlaue (Cr)'!$C:$FB,75)</f>
        <v>2676</v>
      </c>
      <c r="F83" s="91">
        <f>VLOOKUP($A83,'Data Vlaue (Cr)'!$C:$FB,77)</f>
        <v>-59</v>
      </c>
      <c r="G83" s="92">
        <f>VLOOKUP(A83,'Data Vlaue (Cr)'!C78:CB292,78,0)</f>
        <v>-2.1700000000000001E-2</v>
      </c>
      <c r="H83" s="91">
        <f>VLOOKUP($A83,'Data Vlaue (Cr)'!$C:$FB,91)</f>
        <v>1229</v>
      </c>
      <c r="I83" s="91">
        <f>VLOOKUP($A83,'Data Vlaue (Cr)'!$C:$FB,93)</f>
        <v>4</v>
      </c>
      <c r="J83" s="92">
        <f>VLOOKUP($A83,'Data Vlaue (Cr)'!$C:$FB,94)</f>
        <v>3.3999999999999998E-3</v>
      </c>
      <c r="K83" s="91">
        <f>VLOOKUP($A83,'Data Vlaue (Cr)'!$C:$FB,95)</f>
        <v>957</v>
      </c>
      <c r="L83" s="91">
        <f>VLOOKUP($A83,'Data Vlaue (Cr)'!$C:$FB,97)</f>
        <v>34</v>
      </c>
      <c r="M83" s="92">
        <f>VLOOKUP($A83,'Data Vlaue (Cr)'!$C:$FB,98)</f>
        <v>3.7199999999999997E-2</v>
      </c>
      <c r="N83" s="91">
        <f>VLOOKUP($A83,'Data Vlaue (Cr)'!$C:$FB,79)</f>
        <v>2521</v>
      </c>
      <c r="O83" s="92">
        <f>VLOOKUP($A83,'Data Vlaue (Cr)'!$C:$FB,82)</f>
        <v>-2.6200000000000001E-2</v>
      </c>
    </row>
    <row r="84" spans="1:15" x14ac:dyDescent="0.25">
      <c r="A84" s="97" t="str">
        <f>'Data Vlaue (Cr)'!C79</f>
        <v>HFCL</v>
      </c>
      <c r="B84" s="142">
        <f>VLOOKUP(A84,'Data Vlaue (Cr)'!C79:CW293,99,0)</f>
        <v>1276</v>
      </c>
      <c r="C84" s="90">
        <f>VLOOKUP(A84,'Data Vlaue (Cr)'!C79:CY293,101,0)</f>
        <v>83</v>
      </c>
      <c r="D84" s="139">
        <f>VLOOKUP(A84,'Data Vlaue (Cr)'!C79:CZ293,102,0)</f>
        <v>6.9199999999999998E-2</v>
      </c>
      <c r="E84" s="91">
        <f>VLOOKUP($A84,'Data Vlaue (Cr)'!$C:$FB,75)</f>
        <v>882</v>
      </c>
      <c r="F84" s="91">
        <f>VLOOKUP($A84,'Data Vlaue (Cr)'!$C:$FB,77)</f>
        <v>41</v>
      </c>
      <c r="G84" s="92">
        <f>VLOOKUP(A84,'Data Vlaue (Cr)'!C79:CB293,78,0)</f>
        <v>4.8399999999999999E-2</v>
      </c>
      <c r="H84" s="91">
        <f>VLOOKUP($A84,'Data Vlaue (Cr)'!$C:$FB,91)</f>
        <v>253</v>
      </c>
      <c r="I84" s="91">
        <f>VLOOKUP($A84,'Data Vlaue (Cr)'!$C:$FB,93)</f>
        <v>37</v>
      </c>
      <c r="J84" s="92">
        <f>VLOOKUP($A84,'Data Vlaue (Cr)'!$C:$FB,94)</f>
        <v>0.17199999999999999</v>
      </c>
      <c r="K84" s="91">
        <f>VLOOKUP($A84,'Data Vlaue (Cr)'!$C:$FB,95)</f>
        <v>140</v>
      </c>
      <c r="L84" s="91">
        <f>VLOOKUP($A84,'Data Vlaue (Cr)'!$C:$FB,97)</f>
        <v>5</v>
      </c>
      <c r="M84" s="92">
        <f>VLOOKUP($A84,'Data Vlaue (Cr)'!$C:$FB,98)</f>
        <v>3.4500000000000003E-2</v>
      </c>
      <c r="N84" s="91">
        <f>VLOOKUP($A84,'Data Vlaue (Cr)'!$C:$FB,79)</f>
        <v>832</v>
      </c>
      <c r="O84" s="92">
        <f>VLOOKUP($A84,'Data Vlaue (Cr)'!$C:$FB,82)</f>
        <v>3.6499999999999998E-2</v>
      </c>
    </row>
    <row r="85" spans="1:15" x14ac:dyDescent="0.25">
      <c r="A85" s="97" t="str">
        <f>'Data Vlaue (Cr)'!C80</f>
        <v>HINDALCO</v>
      </c>
      <c r="B85" s="142">
        <f>VLOOKUP(A85,'Data Vlaue (Cr)'!C80:CW294,99,0)</f>
        <v>6757</v>
      </c>
      <c r="C85" s="90">
        <f>VLOOKUP(A85,'Data Vlaue (Cr)'!C80:CY294,101,0)</f>
        <v>119</v>
      </c>
      <c r="D85" s="139">
        <f>VLOOKUP(A85,'Data Vlaue (Cr)'!C80:CZ294,102,0)</f>
        <v>1.7899999999999999E-2</v>
      </c>
      <c r="E85" s="91">
        <f>VLOOKUP($A85,'Data Vlaue (Cr)'!$C:$FB,75)</f>
        <v>4866</v>
      </c>
      <c r="F85" s="91">
        <f>VLOOKUP($A85,'Data Vlaue (Cr)'!$C:$FB,77)</f>
        <v>-8</v>
      </c>
      <c r="G85" s="92">
        <f>VLOOKUP(A85,'Data Vlaue (Cr)'!C80:CB294,78,0)</f>
        <v>-1.6000000000000001E-3</v>
      </c>
      <c r="H85" s="91">
        <f>VLOOKUP($A85,'Data Vlaue (Cr)'!$C:$FB,91)</f>
        <v>1062</v>
      </c>
      <c r="I85" s="91">
        <f>VLOOKUP($A85,'Data Vlaue (Cr)'!$C:$FB,93)</f>
        <v>95</v>
      </c>
      <c r="J85" s="92">
        <f>VLOOKUP($A85,'Data Vlaue (Cr)'!$C:$FB,94)</f>
        <v>9.8599999999999993E-2</v>
      </c>
      <c r="K85" s="91">
        <f>VLOOKUP($A85,'Data Vlaue (Cr)'!$C:$FB,95)</f>
        <v>828</v>
      </c>
      <c r="L85" s="91">
        <f>VLOOKUP($A85,'Data Vlaue (Cr)'!$C:$FB,97)</f>
        <v>31</v>
      </c>
      <c r="M85" s="92">
        <f>VLOOKUP($A85,'Data Vlaue (Cr)'!$C:$FB,98)</f>
        <v>3.9300000000000002E-2</v>
      </c>
      <c r="N85" s="91">
        <f>VLOOKUP($A85,'Data Vlaue (Cr)'!$C:$FB,79)</f>
        <v>4812</v>
      </c>
      <c r="O85" s="92">
        <f>VLOOKUP($A85,'Data Vlaue (Cr)'!$C:$FB,82)</f>
        <v>-2E-3</v>
      </c>
    </row>
    <row r="86" spans="1:15" x14ac:dyDescent="0.25">
      <c r="A86" s="97" t="str">
        <f>'Data Vlaue (Cr)'!C81</f>
        <v>HINDPETRO</v>
      </c>
      <c r="B86" s="142">
        <f>VLOOKUP(A86,'Data Vlaue (Cr)'!C81:CW295,99,0)</f>
        <v>3509</v>
      </c>
      <c r="C86" s="90">
        <f>VLOOKUP(A86,'Data Vlaue (Cr)'!C81:CY295,101,0)</f>
        <v>155</v>
      </c>
      <c r="D86" s="139">
        <f>VLOOKUP(A86,'Data Vlaue (Cr)'!C81:CZ295,102,0)</f>
        <v>4.6100000000000002E-2</v>
      </c>
      <c r="E86" s="91">
        <f>VLOOKUP($A86,'Data Vlaue (Cr)'!$C:$FB,75)</f>
        <v>2295</v>
      </c>
      <c r="F86" s="91">
        <f>VLOOKUP($A86,'Data Vlaue (Cr)'!$C:$FB,77)</f>
        <v>66</v>
      </c>
      <c r="G86" s="92">
        <f>VLOOKUP(A86,'Data Vlaue (Cr)'!C81:CB295,78,0)</f>
        <v>2.9700000000000001E-2</v>
      </c>
      <c r="H86" s="91">
        <f>VLOOKUP($A86,'Data Vlaue (Cr)'!$C:$FB,91)</f>
        <v>777</v>
      </c>
      <c r="I86" s="91">
        <f>VLOOKUP($A86,'Data Vlaue (Cr)'!$C:$FB,93)</f>
        <v>44</v>
      </c>
      <c r="J86" s="92">
        <f>VLOOKUP($A86,'Data Vlaue (Cr)'!$C:$FB,94)</f>
        <v>6.0100000000000001E-2</v>
      </c>
      <c r="K86" s="91">
        <f>VLOOKUP($A86,'Data Vlaue (Cr)'!$C:$FB,95)</f>
        <v>438</v>
      </c>
      <c r="L86" s="91">
        <f>VLOOKUP($A86,'Data Vlaue (Cr)'!$C:$FB,97)</f>
        <v>45</v>
      </c>
      <c r="M86" s="92">
        <f>VLOOKUP($A86,'Data Vlaue (Cr)'!$C:$FB,98)</f>
        <v>0.1133</v>
      </c>
      <c r="N86" s="91">
        <f>VLOOKUP($A86,'Data Vlaue (Cr)'!$C:$FB,79)</f>
        <v>2265</v>
      </c>
      <c r="O86" s="92">
        <f>VLOOKUP($A86,'Data Vlaue (Cr)'!$C:$FB,82)</f>
        <v>2.75E-2</v>
      </c>
    </row>
    <row r="87" spans="1:15" x14ac:dyDescent="0.25">
      <c r="A87" s="97" t="str">
        <f>'Data Vlaue (Cr)'!C82</f>
        <v>HINDUNILVR</v>
      </c>
      <c r="B87" s="142">
        <f>VLOOKUP(A87,'Data Vlaue (Cr)'!C82:CW296,99,0)</f>
        <v>5255</v>
      </c>
      <c r="C87" s="90">
        <f>VLOOKUP(A87,'Data Vlaue (Cr)'!C82:CY296,101,0)</f>
        <v>-95</v>
      </c>
      <c r="D87" s="139">
        <f>VLOOKUP(A87,'Data Vlaue (Cr)'!C82:CZ296,102,0)</f>
        <v>-1.78E-2</v>
      </c>
      <c r="E87" s="91">
        <f>VLOOKUP($A87,'Data Vlaue (Cr)'!$C:$FB,75)</f>
        <v>3732</v>
      </c>
      <c r="F87" s="91">
        <f>VLOOKUP($A87,'Data Vlaue (Cr)'!$C:$FB,77)</f>
        <v>-74</v>
      </c>
      <c r="G87" s="92">
        <f>VLOOKUP(A87,'Data Vlaue (Cr)'!C82:CB296,78,0)</f>
        <v>-1.9400000000000001E-2</v>
      </c>
      <c r="H87" s="91">
        <f>VLOOKUP($A87,'Data Vlaue (Cr)'!$C:$FB,91)</f>
        <v>920</v>
      </c>
      <c r="I87" s="91">
        <f>VLOOKUP($A87,'Data Vlaue (Cr)'!$C:$FB,93)</f>
        <v>-15</v>
      </c>
      <c r="J87" s="92">
        <f>VLOOKUP($A87,'Data Vlaue (Cr)'!$C:$FB,94)</f>
        <v>-1.6299999999999999E-2</v>
      </c>
      <c r="K87" s="91">
        <f>VLOOKUP($A87,'Data Vlaue (Cr)'!$C:$FB,95)</f>
        <v>603</v>
      </c>
      <c r="L87" s="91">
        <f>VLOOKUP($A87,'Data Vlaue (Cr)'!$C:$FB,97)</f>
        <v>-7</v>
      </c>
      <c r="M87" s="92">
        <f>VLOOKUP($A87,'Data Vlaue (Cr)'!$C:$FB,98)</f>
        <v>-1.0699999999999999E-2</v>
      </c>
      <c r="N87" s="91">
        <f>VLOOKUP($A87,'Data Vlaue (Cr)'!$C:$FB,79)</f>
        <v>3642</v>
      </c>
      <c r="O87" s="92">
        <f>VLOOKUP($A87,'Data Vlaue (Cr)'!$C:$FB,82)</f>
        <v>-2.1999999999999999E-2</v>
      </c>
    </row>
    <row r="88" spans="1:15" x14ac:dyDescent="0.25">
      <c r="A88" s="97" t="str">
        <f>'Data Vlaue (Cr)'!C83</f>
        <v>HINDZINC</v>
      </c>
      <c r="B88" s="142">
        <f>VLOOKUP(A88,'Data Vlaue (Cr)'!C83:CW297,99,0)</f>
        <v>2820</v>
      </c>
      <c r="C88" s="90">
        <f>VLOOKUP(A88,'Data Vlaue (Cr)'!C83:CY297,101,0)</f>
        <v>134</v>
      </c>
      <c r="D88" s="139">
        <f>VLOOKUP(A88,'Data Vlaue (Cr)'!C83:CZ297,102,0)</f>
        <v>0.05</v>
      </c>
      <c r="E88" s="91">
        <f>VLOOKUP($A88,'Data Vlaue (Cr)'!$C:$FB,75)</f>
        <v>1610</v>
      </c>
      <c r="F88" s="91">
        <f>VLOOKUP($A88,'Data Vlaue (Cr)'!$C:$FB,77)</f>
        <v>36</v>
      </c>
      <c r="G88" s="92">
        <f>VLOOKUP(A88,'Data Vlaue (Cr)'!C83:CB297,78,0)</f>
        <v>2.2599999999999999E-2</v>
      </c>
      <c r="H88" s="91">
        <f>VLOOKUP($A88,'Data Vlaue (Cr)'!$C:$FB,91)</f>
        <v>769</v>
      </c>
      <c r="I88" s="91">
        <f>VLOOKUP($A88,'Data Vlaue (Cr)'!$C:$FB,93)</f>
        <v>79</v>
      </c>
      <c r="J88" s="92">
        <f>VLOOKUP($A88,'Data Vlaue (Cr)'!$C:$FB,94)</f>
        <v>0.115</v>
      </c>
      <c r="K88" s="91">
        <f>VLOOKUP($A88,'Data Vlaue (Cr)'!$C:$FB,95)</f>
        <v>441</v>
      </c>
      <c r="L88" s="91">
        <f>VLOOKUP($A88,'Data Vlaue (Cr)'!$C:$FB,97)</f>
        <v>19</v>
      </c>
      <c r="M88" s="92">
        <f>VLOOKUP($A88,'Data Vlaue (Cr)'!$C:$FB,98)</f>
        <v>4.5699999999999998E-2</v>
      </c>
      <c r="N88" s="91">
        <f>VLOOKUP($A88,'Data Vlaue (Cr)'!$C:$FB,79)</f>
        <v>1535</v>
      </c>
      <c r="O88" s="92">
        <f>VLOOKUP($A88,'Data Vlaue (Cr)'!$C:$FB,82)</f>
        <v>1.3599999999999999E-2</v>
      </c>
    </row>
    <row r="89" spans="1:15" x14ac:dyDescent="0.25">
      <c r="A89" s="97" t="str">
        <f>'Data Vlaue (Cr)'!C84</f>
        <v>HUDCO</v>
      </c>
      <c r="B89" s="142">
        <f>VLOOKUP(A89,'Data Vlaue (Cr)'!C84:CW298,99,0)</f>
        <v>1114</v>
      </c>
      <c r="C89" s="90">
        <f>VLOOKUP(A89,'Data Vlaue (Cr)'!C84:CY298,101,0)</f>
        <v>71</v>
      </c>
      <c r="D89" s="139">
        <f>VLOOKUP(A89,'Data Vlaue (Cr)'!C84:CZ298,102,0)</f>
        <v>6.8500000000000005E-2</v>
      </c>
      <c r="E89" s="91">
        <f>VLOOKUP($A89,'Data Vlaue (Cr)'!$C:$FB,75)</f>
        <v>634</v>
      </c>
      <c r="F89" s="91">
        <f>VLOOKUP($A89,'Data Vlaue (Cr)'!$C:$FB,77)</f>
        <v>1</v>
      </c>
      <c r="G89" s="92">
        <f>VLOOKUP(A89,'Data Vlaue (Cr)'!C84:CB298,78,0)</f>
        <v>2E-3</v>
      </c>
      <c r="H89" s="91">
        <f>VLOOKUP($A89,'Data Vlaue (Cr)'!$C:$FB,91)</f>
        <v>306</v>
      </c>
      <c r="I89" s="91">
        <f>VLOOKUP($A89,'Data Vlaue (Cr)'!$C:$FB,93)</f>
        <v>49</v>
      </c>
      <c r="J89" s="92">
        <f>VLOOKUP($A89,'Data Vlaue (Cr)'!$C:$FB,94)</f>
        <v>0.19070000000000001</v>
      </c>
      <c r="K89" s="91">
        <f>VLOOKUP($A89,'Data Vlaue (Cr)'!$C:$FB,95)</f>
        <v>175</v>
      </c>
      <c r="L89" s="91">
        <f>VLOOKUP($A89,'Data Vlaue (Cr)'!$C:$FB,97)</f>
        <v>21</v>
      </c>
      <c r="M89" s="92">
        <f>VLOOKUP($A89,'Data Vlaue (Cr)'!$C:$FB,98)</f>
        <v>0.13800000000000001</v>
      </c>
      <c r="N89" s="91">
        <f>VLOOKUP($A89,'Data Vlaue (Cr)'!$C:$FB,79)</f>
        <v>613</v>
      </c>
      <c r="O89" s="92">
        <f>VLOOKUP($A89,'Data Vlaue (Cr)'!$C:$FB,82)</f>
        <v>-2.0000000000000001E-4</v>
      </c>
    </row>
    <row r="90" spans="1:15" x14ac:dyDescent="0.25">
      <c r="A90" s="97" t="str">
        <f>'Data Vlaue (Cr)'!C85</f>
        <v>ICICIBANK</v>
      </c>
      <c r="B90" s="142">
        <f>VLOOKUP(A90,'Data Vlaue (Cr)'!C85:CW299,99,0)</f>
        <v>21801</v>
      </c>
      <c r="C90" s="90">
        <f>VLOOKUP(A90,'Data Vlaue (Cr)'!C85:CY299,101,0)</f>
        <v>873</v>
      </c>
      <c r="D90" s="139">
        <f>VLOOKUP(A90,'Data Vlaue (Cr)'!C85:CZ299,102,0)</f>
        <v>4.1700000000000001E-2</v>
      </c>
      <c r="E90" s="91">
        <f>VLOOKUP($A90,'Data Vlaue (Cr)'!$C:$FB,75)</f>
        <v>16383</v>
      </c>
      <c r="F90" s="91">
        <f>VLOOKUP($A90,'Data Vlaue (Cr)'!$C:$FB,77)</f>
        <v>-39</v>
      </c>
      <c r="G90" s="92">
        <f>VLOOKUP(A90,'Data Vlaue (Cr)'!C85:CB299,78,0)</f>
        <v>-2.3999999999999998E-3</v>
      </c>
      <c r="H90" s="91">
        <f>VLOOKUP($A90,'Data Vlaue (Cr)'!$C:$FB,91)</f>
        <v>3101</v>
      </c>
      <c r="I90" s="91">
        <f>VLOOKUP($A90,'Data Vlaue (Cr)'!$C:$FB,93)</f>
        <v>590</v>
      </c>
      <c r="J90" s="92">
        <f>VLOOKUP($A90,'Data Vlaue (Cr)'!$C:$FB,94)</f>
        <v>0.2351</v>
      </c>
      <c r="K90" s="91">
        <f>VLOOKUP($A90,'Data Vlaue (Cr)'!$C:$FB,95)</f>
        <v>2318</v>
      </c>
      <c r="L90" s="91">
        <f>VLOOKUP($A90,'Data Vlaue (Cr)'!$C:$FB,97)</f>
        <v>322</v>
      </c>
      <c r="M90" s="92">
        <f>VLOOKUP($A90,'Data Vlaue (Cr)'!$C:$FB,98)</f>
        <v>0.16120000000000001</v>
      </c>
      <c r="N90" s="91">
        <f>VLOOKUP($A90,'Data Vlaue (Cr)'!$C:$FB,79)</f>
        <v>15854</v>
      </c>
      <c r="O90" s="92">
        <f>VLOOKUP($A90,'Data Vlaue (Cr)'!$C:$FB,82)</f>
        <v>-3.8E-3</v>
      </c>
    </row>
    <row r="91" spans="1:15" x14ac:dyDescent="0.25">
      <c r="A91" s="97" t="str">
        <f>'Data Vlaue (Cr)'!C86</f>
        <v>ICICIGI</v>
      </c>
      <c r="B91" s="142">
        <f>VLOOKUP(A91,'Data Vlaue (Cr)'!C86:CW300,99,0)</f>
        <v>1249</v>
      </c>
      <c r="C91" s="90">
        <f>VLOOKUP(A91,'Data Vlaue (Cr)'!C86:CY300,101,0)</f>
        <v>17</v>
      </c>
      <c r="D91" s="139">
        <f>VLOOKUP(A91,'Data Vlaue (Cr)'!C86:CZ300,102,0)</f>
        <v>1.3599999999999999E-2</v>
      </c>
      <c r="E91" s="91">
        <f>VLOOKUP($A91,'Data Vlaue (Cr)'!$C:$FB,75)</f>
        <v>994</v>
      </c>
      <c r="F91" s="91">
        <f>VLOOKUP($A91,'Data Vlaue (Cr)'!$C:$FB,77)</f>
        <v>2</v>
      </c>
      <c r="G91" s="92">
        <f>VLOOKUP(A91,'Data Vlaue (Cr)'!C86:CB300,78,0)</f>
        <v>2.0999999999999999E-3</v>
      </c>
      <c r="H91" s="91">
        <f>VLOOKUP($A91,'Data Vlaue (Cr)'!$C:$FB,91)</f>
        <v>144</v>
      </c>
      <c r="I91" s="91">
        <f>VLOOKUP($A91,'Data Vlaue (Cr)'!$C:$FB,93)</f>
        <v>9</v>
      </c>
      <c r="J91" s="92">
        <f>VLOOKUP($A91,'Data Vlaue (Cr)'!$C:$FB,94)</f>
        <v>6.9199999999999998E-2</v>
      </c>
      <c r="K91" s="91">
        <f>VLOOKUP($A91,'Data Vlaue (Cr)'!$C:$FB,95)</f>
        <v>111</v>
      </c>
      <c r="L91" s="91">
        <f>VLOOKUP($A91,'Data Vlaue (Cr)'!$C:$FB,97)</f>
        <v>5</v>
      </c>
      <c r="M91" s="92">
        <f>VLOOKUP($A91,'Data Vlaue (Cr)'!$C:$FB,98)</f>
        <v>5.0999999999999997E-2</v>
      </c>
      <c r="N91" s="91">
        <f>VLOOKUP($A91,'Data Vlaue (Cr)'!$C:$FB,79)</f>
        <v>990</v>
      </c>
      <c r="O91" s="92">
        <f>VLOOKUP($A91,'Data Vlaue (Cr)'!$C:$FB,82)</f>
        <v>2.2000000000000001E-3</v>
      </c>
    </row>
    <row r="92" spans="1:15" x14ac:dyDescent="0.25">
      <c r="A92" s="97" t="str">
        <f>'Data Vlaue (Cr)'!C87</f>
        <v>ICICIPRULI</v>
      </c>
      <c r="B92" s="142">
        <f>VLOOKUP(A92,'Data Vlaue (Cr)'!C87:CW301,99,0)</f>
        <v>953</v>
      </c>
      <c r="C92" s="90">
        <f>VLOOKUP(A92,'Data Vlaue (Cr)'!C87:CY301,101,0)</f>
        <v>9</v>
      </c>
      <c r="D92" s="139">
        <f>VLOOKUP(A92,'Data Vlaue (Cr)'!C87:CZ301,102,0)</f>
        <v>9.5999999999999992E-3</v>
      </c>
      <c r="E92" s="91">
        <f>VLOOKUP($A92,'Data Vlaue (Cr)'!$C:$FB,75)</f>
        <v>709</v>
      </c>
      <c r="F92" s="91">
        <f>VLOOKUP($A92,'Data Vlaue (Cr)'!$C:$FB,77)</f>
        <v>-4</v>
      </c>
      <c r="G92" s="92">
        <f>VLOOKUP(A92,'Data Vlaue (Cr)'!C87:CB301,78,0)</f>
        <v>-5.1000000000000004E-3</v>
      </c>
      <c r="H92" s="91">
        <f>VLOOKUP($A92,'Data Vlaue (Cr)'!$C:$FB,91)</f>
        <v>136</v>
      </c>
      <c r="I92" s="91">
        <f>VLOOKUP($A92,'Data Vlaue (Cr)'!$C:$FB,93)</f>
        <v>10</v>
      </c>
      <c r="J92" s="92">
        <f>VLOOKUP($A92,'Data Vlaue (Cr)'!$C:$FB,94)</f>
        <v>7.51E-2</v>
      </c>
      <c r="K92" s="91">
        <f>VLOOKUP($A92,'Data Vlaue (Cr)'!$C:$FB,95)</f>
        <v>109</v>
      </c>
      <c r="L92" s="91">
        <f>VLOOKUP($A92,'Data Vlaue (Cr)'!$C:$FB,97)</f>
        <v>3</v>
      </c>
      <c r="M92" s="92">
        <f>VLOOKUP($A92,'Data Vlaue (Cr)'!$C:$FB,98)</f>
        <v>3.0200000000000001E-2</v>
      </c>
      <c r="N92" s="91">
        <f>VLOOKUP($A92,'Data Vlaue (Cr)'!$C:$FB,79)</f>
        <v>696</v>
      </c>
      <c r="O92" s="92">
        <f>VLOOKUP($A92,'Data Vlaue (Cr)'!$C:$FB,82)</f>
        <v>-6.0000000000000001E-3</v>
      </c>
    </row>
    <row r="93" spans="1:15" x14ac:dyDescent="0.25">
      <c r="A93" s="97" t="str">
        <f>'Data Vlaue (Cr)'!C88</f>
        <v>IDEA</v>
      </c>
      <c r="B93" s="142">
        <f>VLOOKUP(A93,'Data Vlaue (Cr)'!C88:CW302,99,0)</f>
        <v>7868</v>
      </c>
      <c r="C93" s="90">
        <f>VLOOKUP(A93,'Data Vlaue (Cr)'!C88:CY302,101,0)</f>
        <v>613</v>
      </c>
      <c r="D93" s="139">
        <f>VLOOKUP(A93,'Data Vlaue (Cr)'!C88:CZ302,102,0)</f>
        <v>8.4500000000000006E-2</v>
      </c>
      <c r="E93" s="91">
        <f>VLOOKUP($A93,'Data Vlaue (Cr)'!$C:$FB,75)</f>
        <v>5289</v>
      </c>
      <c r="F93" s="91">
        <f>VLOOKUP($A93,'Data Vlaue (Cr)'!$C:$FB,77)</f>
        <v>178</v>
      </c>
      <c r="G93" s="92">
        <f>VLOOKUP(A93,'Data Vlaue (Cr)'!C88:CB302,78,0)</f>
        <v>3.49E-2</v>
      </c>
      <c r="H93" s="91">
        <f>VLOOKUP($A93,'Data Vlaue (Cr)'!$C:$FB,91)</f>
        <v>1709</v>
      </c>
      <c r="I93" s="91">
        <f>VLOOKUP($A93,'Data Vlaue (Cr)'!$C:$FB,93)</f>
        <v>318</v>
      </c>
      <c r="J93" s="92">
        <f>VLOOKUP($A93,'Data Vlaue (Cr)'!$C:$FB,94)</f>
        <v>0.22889999999999999</v>
      </c>
      <c r="K93" s="91">
        <f>VLOOKUP($A93,'Data Vlaue (Cr)'!$C:$FB,95)</f>
        <v>870</v>
      </c>
      <c r="L93" s="91">
        <f>VLOOKUP($A93,'Data Vlaue (Cr)'!$C:$FB,97)</f>
        <v>116</v>
      </c>
      <c r="M93" s="92">
        <f>VLOOKUP($A93,'Data Vlaue (Cr)'!$C:$FB,98)</f>
        <v>0.15440000000000001</v>
      </c>
      <c r="N93" s="91">
        <f>VLOOKUP($A93,'Data Vlaue (Cr)'!$C:$FB,79)</f>
        <v>5034</v>
      </c>
      <c r="O93" s="92">
        <f>VLOOKUP($A93,'Data Vlaue (Cr)'!$C:$FB,82)</f>
        <v>2.8799999999999999E-2</v>
      </c>
    </row>
    <row r="94" spans="1:15" x14ac:dyDescent="0.25">
      <c r="A94" s="97" t="str">
        <f>'Data Vlaue (Cr)'!C89</f>
        <v>IDFCFIRSTB</v>
      </c>
      <c r="B94" s="142">
        <f>VLOOKUP(A94,'Data Vlaue (Cr)'!C89:CW303,99,0)</f>
        <v>4318</v>
      </c>
      <c r="C94" s="90">
        <f>VLOOKUP(A94,'Data Vlaue (Cr)'!C89:CY303,101,0)</f>
        <v>8</v>
      </c>
      <c r="D94" s="139">
        <f>VLOOKUP(A94,'Data Vlaue (Cr)'!C89:CZ303,102,0)</f>
        <v>1.9E-3</v>
      </c>
      <c r="E94" s="91">
        <f>VLOOKUP($A94,'Data Vlaue (Cr)'!$C:$FB,75)</f>
        <v>2896</v>
      </c>
      <c r="F94" s="91">
        <f>VLOOKUP($A94,'Data Vlaue (Cr)'!$C:$FB,77)</f>
        <v>-54</v>
      </c>
      <c r="G94" s="92">
        <f>VLOOKUP(A94,'Data Vlaue (Cr)'!C89:CB303,78,0)</f>
        <v>-1.83E-2</v>
      </c>
      <c r="H94" s="91">
        <f>VLOOKUP($A94,'Data Vlaue (Cr)'!$C:$FB,91)</f>
        <v>891</v>
      </c>
      <c r="I94" s="91">
        <f>VLOOKUP($A94,'Data Vlaue (Cr)'!$C:$FB,93)</f>
        <v>27</v>
      </c>
      <c r="J94" s="92">
        <f>VLOOKUP($A94,'Data Vlaue (Cr)'!$C:$FB,94)</f>
        <v>3.1800000000000002E-2</v>
      </c>
      <c r="K94" s="91">
        <f>VLOOKUP($A94,'Data Vlaue (Cr)'!$C:$FB,95)</f>
        <v>531</v>
      </c>
      <c r="L94" s="91">
        <f>VLOOKUP($A94,'Data Vlaue (Cr)'!$C:$FB,97)</f>
        <v>35</v>
      </c>
      <c r="M94" s="92">
        <f>VLOOKUP($A94,'Data Vlaue (Cr)'!$C:$FB,98)</f>
        <v>6.9800000000000001E-2</v>
      </c>
      <c r="N94" s="91">
        <f>VLOOKUP($A94,'Data Vlaue (Cr)'!$C:$FB,79)</f>
        <v>2747</v>
      </c>
      <c r="O94" s="92">
        <f>VLOOKUP($A94,'Data Vlaue (Cr)'!$C:$FB,82)</f>
        <v>-1.9E-2</v>
      </c>
    </row>
    <row r="95" spans="1:15" x14ac:dyDescent="0.25">
      <c r="A95" s="97" t="str">
        <f>'Data Vlaue (Cr)'!C90</f>
        <v>IEX</v>
      </c>
      <c r="B95" s="142">
        <f>VLOOKUP(A95,'Data Vlaue (Cr)'!C90:CW304,99,0)</f>
        <v>1340</v>
      </c>
      <c r="C95" s="90">
        <f>VLOOKUP(A95,'Data Vlaue (Cr)'!C90:CY304,101,0)</f>
        <v>47</v>
      </c>
      <c r="D95" s="139">
        <f>VLOOKUP(A95,'Data Vlaue (Cr)'!C90:CZ304,102,0)</f>
        <v>3.6200000000000003E-2</v>
      </c>
      <c r="E95" s="91">
        <f>VLOOKUP($A95,'Data Vlaue (Cr)'!$C:$FB,75)</f>
        <v>766</v>
      </c>
      <c r="F95" s="91">
        <f>VLOOKUP($A95,'Data Vlaue (Cr)'!$C:$FB,77)</f>
        <v>12</v>
      </c>
      <c r="G95" s="92">
        <f>VLOOKUP(A95,'Data Vlaue (Cr)'!C90:CB304,78,0)</f>
        <v>1.5299999999999999E-2</v>
      </c>
      <c r="H95" s="91">
        <f>VLOOKUP($A95,'Data Vlaue (Cr)'!$C:$FB,91)</f>
        <v>319</v>
      </c>
      <c r="I95" s="91">
        <f>VLOOKUP($A95,'Data Vlaue (Cr)'!$C:$FB,93)</f>
        <v>27</v>
      </c>
      <c r="J95" s="92">
        <f>VLOOKUP($A95,'Data Vlaue (Cr)'!$C:$FB,94)</f>
        <v>9.3100000000000002E-2</v>
      </c>
      <c r="K95" s="91">
        <f>VLOOKUP($A95,'Data Vlaue (Cr)'!$C:$FB,95)</f>
        <v>256</v>
      </c>
      <c r="L95" s="91">
        <f>VLOOKUP($A95,'Data Vlaue (Cr)'!$C:$FB,97)</f>
        <v>8</v>
      </c>
      <c r="M95" s="92">
        <f>VLOOKUP($A95,'Data Vlaue (Cr)'!$C:$FB,98)</f>
        <v>3.2800000000000003E-2</v>
      </c>
      <c r="N95" s="91">
        <f>VLOOKUP($A95,'Data Vlaue (Cr)'!$C:$FB,79)</f>
        <v>725</v>
      </c>
      <c r="O95" s="92">
        <f>VLOOKUP($A95,'Data Vlaue (Cr)'!$C:$FB,82)</f>
        <v>9.4000000000000004E-3</v>
      </c>
    </row>
    <row r="96" spans="1:15" x14ac:dyDescent="0.25">
      <c r="A96" s="97" t="str">
        <f>'Data Vlaue (Cr)'!C91</f>
        <v>IGL</v>
      </c>
      <c r="B96" s="142">
        <f>VLOOKUP(A96,'Data Vlaue (Cr)'!C91:CW305,99,0)</f>
        <v>582</v>
      </c>
      <c r="C96" s="90">
        <f>VLOOKUP(A96,'Data Vlaue (Cr)'!C91:CY305,101,0)</f>
        <v>41</v>
      </c>
      <c r="D96" s="139">
        <f>VLOOKUP(A96,'Data Vlaue (Cr)'!C91:CZ305,102,0)</f>
        <v>7.5999999999999998E-2</v>
      </c>
      <c r="E96" s="91">
        <f>VLOOKUP($A96,'Data Vlaue (Cr)'!$C:$FB,75)</f>
        <v>322</v>
      </c>
      <c r="F96" s="91">
        <f>VLOOKUP($A96,'Data Vlaue (Cr)'!$C:$FB,77)</f>
        <v>18</v>
      </c>
      <c r="G96" s="92">
        <f>VLOOKUP(A96,'Data Vlaue (Cr)'!C91:CB305,78,0)</f>
        <v>5.8099999999999999E-2</v>
      </c>
      <c r="H96" s="91">
        <f>VLOOKUP($A96,'Data Vlaue (Cr)'!$C:$FB,91)</f>
        <v>156</v>
      </c>
      <c r="I96" s="91">
        <f>VLOOKUP($A96,'Data Vlaue (Cr)'!$C:$FB,93)</f>
        <v>12</v>
      </c>
      <c r="J96" s="92">
        <f>VLOOKUP($A96,'Data Vlaue (Cr)'!$C:$FB,94)</f>
        <v>8.5999999999999993E-2</v>
      </c>
      <c r="K96" s="91">
        <f>VLOOKUP($A96,'Data Vlaue (Cr)'!$C:$FB,95)</f>
        <v>104</v>
      </c>
      <c r="L96" s="91">
        <f>VLOOKUP($A96,'Data Vlaue (Cr)'!$C:$FB,97)</f>
        <v>11</v>
      </c>
      <c r="M96" s="92">
        <f>VLOOKUP($A96,'Data Vlaue (Cr)'!$C:$FB,98)</f>
        <v>0.11899999999999999</v>
      </c>
      <c r="N96" s="91">
        <f>VLOOKUP($A96,'Data Vlaue (Cr)'!$C:$FB,79)</f>
        <v>299</v>
      </c>
      <c r="O96" s="92">
        <f>VLOOKUP($A96,'Data Vlaue (Cr)'!$C:$FB,82)</f>
        <v>5.6099999999999997E-2</v>
      </c>
    </row>
    <row r="97" spans="1:15" x14ac:dyDescent="0.25">
      <c r="A97" s="97" t="str">
        <f>'Data Vlaue (Cr)'!C92</f>
        <v>IIFL</v>
      </c>
      <c r="B97" s="142">
        <f>VLOOKUP(A97,'Data Vlaue (Cr)'!C92:CW306,99,0)</f>
        <v>1004</v>
      </c>
      <c r="C97" s="90">
        <f>VLOOKUP(A97,'Data Vlaue (Cr)'!C92:CY306,101,0)</f>
        <v>35</v>
      </c>
      <c r="D97" s="139">
        <f>VLOOKUP(A97,'Data Vlaue (Cr)'!C92:CZ306,102,0)</f>
        <v>3.5999999999999997E-2</v>
      </c>
      <c r="E97" s="91">
        <f>VLOOKUP($A97,'Data Vlaue (Cr)'!$C:$FB,75)</f>
        <v>733</v>
      </c>
      <c r="F97" s="91">
        <f>VLOOKUP($A97,'Data Vlaue (Cr)'!$C:$FB,77)</f>
        <v>22</v>
      </c>
      <c r="G97" s="92">
        <f>VLOOKUP(A97,'Data Vlaue (Cr)'!C92:CB306,78,0)</f>
        <v>3.1099999999999999E-2</v>
      </c>
      <c r="H97" s="91">
        <f>VLOOKUP($A97,'Data Vlaue (Cr)'!$C:$FB,91)</f>
        <v>185</v>
      </c>
      <c r="I97" s="91">
        <f>VLOOKUP($A97,'Data Vlaue (Cr)'!$C:$FB,93)</f>
        <v>8</v>
      </c>
      <c r="J97" s="92">
        <f>VLOOKUP($A97,'Data Vlaue (Cr)'!$C:$FB,94)</f>
        <v>4.7199999999999999E-2</v>
      </c>
      <c r="K97" s="91">
        <f>VLOOKUP($A97,'Data Vlaue (Cr)'!$C:$FB,95)</f>
        <v>85</v>
      </c>
      <c r="L97" s="91">
        <f>VLOOKUP($A97,'Data Vlaue (Cr)'!$C:$FB,97)</f>
        <v>4</v>
      </c>
      <c r="M97" s="92">
        <f>VLOOKUP($A97,'Data Vlaue (Cr)'!$C:$FB,98)</f>
        <v>5.4100000000000002E-2</v>
      </c>
      <c r="N97" s="91">
        <f>VLOOKUP($A97,'Data Vlaue (Cr)'!$C:$FB,79)</f>
        <v>724</v>
      </c>
      <c r="O97" s="92">
        <f>VLOOKUP($A97,'Data Vlaue (Cr)'!$C:$FB,82)</f>
        <v>2.9700000000000001E-2</v>
      </c>
    </row>
    <row r="98" spans="1:15" x14ac:dyDescent="0.25">
      <c r="A98" s="97" t="str">
        <f>'Data Vlaue (Cr)'!C93</f>
        <v>INDHOTEL</v>
      </c>
      <c r="B98" s="142">
        <f>VLOOKUP(A98,'Data Vlaue (Cr)'!C93:CW307,99,0)</f>
        <v>3291</v>
      </c>
      <c r="C98" s="90">
        <f>VLOOKUP(A98,'Data Vlaue (Cr)'!C93:CY307,101,0)</f>
        <v>154</v>
      </c>
      <c r="D98" s="139">
        <f>VLOOKUP(A98,'Data Vlaue (Cr)'!C93:CZ307,102,0)</f>
        <v>4.9200000000000001E-2</v>
      </c>
      <c r="E98" s="91">
        <f>VLOOKUP($A98,'Data Vlaue (Cr)'!$C:$FB,75)</f>
        <v>2034</v>
      </c>
      <c r="F98" s="91">
        <f>VLOOKUP($A98,'Data Vlaue (Cr)'!$C:$FB,77)</f>
        <v>62</v>
      </c>
      <c r="G98" s="92">
        <f>VLOOKUP(A98,'Data Vlaue (Cr)'!C93:CB307,78,0)</f>
        <v>3.15E-2</v>
      </c>
      <c r="H98" s="91">
        <f>VLOOKUP($A98,'Data Vlaue (Cr)'!$C:$FB,91)</f>
        <v>799</v>
      </c>
      <c r="I98" s="91">
        <f>VLOOKUP($A98,'Data Vlaue (Cr)'!$C:$FB,93)</f>
        <v>76</v>
      </c>
      <c r="J98" s="92">
        <f>VLOOKUP($A98,'Data Vlaue (Cr)'!$C:$FB,94)</f>
        <v>0.1047</v>
      </c>
      <c r="K98" s="91">
        <f>VLOOKUP($A98,'Data Vlaue (Cr)'!$C:$FB,95)</f>
        <v>457</v>
      </c>
      <c r="L98" s="91">
        <f>VLOOKUP($A98,'Data Vlaue (Cr)'!$C:$FB,97)</f>
        <v>16</v>
      </c>
      <c r="M98" s="92">
        <f>VLOOKUP($A98,'Data Vlaue (Cr)'!$C:$FB,98)</f>
        <v>3.73E-2</v>
      </c>
      <c r="N98" s="91">
        <f>VLOOKUP($A98,'Data Vlaue (Cr)'!$C:$FB,79)</f>
        <v>1959</v>
      </c>
      <c r="O98" s="92">
        <f>VLOOKUP($A98,'Data Vlaue (Cr)'!$C:$FB,82)</f>
        <v>2.9399999999999999E-2</v>
      </c>
    </row>
    <row r="99" spans="1:15" x14ac:dyDescent="0.25">
      <c r="A99" s="97" t="str">
        <f>'Data Vlaue (Cr)'!C94</f>
        <v>INDIANB</v>
      </c>
      <c r="B99" s="142">
        <f>VLOOKUP(A99,'Data Vlaue (Cr)'!C94:CW308,99,0)</f>
        <v>966</v>
      </c>
      <c r="C99" s="90">
        <f>VLOOKUP(A99,'Data Vlaue (Cr)'!C94:CY308,101,0)</f>
        <v>31</v>
      </c>
      <c r="D99" s="139">
        <f>VLOOKUP(A99,'Data Vlaue (Cr)'!C94:CZ308,102,0)</f>
        <v>3.3000000000000002E-2</v>
      </c>
      <c r="E99" s="91">
        <f>VLOOKUP($A99,'Data Vlaue (Cr)'!$C:$FB,75)</f>
        <v>581</v>
      </c>
      <c r="F99" s="91">
        <f>VLOOKUP($A99,'Data Vlaue (Cr)'!$C:$FB,77)</f>
        <v>10</v>
      </c>
      <c r="G99" s="92">
        <f>VLOOKUP(A99,'Data Vlaue (Cr)'!C94:CB308,78,0)</f>
        <v>1.7600000000000001E-2</v>
      </c>
      <c r="H99" s="91">
        <f>VLOOKUP($A99,'Data Vlaue (Cr)'!$C:$FB,91)</f>
        <v>203</v>
      </c>
      <c r="I99" s="91">
        <f>VLOOKUP($A99,'Data Vlaue (Cr)'!$C:$FB,93)</f>
        <v>12</v>
      </c>
      <c r="J99" s="92">
        <f>VLOOKUP($A99,'Data Vlaue (Cr)'!$C:$FB,94)</f>
        <v>6.4799999999999996E-2</v>
      </c>
      <c r="K99" s="91">
        <f>VLOOKUP($A99,'Data Vlaue (Cr)'!$C:$FB,95)</f>
        <v>181</v>
      </c>
      <c r="L99" s="91">
        <f>VLOOKUP($A99,'Data Vlaue (Cr)'!$C:$FB,97)</f>
        <v>8</v>
      </c>
      <c r="M99" s="92">
        <f>VLOOKUP($A99,'Data Vlaue (Cr)'!$C:$FB,98)</f>
        <v>4.87E-2</v>
      </c>
      <c r="N99" s="91">
        <f>VLOOKUP($A99,'Data Vlaue (Cr)'!$C:$FB,79)</f>
        <v>569</v>
      </c>
      <c r="O99" s="92">
        <f>VLOOKUP($A99,'Data Vlaue (Cr)'!$C:$FB,82)</f>
        <v>1.37E-2</v>
      </c>
    </row>
    <row r="100" spans="1:15" x14ac:dyDescent="0.25">
      <c r="A100" s="97" t="str">
        <f>'Data Vlaue (Cr)'!C95</f>
        <v>INDIAVIX</v>
      </c>
      <c r="B100" s="142">
        <f>VLOOKUP(A100,'Data Vlaue (Cr)'!C95:CW309,99,0)</f>
        <v>0</v>
      </c>
      <c r="C100" s="90">
        <f>VLOOKUP(A100,'Data Vlaue (Cr)'!C95:CY309,101,0)</f>
        <v>0</v>
      </c>
      <c r="D100" s="139">
        <f>VLOOKUP(A100,'Data Vlaue (Cr)'!C95:CZ309,102,0)</f>
        <v>0</v>
      </c>
      <c r="E100" s="91">
        <f>VLOOKUP($A100,'Data Vlaue (Cr)'!$C:$FB,75)</f>
        <v>0</v>
      </c>
      <c r="F100" s="91">
        <f>VLOOKUP($A100,'Data Vlaue (Cr)'!$C:$FB,77)</f>
        <v>0</v>
      </c>
      <c r="G100" s="92">
        <f>VLOOKUP(A100,'Data Vlaue (Cr)'!C95:CB309,78,0)</f>
        <v>0</v>
      </c>
      <c r="H100" s="91">
        <f>VLOOKUP($A100,'Data Vlaue (Cr)'!$C:$FB,91)</f>
        <v>0</v>
      </c>
      <c r="I100" s="91">
        <f>VLOOKUP($A100,'Data Vlaue (Cr)'!$C:$FB,93)</f>
        <v>0</v>
      </c>
      <c r="J100" s="92">
        <f>VLOOKUP($A100,'Data Vlaue (Cr)'!$C:$FB,94)</f>
        <v>0</v>
      </c>
      <c r="K100" s="91">
        <f>VLOOKUP($A100,'Data Vlaue (Cr)'!$C:$FB,95)</f>
        <v>0</v>
      </c>
      <c r="L100" s="91">
        <f>VLOOKUP($A100,'Data Vlaue (Cr)'!$C:$FB,97)</f>
        <v>0</v>
      </c>
      <c r="M100" s="92">
        <f>VLOOKUP($A100,'Data Vlaue (Cr)'!$C:$FB,98)</f>
        <v>0</v>
      </c>
      <c r="N100" s="91">
        <f>VLOOKUP($A100,'Data Vlaue (Cr)'!$C:$FB,79)</f>
        <v>0</v>
      </c>
      <c r="O100" s="92">
        <f>VLOOKUP($A100,'Data Vlaue (Cr)'!$C:$FB,82)</f>
        <v>0</v>
      </c>
    </row>
    <row r="101" spans="1:15" x14ac:dyDescent="0.25">
      <c r="A101" s="97" t="str">
        <f>'Data Vlaue (Cr)'!C96</f>
        <v>INDIGO</v>
      </c>
      <c r="B101" s="142">
        <f>VLOOKUP(A101,'Data Vlaue (Cr)'!C96:CW310,99,0)</f>
        <v>6360</v>
      </c>
      <c r="C101" s="90">
        <f>VLOOKUP(A101,'Data Vlaue (Cr)'!C96:CY310,101,0)</f>
        <v>-1</v>
      </c>
      <c r="D101" s="139">
        <f>VLOOKUP(A101,'Data Vlaue (Cr)'!C96:CZ310,102,0)</f>
        <v>-2.0000000000000001E-4</v>
      </c>
      <c r="E101" s="91">
        <f>VLOOKUP($A101,'Data Vlaue (Cr)'!$C:$FB,75)</f>
        <v>4685</v>
      </c>
      <c r="F101" s="91">
        <f>VLOOKUP($A101,'Data Vlaue (Cr)'!$C:$FB,77)</f>
        <v>-52</v>
      </c>
      <c r="G101" s="92">
        <f>VLOOKUP(A101,'Data Vlaue (Cr)'!C96:CB310,78,0)</f>
        <v>-1.11E-2</v>
      </c>
      <c r="H101" s="91">
        <f>VLOOKUP($A101,'Data Vlaue (Cr)'!$C:$FB,91)</f>
        <v>976</v>
      </c>
      <c r="I101" s="91">
        <f>VLOOKUP($A101,'Data Vlaue (Cr)'!$C:$FB,93)</f>
        <v>29</v>
      </c>
      <c r="J101" s="92">
        <f>VLOOKUP($A101,'Data Vlaue (Cr)'!$C:$FB,94)</f>
        <v>3.0200000000000001E-2</v>
      </c>
      <c r="K101" s="91">
        <f>VLOOKUP($A101,'Data Vlaue (Cr)'!$C:$FB,95)</f>
        <v>699</v>
      </c>
      <c r="L101" s="91">
        <f>VLOOKUP($A101,'Data Vlaue (Cr)'!$C:$FB,97)</f>
        <v>23</v>
      </c>
      <c r="M101" s="92">
        <f>VLOOKUP($A101,'Data Vlaue (Cr)'!$C:$FB,98)</f>
        <v>3.3599999999999998E-2</v>
      </c>
      <c r="N101" s="91">
        <f>VLOOKUP($A101,'Data Vlaue (Cr)'!$C:$FB,79)</f>
        <v>4622</v>
      </c>
      <c r="O101" s="92">
        <f>VLOOKUP($A101,'Data Vlaue (Cr)'!$C:$FB,82)</f>
        <v>-1.1599999999999999E-2</v>
      </c>
    </row>
    <row r="102" spans="1:15" x14ac:dyDescent="0.25">
      <c r="A102" s="97" t="str">
        <f>'Data Vlaue (Cr)'!C97</f>
        <v>INDUSINDBK</v>
      </c>
      <c r="B102" s="142">
        <f>VLOOKUP(A102,'Data Vlaue (Cr)'!C97:CW311,99,0)</f>
        <v>5603</v>
      </c>
      <c r="C102" s="90">
        <f>VLOOKUP(A102,'Data Vlaue (Cr)'!C97:CY311,101,0)</f>
        <v>97</v>
      </c>
      <c r="D102" s="139">
        <f>VLOOKUP(A102,'Data Vlaue (Cr)'!C97:CZ311,102,0)</f>
        <v>1.7600000000000001E-2</v>
      </c>
      <c r="E102" s="91">
        <f>VLOOKUP($A102,'Data Vlaue (Cr)'!$C:$FB,75)</f>
        <v>4056</v>
      </c>
      <c r="F102" s="91">
        <f>VLOOKUP($A102,'Data Vlaue (Cr)'!$C:$FB,77)</f>
        <v>13</v>
      </c>
      <c r="G102" s="92">
        <f>VLOOKUP(A102,'Data Vlaue (Cr)'!C97:CB311,78,0)</f>
        <v>3.3E-3</v>
      </c>
      <c r="H102" s="91">
        <f>VLOOKUP($A102,'Data Vlaue (Cr)'!$C:$FB,91)</f>
        <v>778</v>
      </c>
      <c r="I102" s="91">
        <f>VLOOKUP($A102,'Data Vlaue (Cr)'!$C:$FB,93)</f>
        <v>80</v>
      </c>
      <c r="J102" s="92">
        <f>VLOOKUP($A102,'Data Vlaue (Cr)'!$C:$FB,94)</f>
        <v>0.1147</v>
      </c>
      <c r="K102" s="91">
        <f>VLOOKUP($A102,'Data Vlaue (Cr)'!$C:$FB,95)</f>
        <v>768</v>
      </c>
      <c r="L102" s="91">
        <f>VLOOKUP($A102,'Data Vlaue (Cr)'!$C:$FB,97)</f>
        <v>3</v>
      </c>
      <c r="M102" s="92">
        <f>VLOOKUP($A102,'Data Vlaue (Cr)'!$C:$FB,98)</f>
        <v>4.4000000000000003E-3</v>
      </c>
      <c r="N102" s="91">
        <f>VLOOKUP($A102,'Data Vlaue (Cr)'!$C:$FB,79)</f>
        <v>3942</v>
      </c>
      <c r="O102" s="92">
        <f>VLOOKUP($A102,'Data Vlaue (Cr)'!$C:$FB,82)</f>
        <v>1.6000000000000001E-3</v>
      </c>
    </row>
    <row r="103" spans="1:15" x14ac:dyDescent="0.25">
      <c r="A103" s="97" t="str">
        <f>'Data Vlaue (Cr)'!C98</f>
        <v>INDUSTOWER</v>
      </c>
      <c r="B103" s="142">
        <f>VLOOKUP(A103,'Data Vlaue (Cr)'!C98:CW312,99,0)</f>
        <v>4083</v>
      </c>
      <c r="C103" s="90">
        <f>VLOOKUP(A103,'Data Vlaue (Cr)'!C98:CY312,101,0)</f>
        <v>55</v>
      </c>
      <c r="D103" s="139">
        <f>VLOOKUP(A103,'Data Vlaue (Cr)'!C98:CZ312,102,0)</f>
        <v>1.37E-2</v>
      </c>
      <c r="E103" s="91">
        <f>VLOOKUP($A103,'Data Vlaue (Cr)'!$C:$FB,75)</f>
        <v>3045</v>
      </c>
      <c r="F103" s="91">
        <f>VLOOKUP($A103,'Data Vlaue (Cr)'!$C:$FB,77)</f>
        <v>-13</v>
      </c>
      <c r="G103" s="92">
        <f>VLOOKUP(A103,'Data Vlaue (Cr)'!C98:CB312,78,0)</f>
        <v>-4.3E-3</v>
      </c>
      <c r="H103" s="91">
        <f>VLOOKUP($A103,'Data Vlaue (Cr)'!$C:$FB,91)</f>
        <v>611</v>
      </c>
      <c r="I103" s="91">
        <f>VLOOKUP($A103,'Data Vlaue (Cr)'!$C:$FB,93)</f>
        <v>53</v>
      </c>
      <c r="J103" s="92">
        <f>VLOOKUP($A103,'Data Vlaue (Cr)'!$C:$FB,94)</f>
        <v>9.5399999999999999E-2</v>
      </c>
      <c r="K103" s="91">
        <f>VLOOKUP($A103,'Data Vlaue (Cr)'!$C:$FB,95)</f>
        <v>426</v>
      </c>
      <c r="L103" s="91">
        <f>VLOOKUP($A103,'Data Vlaue (Cr)'!$C:$FB,97)</f>
        <v>15</v>
      </c>
      <c r="M103" s="92">
        <f>VLOOKUP($A103,'Data Vlaue (Cr)'!$C:$FB,98)</f>
        <v>3.6700000000000003E-2</v>
      </c>
      <c r="N103" s="91">
        <f>VLOOKUP($A103,'Data Vlaue (Cr)'!$C:$FB,79)</f>
        <v>3000</v>
      </c>
      <c r="O103" s="92">
        <f>VLOOKUP($A103,'Data Vlaue (Cr)'!$C:$FB,82)</f>
        <v>-5.4000000000000003E-3</v>
      </c>
    </row>
    <row r="104" spans="1:15" x14ac:dyDescent="0.25">
      <c r="A104" s="97" t="str">
        <f>'Data Vlaue (Cr)'!C99</f>
        <v>INFY</v>
      </c>
      <c r="B104" s="142">
        <f>VLOOKUP(A104,'Data Vlaue (Cr)'!C99:CW313,99,0)</f>
        <v>13747</v>
      </c>
      <c r="C104" s="90">
        <f>VLOOKUP(A104,'Data Vlaue (Cr)'!C99:CY313,101,0)</f>
        <v>7</v>
      </c>
      <c r="D104" s="139">
        <f>VLOOKUP(A104,'Data Vlaue (Cr)'!C99:CZ313,102,0)</f>
        <v>5.0000000000000001E-4</v>
      </c>
      <c r="E104" s="91">
        <f>VLOOKUP($A104,'Data Vlaue (Cr)'!$C:$FB,75)</f>
        <v>9075</v>
      </c>
      <c r="F104" s="91">
        <f>VLOOKUP($A104,'Data Vlaue (Cr)'!$C:$FB,77)</f>
        <v>70</v>
      </c>
      <c r="G104" s="92">
        <f>VLOOKUP(A104,'Data Vlaue (Cr)'!C99:CB313,78,0)</f>
        <v>7.7999999999999996E-3</v>
      </c>
      <c r="H104" s="91">
        <f>VLOOKUP($A104,'Data Vlaue (Cr)'!$C:$FB,91)</f>
        <v>2480</v>
      </c>
      <c r="I104" s="91">
        <f>VLOOKUP($A104,'Data Vlaue (Cr)'!$C:$FB,93)</f>
        <v>-41</v>
      </c>
      <c r="J104" s="92">
        <f>VLOOKUP($A104,'Data Vlaue (Cr)'!$C:$FB,94)</f>
        <v>-1.6500000000000001E-2</v>
      </c>
      <c r="K104" s="91">
        <f>VLOOKUP($A104,'Data Vlaue (Cr)'!$C:$FB,95)</f>
        <v>2192</v>
      </c>
      <c r="L104" s="91">
        <f>VLOOKUP($A104,'Data Vlaue (Cr)'!$C:$FB,97)</f>
        <v>-21</v>
      </c>
      <c r="M104" s="92">
        <f>VLOOKUP($A104,'Data Vlaue (Cr)'!$C:$FB,98)</f>
        <v>-9.5999999999999992E-3</v>
      </c>
      <c r="N104" s="91">
        <f>VLOOKUP($A104,'Data Vlaue (Cr)'!$C:$FB,79)</f>
        <v>6146</v>
      </c>
      <c r="O104" s="92">
        <f>VLOOKUP($A104,'Data Vlaue (Cr)'!$C:$FB,82)</f>
        <v>4.7999999999999996E-3</v>
      </c>
    </row>
    <row r="105" spans="1:15" x14ac:dyDescent="0.25">
      <c r="A105" s="97" t="str">
        <f>'Data Vlaue (Cr)'!C100</f>
        <v>INOXWIND</v>
      </c>
      <c r="B105" s="142">
        <f>VLOOKUP(A105,'Data Vlaue (Cr)'!C100:CW314,99,0)</f>
        <v>980</v>
      </c>
      <c r="C105" s="90">
        <f>VLOOKUP(A105,'Data Vlaue (Cr)'!C100:CY314,101,0)</f>
        <v>50</v>
      </c>
      <c r="D105" s="139">
        <f>VLOOKUP(A105,'Data Vlaue (Cr)'!C100:CZ314,102,0)</f>
        <v>5.3400000000000003E-2</v>
      </c>
      <c r="E105" s="91">
        <f>VLOOKUP($A105,'Data Vlaue (Cr)'!$C:$FB,75)</f>
        <v>685</v>
      </c>
      <c r="F105" s="91">
        <f>VLOOKUP($A105,'Data Vlaue (Cr)'!$C:$FB,77)</f>
        <v>15</v>
      </c>
      <c r="G105" s="92">
        <f>VLOOKUP(A105,'Data Vlaue (Cr)'!C100:CB314,78,0)</f>
        <v>2.2599999999999999E-2</v>
      </c>
      <c r="H105" s="91">
        <f>VLOOKUP($A105,'Data Vlaue (Cr)'!$C:$FB,91)</f>
        <v>190</v>
      </c>
      <c r="I105" s="91">
        <f>VLOOKUP($A105,'Data Vlaue (Cr)'!$C:$FB,93)</f>
        <v>26</v>
      </c>
      <c r="J105" s="92">
        <f>VLOOKUP($A105,'Data Vlaue (Cr)'!$C:$FB,94)</f>
        <v>0.15629999999999999</v>
      </c>
      <c r="K105" s="91">
        <f>VLOOKUP($A105,'Data Vlaue (Cr)'!$C:$FB,95)</f>
        <v>105</v>
      </c>
      <c r="L105" s="91">
        <f>VLOOKUP($A105,'Data Vlaue (Cr)'!$C:$FB,97)</f>
        <v>9</v>
      </c>
      <c r="M105" s="92">
        <f>VLOOKUP($A105,'Data Vlaue (Cr)'!$C:$FB,98)</f>
        <v>9.2399999999999996E-2</v>
      </c>
      <c r="N105" s="91">
        <f>VLOOKUP($A105,'Data Vlaue (Cr)'!$C:$FB,79)</f>
        <v>665</v>
      </c>
      <c r="O105" s="92">
        <f>VLOOKUP($A105,'Data Vlaue (Cr)'!$C:$FB,82)</f>
        <v>1.9400000000000001E-2</v>
      </c>
    </row>
    <row r="106" spans="1:15" x14ac:dyDescent="0.25">
      <c r="A106" s="97" t="str">
        <f>'Data Vlaue (Cr)'!C101</f>
        <v>IOC</v>
      </c>
      <c r="B106" s="142">
        <f>VLOOKUP(A106,'Data Vlaue (Cr)'!C101:CW315,99,0)</f>
        <v>2252</v>
      </c>
      <c r="C106" s="90">
        <f>VLOOKUP(A106,'Data Vlaue (Cr)'!C101:CY315,101,0)</f>
        <v>165</v>
      </c>
      <c r="D106" s="139">
        <f>VLOOKUP(A106,'Data Vlaue (Cr)'!C101:CZ315,102,0)</f>
        <v>7.9000000000000001E-2</v>
      </c>
      <c r="E106" s="91">
        <f>VLOOKUP($A106,'Data Vlaue (Cr)'!$C:$FB,75)</f>
        <v>1393</v>
      </c>
      <c r="F106" s="91">
        <f>VLOOKUP($A106,'Data Vlaue (Cr)'!$C:$FB,77)</f>
        <v>71</v>
      </c>
      <c r="G106" s="92">
        <f>VLOOKUP(A106,'Data Vlaue (Cr)'!C101:CB315,78,0)</f>
        <v>5.33E-2</v>
      </c>
      <c r="H106" s="91">
        <f>VLOOKUP($A106,'Data Vlaue (Cr)'!$C:$FB,91)</f>
        <v>494</v>
      </c>
      <c r="I106" s="91">
        <f>VLOOKUP($A106,'Data Vlaue (Cr)'!$C:$FB,93)</f>
        <v>32</v>
      </c>
      <c r="J106" s="92">
        <f>VLOOKUP($A106,'Data Vlaue (Cr)'!$C:$FB,94)</f>
        <v>7.0300000000000001E-2</v>
      </c>
      <c r="K106" s="91">
        <f>VLOOKUP($A106,'Data Vlaue (Cr)'!$C:$FB,95)</f>
        <v>366</v>
      </c>
      <c r="L106" s="91">
        <f>VLOOKUP($A106,'Data Vlaue (Cr)'!$C:$FB,97)</f>
        <v>62</v>
      </c>
      <c r="M106" s="92">
        <f>VLOOKUP($A106,'Data Vlaue (Cr)'!$C:$FB,98)</f>
        <v>0.2036</v>
      </c>
      <c r="N106" s="91">
        <f>VLOOKUP($A106,'Data Vlaue (Cr)'!$C:$FB,79)</f>
        <v>1352</v>
      </c>
      <c r="O106" s="92">
        <f>VLOOKUP($A106,'Data Vlaue (Cr)'!$C:$FB,82)</f>
        <v>5.2299999999999999E-2</v>
      </c>
    </row>
    <row r="107" spans="1:15" x14ac:dyDescent="0.25">
      <c r="A107" s="97" t="str">
        <f>'Data Vlaue (Cr)'!C102</f>
        <v>IRCTC</v>
      </c>
      <c r="B107" s="142">
        <f>VLOOKUP(A107,'Data Vlaue (Cr)'!C102:CW316,99,0)</f>
        <v>1784</v>
      </c>
      <c r="C107" s="90">
        <f>VLOOKUP(A107,'Data Vlaue (Cr)'!C102:CY316,101,0)</f>
        <v>57</v>
      </c>
      <c r="D107" s="139">
        <f>VLOOKUP(A107,'Data Vlaue (Cr)'!C102:CZ316,102,0)</f>
        <v>3.3000000000000002E-2</v>
      </c>
      <c r="E107" s="91">
        <f>VLOOKUP($A107,'Data Vlaue (Cr)'!$C:$FB,75)</f>
        <v>1112</v>
      </c>
      <c r="F107" s="91">
        <f>VLOOKUP($A107,'Data Vlaue (Cr)'!$C:$FB,77)</f>
        <v>17</v>
      </c>
      <c r="G107" s="92">
        <f>VLOOKUP(A107,'Data Vlaue (Cr)'!C102:CB316,78,0)</f>
        <v>1.52E-2</v>
      </c>
      <c r="H107" s="91">
        <f>VLOOKUP($A107,'Data Vlaue (Cr)'!$C:$FB,91)</f>
        <v>381</v>
      </c>
      <c r="I107" s="91">
        <f>VLOOKUP($A107,'Data Vlaue (Cr)'!$C:$FB,93)</f>
        <v>28</v>
      </c>
      <c r="J107" s="92">
        <f>VLOOKUP($A107,'Data Vlaue (Cr)'!$C:$FB,94)</f>
        <v>7.8600000000000003E-2</v>
      </c>
      <c r="K107" s="91">
        <f>VLOOKUP($A107,'Data Vlaue (Cr)'!$C:$FB,95)</f>
        <v>291</v>
      </c>
      <c r="L107" s="91">
        <f>VLOOKUP($A107,'Data Vlaue (Cr)'!$C:$FB,97)</f>
        <v>12</v>
      </c>
      <c r="M107" s="92">
        <f>VLOOKUP($A107,'Data Vlaue (Cr)'!$C:$FB,98)</f>
        <v>4.4900000000000002E-2</v>
      </c>
      <c r="N107" s="91">
        <f>VLOOKUP($A107,'Data Vlaue (Cr)'!$C:$FB,79)</f>
        <v>1008</v>
      </c>
      <c r="O107" s="92">
        <f>VLOOKUP($A107,'Data Vlaue (Cr)'!$C:$FB,82)</f>
        <v>6.4000000000000003E-3</v>
      </c>
    </row>
    <row r="108" spans="1:15" x14ac:dyDescent="0.25">
      <c r="A108" s="97" t="str">
        <f>'Data Vlaue (Cr)'!C103</f>
        <v>IREDA</v>
      </c>
      <c r="B108" s="142">
        <f>VLOOKUP(A108,'Data Vlaue (Cr)'!C103:CW317,99,0)</f>
        <v>1244</v>
      </c>
      <c r="C108" s="90">
        <f>VLOOKUP(A108,'Data Vlaue (Cr)'!C103:CY317,101,0)</f>
        <v>149</v>
      </c>
      <c r="D108" s="139">
        <f>VLOOKUP(A108,'Data Vlaue (Cr)'!C103:CZ317,102,0)</f>
        <v>0.13600000000000001</v>
      </c>
      <c r="E108" s="91">
        <f>VLOOKUP($A108,'Data Vlaue (Cr)'!$C:$FB,75)</f>
        <v>647</v>
      </c>
      <c r="F108" s="91">
        <f>VLOOKUP($A108,'Data Vlaue (Cr)'!$C:$FB,77)</f>
        <v>51</v>
      </c>
      <c r="G108" s="92">
        <f>VLOOKUP(A108,'Data Vlaue (Cr)'!C103:CB317,78,0)</f>
        <v>8.5699999999999998E-2</v>
      </c>
      <c r="H108" s="91">
        <f>VLOOKUP($A108,'Data Vlaue (Cr)'!$C:$FB,91)</f>
        <v>422</v>
      </c>
      <c r="I108" s="91">
        <f>VLOOKUP($A108,'Data Vlaue (Cr)'!$C:$FB,93)</f>
        <v>71</v>
      </c>
      <c r="J108" s="92">
        <f>VLOOKUP($A108,'Data Vlaue (Cr)'!$C:$FB,94)</f>
        <v>0.2024</v>
      </c>
      <c r="K108" s="91">
        <f>VLOOKUP($A108,'Data Vlaue (Cr)'!$C:$FB,95)</f>
        <v>176</v>
      </c>
      <c r="L108" s="91">
        <f>VLOOKUP($A108,'Data Vlaue (Cr)'!$C:$FB,97)</f>
        <v>27</v>
      </c>
      <c r="M108" s="92">
        <f>VLOOKUP($A108,'Data Vlaue (Cr)'!$C:$FB,98)</f>
        <v>0.1807</v>
      </c>
      <c r="N108" s="91">
        <f>VLOOKUP($A108,'Data Vlaue (Cr)'!$C:$FB,79)</f>
        <v>570</v>
      </c>
      <c r="O108" s="92">
        <f>VLOOKUP($A108,'Data Vlaue (Cr)'!$C:$FB,82)</f>
        <v>6.6500000000000004E-2</v>
      </c>
    </row>
    <row r="109" spans="1:15" x14ac:dyDescent="0.25">
      <c r="A109" s="97" t="str">
        <f>'Data Vlaue (Cr)'!C104</f>
        <v>IRFC</v>
      </c>
      <c r="B109" s="142">
        <f>VLOOKUP(A109,'Data Vlaue (Cr)'!C104:CW318,99,0)</f>
        <v>855</v>
      </c>
      <c r="C109" s="90">
        <f>VLOOKUP(A109,'Data Vlaue (Cr)'!C104:CY318,101,0)</f>
        <v>32</v>
      </c>
      <c r="D109" s="139">
        <f>VLOOKUP(A109,'Data Vlaue (Cr)'!C104:CZ318,102,0)</f>
        <v>3.9100000000000003E-2</v>
      </c>
      <c r="E109" s="91">
        <f>VLOOKUP($A109,'Data Vlaue (Cr)'!$C:$FB,75)</f>
        <v>504</v>
      </c>
      <c r="F109" s="91">
        <f>VLOOKUP($A109,'Data Vlaue (Cr)'!$C:$FB,77)</f>
        <v>12</v>
      </c>
      <c r="G109" s="92">
        <f>VLOOKUP(A109,'Data Vlaue (Cr)'!C104:CB318,78,0)</f>
        <v>2.4199999999999999E-2</v>
      </c>
      <c r="H109" s="91">
        <f>VLOOKUP($A109,'Data Vlaue (Cr)'!$C:$FB,91)</f>
        <v>227</v>
      </c>
      <c r="I109" s="91">
        <f>VLOOKUP($A109,'Data Vlaue (Cr)'!$C:$FB,93)</f>
        <v>15</v>
      </c>
      <c r="J109" s="92">
        <f>VLOOKUP($A109,'Data Vlaue (Cr)'!$C:$FB,94)</f>
        <v>7.1400000000000005E-2</v>
      </c>
      <c r="K109" s="91">
        <f>VLOOKUP($A109,'Data Vlaue (Cr)'!$C:$FB,95)</f>
        <v>124</v>
      </c>
      <c r="L109" s="91">
        <f>VLOOKUP($A109,'Data Vlaue (Cr)'!$C:$FB,97)</f>
        <v>5</v>
      </c>
      <c r="M109" s="92">
        <f>VLOOKUP($A109,'Data Vlaue (Cr)'!$C:$FB,98)</f>
        <v>4.3299999999999998E-2</v>
      </c>
      <c r="N109" s="91">
        <f>VLOOKUP($A109,'Data Vlaue (Cr)'!$C:$FB,79)</f>
        <v>454</v>
      </c>
      <c r="O109" s="92">
        <f>VLOOKUP($A109,'Data Vlaue (Cr)'!$C:$FB,82)</f>
        <v>1.9300000000000001E-2</v>
      </c>
    </row>
    <row r="110" spans="1:15" x14ac:dyDescent="0.25">
      <c r="A110" s="97" t="str">
        <f>'Data Vlaue (Cr)'!C105</f>
        <v>ITC</v>
      </c>
      <c r="B110" s="142">
        <f>VLOOKUP(A110,'Data Vlaue (Cr)'!C105:CW319,99,0)</f>
        <v>7406</v>
      </c>
      <c r="C110" s="90">
        <f>VLOOKUP(A110,'Data Vlaue (Cr)'!C105:CY319,101,0)</f>
        <v>547</v>
      </c>
      <c r="D110" s="139">
        <f>VLOOKUP(A110,'Data Vlaue (Cr)'!C105:CZ319,102,0)</f>
        <v>7.9799999999999996E-2</v>
      </c>
      <c r="E110" s="91">
        <f>VLOOKUP($A110,'Data Vlaue (Cr)'!$C:$FB,75)</f>
        <v>4635</v>
      </c>
      <c r="F110" s="91">
        <f>VLOOKUP($A110,'Data Vlaue (Cr)'!$C:$FB,77)</f>
        <v>195</v>
      </c>
      <c r="G110" s="92">
        <f>VLOOKUP(A110,'Data Vlaue (Cr)'!C105:CB319,78,0)</f>
        <v>4.3799999999999999E-2</v>
      </c>
      <c r="H110" s="91">
        <f>VLOOKUP($A110,'Data Vlaue (Cr)'!$C:$FB,91)</f>
        <v>1631</v>
      </c>
      <c r="I110" s="91">
        <f>VLOOKUP($A110,'Data Vlaue (Cr)'!$C:$FB,93)</f>
        <v>209</v>
      </c>
      <c r="J110" s="92">
        <f>VLOOKUP($A110,'Data Vlaue (Cr)'!$C:$FB,94)</f>
        <v>0.14699999999999999</v>
      </c>
      <c r="K110" s="91">
        <f>VLOOKUP($A110,'Data Vlaue (Cr)'!$C:$FB,95)</f>
        <v>1141</v>
      </c>
      <c r="L110" s="91">
        <f>VLOOKUP($A110,'Data Vlaue (Cr)'!$C:$FB,97)</f>
        <v>144</v>
      </c>
      <c r="M110" s="92">
        <f>VLOOKUP($A110,'Data Vlaue (Cr)'!$C:$FB,98)</f>
        <v>0.14419999999999999</v>
      </c>
      <c r="N110" s="91">
        <f>VLOOKUP($A110,'Data Vlaue (Cr)'!$C:$FB,79)</f>
        <v>4471</v>
      </c>
      <c r="O110" s="92">
        <f>VLOOKUP($A110,'Data Vlaue (Cr)'!$C:$FB,82)</f>
        <v>3.9300000000000002E-2</v>
      </c>
    </row>
    <row r="111" spans="1:15" x14ac:dyDescent="0.25">
      <c r="A111" s="97" t="str">
        <f>'Data Vlaue (Cr)'!C106</f>
        <v>JINDALSTEL</v>
      </c>
      <c r="B111" s="142">
        <f>VLOOKUP(A111,'Data Vlaue (Cr)'!C106:CW320,99,0)</f>
        <v>2055</v>
      </c>
      <c r="C111" s="90">
        <f>VLOOKUP(A111,'Data Vlaue (Cr)'!C106:CY320,101,0)</f>
        <v>143</v>
      </c>
      <c r="D111" s="139">
        <f>VLOOKUP(A111,'Data Vlaue (Cr)'!C106:CZ320,102,0)</f>
        <v>7.4899999999999994E-2</v>
      </c>
      <c r="E111" s="91">
        <f>VLOOKUP($A111,'Data Vlaue (Cr)'!$C:$FB,75)</f>
        <v>1315</v>
      </c>
      <c r="F111" s="91">
        <f>VLOOKUP($A111,'Data Vlaue (Cr)'!$C:$FB,77)</f>
        <v>9</v>
      </c>
      <c r="G111" s="92">
        <f>VLOOKUP(A111,'Data Vlaue (Cr)'!C106:CB320,78,0)</f>
        <v>7.1999999999999998E-3</v>
      </c>
      <c r="H111" s="91">
        <f>VLOOKUP($A111,'Data Vlaue (Cr)'!$C:$FB,91)</f>
        <v>440</v>
      </c>
      <c r="I111" s="91">
        <f>VLOOKUP($A111,'Data Vlaue (Cr)'!$C:$FB,93)</f>
        <v>102</v>
      </c>
      <c r="J111" s="92">
        <f>VLOOKUP($A111,'Data Vlaue (Cr)'!$C:$FB,94)</f>
        <v>0.3014</v>
      </c>
      <c r="K111" s="91">
        <f>VLOOKUP($A111,'Data Vlaue (Cr)'!$C:$FB,95)</f>
        <v>301</v>
      </c>
      <c r="L111" s="91">
        <f>VLOOKUP($A111,'Data Vlaue (Cr)'!$C:$FB,97)</f>
        <v>32</v>
      </c>
      <c r="M111" s="92">
        <f>VLOOKUP($A111,'Data Vlaue (Cr)'!$C:$FB,98)</f>
        <v>0.11940000000000001</v>
      </c>
      <c r="N111" s="91">
        <f>VLOOKUP($A111,'Data Vlaue (Cr)'!$C:$FB,79)</f>
        <v>1301</v>
      </c>
      <c r="O111" s="92">
        <f>VLOOKUP($A111,'Data Vlaue (Cr)'!$C:$FB,82)</f>
        <v>6.1999999999999998E-3</v>
      </c>
    </row>
    <row r="112" spans="1:15" x14ac:dyDescent="0.25">
      <c r="A112" s="97" t="str">
        <f>'Data Vlaue (Cr)'!C107</f>
        <v>JIOFIN</v>
      </c>
      <c r="B112" s="142">
        <f>VLOOKUP(A112,'Data Vlaue (Cr)'!C107:CW321,99,0)</f>
        <v>6810</v>
      </c>
      <c r="C112" s="90">
        <f>VLOOKUP(A112,'Data Vlaue (Cr)'!C107:CY321,101,0)</f>
        <v>-14</v>
      </c>
      <c r="D112" s="139">
        <f>VLOOKUP(A112,'Data Vlaue (Cr)'!C107:CZ321,102,0)</f>
        <v>-2.0999999999999999E-3</v>
      </c>
      <c r="E112" s="91">
        <f>VLOOKUP($A112,'Data Vlaue (Cr)'!$C:$FB,75)</f>
        <v>4257</v>
      </c>
      <c r="F112" s="91">
        <f>VLOOKUP($A112,'Data Vlaue (Cr)'!$C:$FB,77)</f>
        <v>-8</v>
      </c>
      <c r="G112" s="92">
        <f>VLOOKUP(A112,'Data Vlaue (Cr)'!C107:CB321,78,0)</f>
        <v>-2E-3</v>
      </c>
      <c r="H112" s="91">
        <f>VLOOKUP($A112,'Data Vlaue (Cr)'!$C:$FB,91)</f>
        <v>1447</v>
      </c>
      <c r="I112" s="91">
        <f>VLOOKUP($A112,'Data Vlaue (Cr)'!$C:$FB,93)</f>
        <v>-12</v>
      </c>
      <c r="J112" s="92">
        <f>VLOOKUP($A112,'Data Vlaue (Cr)'!$C:$FB,94)</f>
        <v>-8.3999999999999995E-3</v>
      </c>
      <c r="K112" s="91">
        <f>VLOOKUP($A112,'Data Vlaue (Cr)'!$C:$FB,95)</f>
        <v>1106</v>
      </c>
      <c r="L112" s="91">
        <f>VLOOKUP($A112,'Data Vlaue (Cr)'!$C:$FB,97)</f>
        <v>6</v>
      </c>
      <c r="M112" s="92">
        <f>VLOOKUP($A112,'Data Vlaue (Cr)'!$C:$FB,98)</f>
        <v>5.8999999999999999E-3</v>
      </c>
      <c r="N112" s="91">
        <f>VLOOKUP($A112,'Data Vlaue (Cr)'!$C:$FB,79)</f>
        <v>4033</v>
      </c>
      <c r="O112" s="92">
        <f>VLOOKUP($A112,'Data Vlaue (Cr)'!$C:$FB,82)</f>
        <v>-4.4999999999999997E-3</v>
      </c>
    </row>
    <row r="113" spans="1:15" x14ac:dyDescent="0.25">
      <c r="A113" s="97" t="str">
        <f>'Data Vlaue (Cr)'!C108</f>
        <v>JSWENERGY</v>
      </c>
      <c r="B113" s="142">
        <f>VLOOKUP(A113,'Data Vlaue (Cr)'!C108:CW322,99,0)</f>
        <v>2555</v>
      </c>
      <c r="C113" s="90">
        <f>VLOOKUP(A113,'Data Vlaue (Cr)'!C108:CY322,101,0)</f>
        <v>40</v>
      </c>
      <c r="D113" s="139">
        <f>VLOOKUP(A113,'Data Vlaue (Cr)'!C108:CZ322,102,0)</f>
        <v>1.5699999999999999E-2</v>
      </c>
      <c r="E113" s="91">
        <f>VLOOKUP($A113,'Data Vlaue (Cr)'!$C:$FB,75)</f>
        <v>2121</v>
      </c>
      <c r="F113" s="91">
        <f>VLOOKUP($A113,'Data Vlaue (Cr)'!$C:$FB,77)</f>
        <v>10</v>
      </c>
      <c r="G113" s="92">
        <f>VLOOKUP(A113,'Data Vlaue (Cr)'!C108:CB322,78,0)</f>
        <v>4.7999999999999996E-3</v>
      </c>
      <c r="H113" s="91">
        <f>VLOOKUP($A113,'Data Vlaue (Cr)'!$C:$FB,91)</f>
        <v>262</v>
      </c>
      <c r="I113" s="91">
        <f>VLOOKUP($A113,'Data Vlaue (Cr)'!$C:$FB,93)</f>
        <v>25</v>
      </c>
      <c r="J113" s="92">
        <f>VLOOKUP($A113,'Data Vlaue (Cr)'!$C:$FB,94)</f>
        <v>0.10580000000000001</v>
      </c>
      <c r="K113" s="91">
        <f>VLOOKUP($A113,'Data Vlaue (Cr)'!$C:$FB,95)</f>
        <v>172</v>
      </c>
      <c r="L113" s="91">
        <f>VLOOKUP($A113,'Data Vlaue (Cr)'!$C:$FB,97)</f>
        <v>4</v>
      </c>
      <c r="M113" s="92">
        <f>VLOOKUP($A113,'Data Vlaue (Cr)'!$C:$FB,98)</f>
        <v>2.5999999999999999E-2</v>
      </c>
      <c r="N113" s="91">
        <f>VLOOKUP($A113,'Data Vlaue (Cr)'!$C:$FB,79)</f>
        <v>2108</v>
      </c>
      <c r="O113" s="92">
        <f>VLOOKUP($A113,'Data Vlaue (Cr)'!$C:$FB,82)</f>
        <v>4.5999999999999999E-3</v>
      </c>
    </row>
    <row r="114" spans="1:15" x14ac:dyDescent="0.25">
      <c r="A114" s="97" t="str">
        <f>'Data Vlaue (Cr)'!C109</f>
        <v>JSWSTEEL</v>
      </c>
      <c r="B114" s="142">
        <f>VLOOKUP(A114,'Data Vlaue (Cr)'!C109:CW323,99,0)</f>
        <v>6182</v>
      </c>
      <c r="C114" s="90">
        <f>VLOOKUP(A114,'Data Vlaue (Cr)'!C109:CY323,101,0)</f>
        <v>35</v>
      </c>
      <c r="D114" s="139">
        <f>VLOOKUP(A114,'Data Vlaue (Cr)'!C109:CZ323,102,0)</f>
        <v>5.7000000000000002E-3</v>
      </c>
      <c r="E114" s="91">
        <f>VLOOKUP($A114,'Data Vlaue (Cr)'!$C:$FB,75)</f>
        <v>5234</v>
      </c>
      <c r="F114" s="91">
        <f>VLOOKUP($A114,'Data Vlaue (Cr)'!$C:$FB,77)</f>
        <v>6</v>
      </c>
      <c r="G114" s="92">
        <f>VLOOKUP(A114,'Data Vlaue (Cr)'!C109:CB323,78,0)</f>
        <v>1.1000000000000001E-3</v>
      </c>
      <c r="H114" s="91">
        <f>VLOOKUP($A114,'Data Vlaue (Cr)'!$C:$FB,91)</f>
        <v>575</v>
      </c>
      <c r="I114" s="91">
        <f>VLOOKUP($A114,'Data Vlaue (Cr)'!$C:$FB,93)</f>
        <v>14</v>
      </c>
      <c r="J114" s="92">
        <f>VLOOKUP($A114,'Data Vlaue (Cr)'!$C:$FB,94)</f>
        <v>2.4899999999999999E-2</v>
      </c>
      <c r="K114" s="91">
        <f>VLOOKUP($A114,'Data Vlaue (Cr)'!$C:$FB,95)</f>
        <v>373</v>
      </c>
      <c r="L114" s="91">
        <f>VLOOKUP($A114,'Data Vlaue (Cr)'!$C:$FB,97)</f>
        <v>15</v>
      </c>
      <c r="M114" s="92">
        <f>VLOOKUP($A114,'Data Vlaue (Cr)'!$C:$FB,98)</f>
        <v>4.2500000000000003E-2</v>
      </c>
      <c r="N114" s="91">
        <f>VLOOKUP($A114,'Data Vlaue (Cr)'!$C:$FB,79)</f>
        <v>5211</v>
      </c>
      <c r="O114" s="92">
        <f>VLOOKUP($A114,'Data Vlaue (Cr)'!$C:$FB,82)</f>
        <v>8.0000000000000004E-4</v>
      </c>
    </row>
    <row r="115" spans="1:15" x14ac:dyDescent="0.25">
      <c r="A115" s="97" t="str">
        <f>'Data Vlaue (Cr)'!C110</f>
        <v>JUBLFOOD</v>
      </c>
      <c r="B115" s="142">
        <f>VLOOKUP(A115,'Data Vlaue (Cr)'!C110:CW324,99,0)</f>
        <v>1784</v>
      </c>
      <c r="C115" s="90">
        <f>VLOOKUP(A115,'Data Vlaue (Cr)'!C110:CY324,101,0)</f>
        <v>106</v>
      </c>
      <c r="D115" s="139">
        <f>VLOOKUP(A115,'Data Vlaue (Cr)'!C110:CZ324,102,0)</f>
        <v>6.2899999999999998E-2</v>
      </c>
      <c r="E115" s="91">
        <f>VLOOKUP($A115,'Data Vlaue (Cr)'!$C:$FB,75)</f>
        <v>1317</v>
      </c>
      <c r="F115" s="91">
        <f>VLOOKUP($A115,'Data Vlaue (Cr)'!$C:$FB,77)</f>
        <v>-4</v>
      </c>
      <c r="G115" s="92">
        <f>VLOOKUP(A115,'Data Vlaue (Cr)'!C110:CB324,78,0)</f>
        <v>-3.0999999999999999E-3</v>
      </c>
      <c r="H115" s="91">
        <f>VLOOKUP($A115,'Data Vlaue (Cr)'!$C:$FB,91)</f>
        <v>281</v>
      </c>
      <c r="I115" s="91">
        <f>VLOOKUP($A115,'Data Vlaue (Cr)'!$C:$FB,93)</f>
        <v>69</v>
      </c>
      <c r="J115" s="92">
        <f>VLOOKUP($A115,'Data Vlaue (Cr)'!$C:$FB,94)</f>
        <v>0.32519999999999999</v>
      </c>
      <c r="K115" s="91">
        <f>VLOOKUP($A115,'Data Vlaue (Cr)'!$C:$FB,95)</f>
        <v>186</v>
      </c>
      <c r="L115" s="91">
        <f>VLOOKUP($A115,'Data Vlaue (Cr)'!$C:$FB,97)</f>
        <v>41</v>
      </c>
      <c r="M115" s="92">
        <f>VLOOKUP($A115,'Data Vlaue (Cr)'!$C:$FB,98)</f>
        <v>0.27950000000000003</v>
      </c>
      <c r="N115" s="91">
        <f>VLOOKUP($A115,'Data Vlaue (Cr)'!$C:$FB,79)</f>
        <v>1297</v>
      </c>
      <c r="O115" s="92">
        <f>VLOOKUP($A115,'Data Vlaue (Cr)'!$C:$FB,82)</f>
        <v>-5.5999999999999999E-3</v>
      </c>
    </row>
    <row r="116" spans="1:15" x14ac:dyDescent="0.25">
      <c r="A116" s="97" t="str">
        <f>'Data Vlaue (Cr)'!C111</f>
        <v>KALYANKJIL</v>
      </c>
      <c r="B116" s="142">
        <f>VLOOKUP(A116,'Data Vlaue (Cr)'!C111:CW325,99,0)</f>
        <v>2432</v>
      </c>
      <c r="C116" s="90">
        <f>VLOOKUP(A116,'Data Vlaue (Cr)'!C111:CY325,101,0)</f>
        <v>108</v>
      </c>
      <c r="D116" s="139">
        <f>VLOOKUP(A116,'Data Vlaue (Cr)'!C111:CZ325,102,0)</f>
        <v>4.6699999999999998E-2</v>
      </c>
      <c r="E116" s="91">
        <f>VLOOKUP($A116,'Data Vlaue (Cr)'!$C:$FB,75)</f>
        <v>1504</v>
      </c>
      <c r="F116" s="91">
        <f>VLOOKUP($A116,'Data Vlaue (Cr)'!$C:$FB,77)</f>
        <v>30</v>
      </c>
      <c r="G116" s="92">
        <f>VLOOKUP(A116,'Data Vlaue (Cr)'!C111:CB325,78,0)</f>
        <v>2.06E-2</v>
      </c>
      <c r="H116" s="91">
        <f>VLOOKUP($A116,'Data Vlaue (Cr)'!$C:$FB,91)</f>
        <v>594</v>
      </c>
      <c r="I116" s="91">
        <f>VLOOKUP($A116,'Data Vlaue (Cr)'!$C:$FB,93)</f>
        <v>65</v>
      </c>
      <c r="J116" s="92">
        <f>VLOOKUP($A116,'Data Vlaue (Cr)'!$C:$FB,94)</f>
        <v>0.1229</v>
      </c>
      <c r="K116" s="91">
        <f>VLOOKUP($A116,'Data Vlaue (Cr)'!$C:$FB,95)</f>
        <v>334</v>
      </c>
      <c r="L116" s="91">
        <f>VLOOKUP($A116,'Data Vlaue (Cr)'!$C:$FB,97)</f>
        <v>13</v>
      </c>
      <c r="M116" s="92">
        <f>VLOOKUP($A116,'Data Vlaue (Cr)'!$C:$FB,98)</f>
        <v>4.0500000000000001E-2</v>
      </c>
      <c r="N116" s="91">
        <f>VLOOKUP($A116,'Data Vlaue (Cr)'!$C:$FB,79)</f>
        <v>1454</v>
      </c>
      <c r="O116" s="92">
        <f>VLOOKUP($A116,'Data Vlaue (Cr)'!$C:$FB,82)</f>
        <v>1.84E-2</v>
      </c>
    </row>
    <row r="117" spans="1:15" x14ac:dyDescent="0.25">
      <c r="A117" s="97" t="str">
        <f>'Data Vlaue (Cr)'!C112</f>
        <v>KAYNES</v>
      </c>
      <c r="B117" s="142">
        <f>VLOOKUP(A117,'Data Vlaue (Cr)'!C112:CW326,99,0)</f>
        <v>1542</v>
      </c>
      <c r="C117" s="90">
        <f>VLOOKUP(A117,'Data Vlaue (Cr)'!C112:CY326,101,0)</f>
        <v>13</v>
      </c>
      <c r="D117" s="139">
        <f>VLOOKUP(A117,'Data Vlaue (Cr)'!C112:CZ326,102,0)</f>
        <v>8.6999999999999994E-3</v>
      </c>
      <c r="E117" s="91">
        <f>VLOOKUP($A117,'Data Vlaue (Cr)'!$C:$FB,75)</f>
        <v>817</v>
      </c>
      <c r="F117" s="91">
        <f>VLOOKUP($A117,'Data Vlaue (Cr)'!$C:$FB,77)</f>
        <v>2</v>
      </c>
      <c r="G117" s="92">
        <f>VLOOKUP(A117,'Data Vlaue (Cr)'!C112:CB326,78,0)</f>
        <v>1.9E-3</v>
      </c>
      <c r="H117" s="91">
        <f>VLOOKUP($A117,'Data Vlaue (Cr)'!$C:$FB,91)</f>
        <v>463</v>
      </c>
      <c r="I117" s="91">
        <f>VLOOKUP($A117,'Data Vlaue (Cr)'!$C:$FB,93)</f>
        <v>-5</v>
      </c>
      <c r="J117" s="92">
        <f>VLOOKUP($A117,'Data Vlaue (Cr)'!$C:$FB,94)</f>
        <v>-1.01E-2</v>
      </c>
      <c r="K117" s="91">
        <f>VLOOKUP($A117,'Data Vlaue (Cr)'!$C:$FB,95)</f>
        <v>262</v>
      </c>
      <c r="L117" s="91">
        <f>VLOOKUP($A117,'Data Vlaue (Cr)'!$C:$FB,97)</f>
        <v>16</v>
      </c>
      <c r="M117" s="92">
        <f>VLOOKUP($A117,'Data Vlaue (Cr)'!$C:$FB,98)</f>
        <v>6.7100000000000007E-2</v>
      </c>
      <c r="N117" s="91">
        <f>VLOOKUP($A117,'Data Vlaue (Cr)'!$C:$FB,79)</f>
        <v>797</v>
      </c>
      <c r="O117" s="92">
        <f>VLOOKUP($A117,'Data Vlaue (Cr)'!$C:$FB,82)</f>
        <v>-2.0999999999999999E-3</v>
      </c>
    </row>
    <row r="118" spans="1:15" x14ac:dyDescent="0.25">
      <c r="A118" s="97" t="str">
        <f>'Data Vlaue (Cr)'!C113</f>
        <v>KEI</v>
      </c>
      <c r="B118" s="142">
        <f>VLOOKUP(A118,'Data Vlaue (Cr)'!C113:CW327,99,0)</f>
        <v>846</v>
      </c>
      <c r="C118" s="90">
        <f>VLOOKUP(A118,'Data Vlaue (Cr)'!C113:CY327,101,0)</f>
        <v>58</v>
      </c>
      <c r="D118" s="139">
        <f>VLOOKUP(A118,'Data Vlaue (Cr)'!C113:CZ327,102,0)</f>
        <v>7.3800000000000004E-2</v>
      </c>
      <c r="E118" s="91">
        <f>VLOOKUP($A118,'Data Vlaue (Cr)'!$C:$FB,75)</f>
        <v>605</v>
      </c>
      <c r="F118" s="91">
        <f>VLOOKUP($A118,'Data Vlaue (Cr)'!$C:$FB,77)</f>
        <v>20</v>
      </c>
      <c r="G118" s="92">
        <f>VLOOKUP(A118,'Data Vlaue (Cr)'!C113:CB327,78,0)</f>
        <v>3.4099999999999998E-2</v>
      </c>
      <c r="H118" s="91">
        <f>VLOOKUP($A118,'Data Vlaue (Cr)'!$C:$FB,91)</f>
        <v>131</v>
      </c>
      <c r="I118" s="91">
        <f>VLOOKUP($A118,'Data Vlaue (Cr)'!$C:$FB,93)</f>
        <v>24</v>
      </c>
      <c r="J118" s="92">
        <f>VLOOKUP($A118,'Data Vlaue (Cr)'!$C:$FB,94)</f>
        <v>0.22189999999999999</v>
      </c>
      <c r="K118" s="91">
        <f>VLOOKUP($A118,'Data Vlaue (Cr)'!$C:$FB,95)</f>
        <v>110</v>
      </c>
      <c r="L118" s="91">
        <f>VLOOKUP($A118,'Data Vlaue (Cr)'!$C:$FB,97)</f>
        <v>14</v>
      </c>
      <c r="M118" s="92">
        <f>VLOOKUP($A118,'Data Vlaue (Cr)'!$C:$FB,98)</f>
        <v>0.15129999999999999</v>
      </c>
      <c r="N118" s="91">
        <f>VLOOKUP($A118,'Data Vlaue (Cr)'!$C:$FB,79)</f>
        <v>598</v>
      </c>
      <c r="O118" s="92">
        <f>VLOOKUP($A118,'Data Vlaue (Cr)'!$C:$FB,82)</f>
        <v>3.3300000000000003E-2</v>
      </c>
    </row>
    <row r="119" spans="1:15" x14ac:dyDescent="0.25">
      <c r="A119" s="97" t="str">
        <f>'Data Vlaue (Cr)'!C114</f>
        <v>KFINTECH</v>
      </c>
      <c r="B119" s="142">
        <f>VLOOKUP(A119,'Data Vlaue (Cr)'!C114:CW328,99,0)</f>
        <v>404</v>
      </c>
      <c r="C119" s="90">
        <f>VLOOKUP(A119,'Data Vlaue (Cr)'!C114:CY328,101,0)</f>
        <v>25</v>
      </c>
      <c r="D119" s="139">
        <f>VLOOKUP(A119,'Data Vlaue (Cr)'!C114:CZ328,102,0)</f>
        <v>6.6400000000000001E-2</v>
      </c>
      <c r="E119" s="91">
        <f>VLOOKUP($A119,'Data Vlaue (Cr)'!$C:$FB,75)</f>
        <v>254</v>
      </c>
      <c r="F119" s="91">
        <f>VLOOKUP($A119,'Data Vlaue (Cr)'!$C:$FB,77)</f>
        <v>6</v>
      </c>
      <c r="G119" s="92">
        <f>VLOOKUP(A119,'Data Vlaue (Cr)'!C114:CB328,78,0)</f>
        <v>2.5600000000000001E-2</v>
      </c>
      <c r="H119" s="91">
        <f>VLOOKUP($A119,'Data Vlaue (Cr)'!$C:$FB,91)</f>
        <v>100</v>
      </c>
      <c r="I119" s="91">
        <f>VLOOKUP($A119,'Data Vlaue (Cr)'!$C:$FB,93)</f>
        <v>18</v>
      </c>
      <c r="J119" s="92">
        <f>VLOOKUP($A119,'Data Vlaue (Cr)'!$C:$FB,94)</f>
        <v>0.22140000000000001</v>
      </c>
      <c r="K119" s="91">
        <f>VLOOKUP($A119,'Data Vlaue (Cr)'!$C:$FB,95)</f>
        <v>50</v>
      </c>
      <c r="L119" s="91">
        <f>VLOOKUP($A119,'Data Vlaue (Cr)'!$C:$FB,97)</f>
        <v>1</v>
      </c>
      <c r="M119" s="92">
        <f>VLOOKUP($A119,'Data Vlaue (Cr)'!$C:$FB,98)</f>
        <v>1.46E-2</v>
      </c>
      <c r="N119" s="91">
        <f>VLOOKUP($A119,'Data Vlaue (Cr)'!$C:$FB,79)</f>
        <v>245</v>
      </c>
      <c r="O119" s="92">
        <f>VLOOKUP($A119,'Data Vlaue (Cr)'!$C:$FB,82)</f>
        <v>2.35E-2</v>
      </c>
    </row>
    <row r="120" spans="1:15" x14ac:dyDescent="0.25">
      <c r="A120" s="97" t="str">
        <f>'Data Vlaue (Cr)'!C115</f>
        <v>KOTAKBANK</v>
      </c>
      <c r="B120" s="142">
        <f>VLOOKUP(A120,'Data Vlaue (Cr)'!C115:CW329,99,0)</f>
        <v>11354</v>
      </c>
      <c r="C120" s="90">
        <f>VLOOKUP(A120,'Data Vlaue (Cr)'!C115:CY329,101,0)</f>
        <v>551</v>
      </c>
      <c r="D120" s="139">
        <f>VLOOKUP(A120,'Data Vlaue (Cr)'!C115:CZ329,102,0)</f>
        <v>5.0999999999999997E-2</v>
      </c>
      <c r="E120" s="91">
        <f>VLOOKUP($A120,'Data Vlaue (Cr)'!$C:$FB,75)</f>
        <v>7786</v>
      </c>
      <c r="F120" s="91">
        <f>VLOOKUP($A120,'Data Vlaue (Cr)'!$C:$FB,77)</f>
        <v>-152</v>
      </c>
      <c r="G120" s="92">
        <f>VLOOKUP(A120,'Data Vlaue (Cr)'!C115:CB329,78,0)</f>
        <v>-1.9199999999999998E-2</v>
      </c>
      <c r="H120" s="91">
        <f>VLOOKUP($A120,'Data Vlaue (Cr)'!$C:$FB,91)</f>
        <v>1670</v>
      </c>
      <c r="I120" s="91">
        <f>VLOOKUP($A120,'Data Vlaue (Cr)'!$C:$FB,93)</f>
        <v>350</v>
      </c>
      <c r="J120" s="92">
        <f>VLOOKUP($A120,'Data Vlaue (Cr)'!$C:$FB,94)</f>
        <v>0.26529999999999998</v>
      </c>
      <c r="K120" s="91">
        <f>VLOOKUP($A120,'Data Vlaue (Cr)'!$C:$FB,95)</f>
        <v>1899</v>
      </c>
      <c r="L120" s="91">
        <f>VLOOKUP($A120,'Data Vlaue (Cr)'!$C:$FB,97)</f>
        <v>353</v>
      </c>
      <c r="M120" s="92">
        <f>VLOOKUP($A120,'Data Vlaue (Cr)'!$C:$FB,98)</f>
        <v>0.22819999999999999</v>
      </c>
      <c r="N120" s="91">
        <f>VLOOKUP($A120,'Data Vlaue (Cr)'!$C:$FB,79)</f>
        <v>7521</v>
      </c>
      <c r="O120" s="92">
        <f>VLOOKUP($A120,'Data Vlaue (Cr)'!$C:$FB,82)</f>
        <v>-3.32E-2</v>
      </c>
    </row>
    <row r="121" spans="1:15" x14ac:dyDescent="0.25">
      <c r="A121" s="97" t="str">
        <f>'Data Vlaue (Cr)'!C116</f>
        <v>KPITTECH</v>
      </c>
      <c r="B121" s="142">
        <f>VLOOKUP(A121,'Data Vlaue (Cr)'!C116:CW330,99,0)</f>
        <v>1054</v>
      </c>
      <c r="C121" s="90">
        <f>VLOOKUP(A121,'Data Vlaue (Cr)'!C116:CY330,101,0)</f>
        <v>51</v>
      </c>
      <c r="D121" s="139">
        <f>VLOOKUP(A121,'Data Vlaue (Cr)'!C116:CZ330,102,0)</f>
        <v>5.0700000000000002E-2</v>
      </c>
      <c r="E121" s="91">
        <f>VLOOKUP($A121,'Data Vlaue (Cr)'!$C:$FB,75)</f>
        <v>512</v>
      </c>
      <c r="F121" s="91">
        <f>VLOOKUP($A121,'Data Vlaue (Cr)'!$C:$FB,77)</f>
        <v>-19</v>
      </c>
      <c r="G121" s="92">
        <f>VLOOKUP(A121,'Data Vlaue (Cr)'!C116:CB330,78,0)</f>
        <v>-3.6400000000000002E-2</v>
      </c>
      <c r="H121" s="91">
        <f>VLOOKUP($A121,'Data Vlaue (Cr)'!$C:$FB,91)</f>
        <v>302</v>
      </c>
      <c r="I121" s="91">
        <f>VLOOKUP($A121,'Data Vlaue (Cr)'!$C:$FB,93)</f>
        <v>42</v>
      </c>
      <c r="J121" s="92">
        <f>VLOOKUP($A121,'Data Vlaue (Cr)'!$C:$FB,94)</f>
        <v>0.15909999999999999</v>
      </c>
      <c r="K121" s="91">
        <f>VLOOKUP($A121,'Data Vlaue (Cr)'!$C:$FB,95)</f>
        <v>240</v>
      </c>
      <c r="L121" s="91">
        <f>VLOOKUP($A121,'Data Vlaue (Cr)'!$C:$FB,97)</f>
        <v>29</v>
      </c>
      <c r="M121" s="92">
        <f>VLOOKUP($A121,'Data Vlaue (Cr)'!$C:$FB,98)</f>
        <v>0.1361</v>
      </c>
      <c r="N121" s="91">
        <f>VLOOKUP($A121,'Data Vlaue (Cr)'!$C:$FB,79)</f>
        <v>482</v>
      </c>
      <c r="O121" s="92">
        <f>VLOOKUP($A121,'Data Vlaue (Cr)'!$C:$FB,82)</f>
        <v>-4.2099999999999999E-2</v>
      </c>
    </row>
    <row r="122" spans="1:15" x14ac:dyDescent="0.25">
      <c r="A122" s="97" t="str">
        <f>'Data Vlaue (Cr)'!C117</f>
        <v>LAURUSLABS</v>
      </c>
      <c r="B122" s="142">
        <f>VLOOKUP(A122,'Data Vlaue (Cr)'!C117:CW331,99,0)</f>
        <v>2989</v>
      </c>
      <c r="C122" s="90">
        <f>VLOOKUP(A122,'Data Vlaue (Cr)'!C117:CY331,101,0)</f>
        <v>89</v>
      </c>
      <c r="D122" s="139">
        <f>VLOOKUP(A122,'Data Vlaue (Cr)'!C117:CZ331,102,0)</f>
        <v>3.0700000000000002E-2</v>
      </c>
      <c r="E122" s="91">
        <f>VLOOKUP($A122,'Data Vlaue (Cr)'!$C:$FB,75)</f>
        <v>1653</v>
      </c>
      <c r="F122" s="91">
        <f>VLOOKUP($A122,'Data Vlaue (Cr)'!$C:$FB,77)</f>
        <v>41</v>
      </c>
      <c r="G122" s="92">
        <f>VLOOKUP(A122,'Data Vlaue (Cr)'!C117:CB331,78,0)</f>
        <v>2.5700000000000001E-2</v>
      </c>
      <c r="H122" s="91">
        <f>VLOOKUP($A122,'Data Vlaue (Cr)'!$C:$FB,91)</f>
        <v>833</v>
      </c>
      <c r="I122" s="91">
        <f>VLOOKUP($A122,'Data Vlaue (Cr)'!$C:$FB,93)</f>
        <v>43</v>
      </c>
      <c r="J122" s="92">
        <f>VLOOKUP($A122,'Data Vlaue (Cr)'!$C:$FB,94)</f>
        <v>5.3999999999999999E-2</v>
      </c>
      <c r="K122" s="91">
        <f>VLOOKUP($A122,'Data Vlaue (Cr)'!$C:$FB,95)</f>
        <v>504</v>
      </c>
      <c r="L122" s="91">
        <f>VLOOKUP($A122,'Data Vlaue (Cr)'!$C:$FB,97)</f>
        <v>5</v>
      </c>
      <c r="M122" s="92">
        <f>VLOOKUP($A122,'Data Vlaue (Cr)'!$C:$FB,98)</f>
        <v>1.04E-2</v>
      </c>
      <c r="N122" s="91">
        <f>VLOOKUP($A122,'Data Vlaue (Cr)'!$C:$FB,79)</f>
        <v>1598</v>
      </c>
      <c r="O122" s="92">
        <f>VLOOKUP($A122,'Data Vlaue (Cr)'!$C:$FB,82)</f>
        <v>2.4799999999999999E-2</v>
      </c>
    </row>
    <row r="123" spans="1:15" x14ac:dyDescent="0.25">
      <c r="A123" s="97" t="str">
        <f>'Data Vlaue (Cr)'!C118</f>
        <v>LICHSGFIN</v>
      </c>
      <c r="B123" s="142">
        <f>VLOOKUP(A123,'Data Vlaue (Cr)'!C118:CW332,99,0)</f>
        <v>2435</v>
      </c>
      <c r="C123" s="90">
        <f>VLOOKUP(A123,'Data Vlaue (Cr)'!C118:CY332,101,0)</f>
        <v>24</v>
      </c>
      <c r="D123" s="139">
        <f>VLOOKUP(A123,'Data Vlaue (Cr)'!C118:CZ332,102,0)</f>
        <v>9.7999999999999997E-3</v>
      </c>
      <c r="E123" s="91">
        <f>VLOOKUP($A123,'Data Vlaue (Cr)'!$C:$FB,75)</f>
        <v>1710</v>
      </c>
      <c r="F123" s="91">
        <f>VLOOKUP($A123,'Data Vlaue (Cr)'!$C:$FB,77)</f>
        <v>17</v>
      </c>
      <c r="G123" s="92">
        <f>VLOOKUP(A123,'Data Vlaue (Cr)'!C118:CB332,78,0)</f>
        <v>1.01E-2</v>
      </c>
      <c r="H123" s="91">
        <f>VLOOKUP($A123,'Data Vlaue (Cr)'!$C:$FB,91)</f>
        <v>406</v>
      </c>
      <c r="I123" s="91">
        <f>VLOOKUP($A123,'Data Vlaue (Cr)'!$C:$FB,93)</f>
        <v>3</v>
      </c>
      <c r="J123" s="92">
        <f>VLOOKUP($A123,'Data Vlaue (Cr)'!$C:$FB,94)</f>
        <v>6.4999999999999997E-3</v>
      </c>
      <c r="K123" s="91">
        <f>VLOOKUP($A123,'Data Vlaue (Cr)'!$C:$FB,95)</f>
        <v>319</v>
      </c>
      <c r="L123" s="91">
        <f>VLOOKUP($A123,'Data Vlaue (Cr)'!$C:$FB,97)</f>
        <v>4</v>
      </c>
      <c r="M123" s="92">
        <f>VLOOKUP($A123,'Data Vlaue (Cr)'!$C:$FB,98)</f>
        <v>1.2200000000000001E-2</v>
      </c>
      <c r="N123" s="91">
        <f>VLOOKUP($A123,'Data Vlaue (Cr)'!$C:$FB,79)</f>
        <v>1673</v>
      </c>
      <c r="O123" s="92">
        <f>VLOOKUP($A123,'Data Vlaue (Cr)'!$C:$FB,82)</f>
        <v>9.2999999999999992E-3</v>
      </c>
    </row>
    <row r="124" spans="1:15" x14ac:dyDescent="0.25">
      <c r="A124" s="97" t="str">
        <f>'Data Vlaue (Cr)'!C119</f>
        <v>LICI</v>
      </c>
      <c r="B124" s="142">
        <f>VLOOKUP(A124,'Data Vlaue (Cr)'!C119:CW333,99,0)</f>
        <v>1134</v>
      </c>
      <c r="C124" s="90">
        <f>VLOOKUP(A124,'Data Vlaue (Cr)'!C119:CY333,101,0)</f>
        <v>60</v>
      </c>
      <c r="D124" s="139">
        <f>VLOOKUP(A124,'Data Vlaue (Cr)'!C119:CZ333,102,0)</f>
        <v>5.6099999999999997E-2</v>
      </c>
      <c r="E124" s="91">
        <f>VLOOKUP($A124,'Data Vlaue (Cr)'!$C:$FB,75)</f>
        <v>679</v>
      </c>
      <c r="F124" s="91">
        <f>VLOOKUP($A124,'Data Vlaue (Cr)'!$C:$FB,77)</f>
        <v>27</v>
      </c>
      <c r="G124" s="92">
        <f>VLOOKUP(A124,'Data Vlaue (Cr)'!C119:CB333,78,0)</f>
        <v>4.0899999999999999E-2</v>
      </c>
      <c r="H124" s="91">
        <f>VLOOKUP($A124,'Data Vlaue (Cr)'!$C:$FB,91)</f>
        <v>317</v>
      </c>
      <c r="I124" s="91">
        <f>VLOOKUP($A124,'Data Vlaue (Cr)'!$C:$FB,93)</f>
        <v>25</v>
      </c>
      <c r="J124" s="92">
        <f>VLOOKUP($A124,'Data Vlaue (Cr)'!$C:$FB,94)</f>
        <v>8.4599999999999995E-2</v>
      </c>
      <c r="K124" s="91">
        <f>VLOOKUP($A124,'Data Vlaue (Cr)'!$C:$FB,95)</f>
        <v>138</v>
      </c>
      <c r="L124" s="91">
        <f>VLOOKUP($A124,'Data Vlaue (Cr)'!$C:$FB,97)</f>
        <v>9</v>
      </c>
      <c r="M124" s="92">
        <f>VLOOKUP($A124,'Data Vlaue (Cr)'!$C:$FB,98)</f>
        <v>6.8199999999999997E-2</v>
      </c>
      <c r="N124" s="91">
        <f>VLOOKUP($A124,'Data Vlaue (Cr)'!$C:$FB,79)</f>
        <v>644</v>
      </c>
      <c r="O124" s="92">
        <f>VLOOKUP($A124,'Data Vlaue (Cr)'!$C:$FB,82)</f>
        <v>2.76E-2</v>
      </c>
    </row>
    <row r="125" spans="1:15" x14ac:dyDescent="0.25">
      <c r="A125" s="97" t="str">
        <f>'Data Vlaue (Cr)'!C120</f>
        <v>LODHA</v>
      </c>
      <c r="B125" s="142">
        <f>VLOOKUP(A125,'Data Vlaue (Cr)'!C120:CW334,99,0)</f>
        <v>1670</v>
      </c>
      <c r="C125" s="90">
        <f>VLOOKUP(A125,'Data Vlaue (Cr)'!C120:CY334,101,0)</f>
        <v>95</v>
      </c>
      <c r="D125" s="139">
        <f>VLOOKUP(A125,'Data Vlaue (Cr)'!C120:CZ334,102,0)</f>
        <v>0.06</v>
      </c>
      <c r="E125" s="91">
        <f>VLOOKUP($A125,'Data Vlaue (Cr)'!$C:$FB,75)</f>
        <v>1229</v>
      </c>
      <c r="F125" s="91">
        <f>VLOOKUP($A125,'Data Vlaue (Cr)'!$C:$FB,77)</f>
        <v>55</v>
      </c>
      <c r="G125" s="92">
        <f>VLOOKUP(A125,'Data Vlaue (Cr)'!C120:CB334,78,0)</f>
        <v>4.65E-2</v>
      </c>
      <c r="H125" s="91">
        <f>VLOOKUP($A125,'Data Vlaue (Cr)'!$C:$FB,91)</f>
        <v>294</v>
      </c>
      <c r="I125" s="91">
        <f>VLOOKUP($A125,'Data Vlaue (Cr)'!$C:$FB,93)</f>
        <v>24</v>
      </c>
      <c r="J125" s="92">
        <f>VLOOKUP($A125,'Data Vlaue (Cr)'!$C:$FB,94)</f>
        <v>8.9899999999999994E-2</v>
      </c>
      <c r="K125" s="91">
        <f>VLOOKUP($A125,'Data Vlaue (Cr)'!$C:$FB,95)</f>
        <v>147</v>
      </c>
      <c r="L125" s="91">
        <f>VLOOKUP($A125,'Data Vlaue (Cr)'!$C:$FB,97)</f>
        <v>16</v>
      </c>
      <c r="M125" s="92">
        <f>VLOOKUP($A125,'Data Vlaue (Cr)'!$C:$FB,98)</f>
        <v>0.1192</v>
      </c>
      <c r="N125" s="91">
        <f>VLOOKUP($A125,'Data Vlaue (Cr)'!$C:$FB,79)</f>
        <v>1191</v>
      </c>
      <c r="O125" s="92">
        <f>VLOOKUP($A125,'Data Vlaue (Cr)'!$C:$FB,82)</f>
        <v>4.4699999999999997E-2</v>
      </c>
    </row>
    <row r="126" spans="1:15" x14ac:dyDescent="0.25">
      <c r="A126" s="97" t="str">
        <f>'Data Vlaue (Cr)'!C121</f>
        <v>LT</v>
      </c>
      <c r="B126" s="142">
        <f>VLOOKUP(A126,'Data Vlaue (Cr)'!C121:CW335,99,0)</f>
        <v>9209</v>
      </c>
      <c r="C126" s="90">
        <f>VLOOKUP(A126,'Data Vlaue (Cr)'!C121:CY335,101,0)</f>
        <v>322</v>
      </c>
      <c r="D126" s="139">
        <f>VLOOKUP(A126,'Data Vlaue (Cr)'!C121:CZ335,102,0)</f>
        <v>3.6200000000000003E-2</v>
      </c>
      <c r="E126" s="91">
        <f>VLOOKUP($A126,'Data Vlaue (Cr)'!$C:$FB,75)</f>
        <v>6249</v>
      </c>
      <c r="F126" s="91">
        <f>VLOOKUP($A126,'Data Vlaue (Cr)'!$C:$FB,77)</f>
        <v>2</v>
      </c>
      <c r="G126" s="92">
        <f>VLOOKUP(A126,'Data Vlaue (Cr)'!C121:CB335,78,0)</f>
        <v>2.9999999999999997E-4</v>
      </c>
      <c r="H126" s="91">
        <f>VLOOKUP($A126,'Data Vlaue (Cr)'!$C:$FB,91)</f>
        <v>1977</v>
      </c>
      <c r="I126" s="91">
        <f>VLOOKUP($A126,'Data Vlaue (Cr)'!$C:$FB,93)</f>
        <v>274</v>
      </c>
      <c r="J126" s="92">
        <f>VLOOKUP($A126,'Data Vlaue (Cr)'!$C:$FB,94)</f>
        <v>0.16059999999999999</v>
      </c>
      <c r="K126" s="91">
        <f>VLOOKUP($A126,'Data Vlaue (Cr)'!$C:$FB,95)</f>
        <v>984</v>
      </c>
      <c r="L126" s="91">
        <f>VLOOKUP($A126,'Data Vlaue (Cr)'!$C:$FB,97)</f>
        <v>46</v>
      </c>
      <c r="M126" s="92">
        <f>VLOOKUP($A126,'Data Vlaue (Cr)'!$C:$FB,98)</f>
        <v>4.9500000000000002E-2</v>
      </c>
      <c r="N126" s="91">
        <f>VLOOKUP($A126,'Data Vlaue (Cr)'!$C:$FB,79)</f>
        <v>6115</v>
      </c>
      <c r="O126" s="92">
        <f>VLOOKUP($A126,'Data Vlaue (Cr)'!$C:$FB,82)</f>
        <v>-4.0000000000000002E-4</v>
      </c>
    </row>
    <row r="127" spans="1:15" x14ac:dyDescent="0.25">
      <c r="A127" s="97" t="str">
        <f>'Data Vlaue (Cr)'!C122</f>
        <v>LTF</v>
      </c>
      <c r="B127" s="142">
        <f>VLOOKUP(A127,'Data Vlaue (Cr)'!C122:CW336,99,0)</f>
        <v>2447</v>
      </c>
      <c r="C127" s="90">
        <f>VLOOKUP(A127,'Data Vlaue (Cr)'!C122:CY336,101,0)</f>
        <v>64</v>
      </c>
      <c r="D127" s="139">
        <f>VLOOKUP(A127,'Data Vlaue (Cr)'!C122:CZ336,102,0)</f>
        <v>2.69E-2</v>
      </c>
      <c r="E127" s="91">
        <f>VLOOKUP($A127,'Data Vlaue (Cr)'!$C:$FB,75)</f>
        <v>1251</v>
      </c>
      <c r="F127" s="91">
        <f>VLOOKUP($A127,'Data Vlaue (Cr)'!$C:$FB,77)</f>
        <v>-5</v>
      </c>
      <c r="G127" s="92">
        <f>VLOOKUP(A127,'Data Vlaue (Cr)'!C122:CB336,78,0)</f>
        <v>-4.1000000000000003E-3</v>
      </c>
      <c r="H127" s="91">
        <f>VLOOKUP($A127,'Data Vlaue (Cr)'!$C:$FB,91)</f>
        <v>613</v>
      </c>
      <c r="I127" s="91">
        <f>VLOOKUP($A127,'Data Vlaue (Cr)'!$C:$FB,93)</f>
        <v>70</v>
      </c>
      <c r="J127" s="92">
        <f>VLOOKUP($A127,'Data Vlaue (Cr)'!$C:$FB,94)</f>
        <v>0.1285</v>
      </c>
      <c r="K127" s="91">
        <f>VLOOKUP($A127,'Data Vlaue (Cr)'!$C:$FB,95)</f>
        <v>583</v>
      </c>
      <c r="L127" s="91">
        <f>VLOOKUP($A127,'Data Vlaue (Cr)'!$C:$FB,97)</f>
        <v>0</v>
      </c>
      <c r="M127" s="92">
        <f>VLOOKUP($A127,'Data Vlaue (Cr)'!$C:$FB,98)</f>
        <v>-8.0000000000000004E-4</v>
      </c>
      <c r="N127" s="91">
        <f>VLOOKUP($A127,'Data Vlaue (Cr)'!$C:$FB,79)</f>
        <v>1207</v>
      </c>
      <c r="O127" s="92">
        <f>VLOOKUP($A127,'Data Vlaue (Cr)'!$C:$FB,82)</f>
        <v>-8.5000000000000006E-3</v>
      </c>
    </row>
    <row r="128" spans="1:15" x14ac:dyDescent="0.25">
      <c r="A128" s="97" t="str">
        <f>'Data Vlaue (Cr)'!C123</f>
        <v>LTIM</v>
      </c>
      <c r="B128" s="142">
        <f>VLOOKUP(A128,'Data Vlaue (Cr)'!C123:CW337,99,0)</f>
        <v>1907</v>
      </c>
      <c r="C128" s="90">
        <f>VLOOKUP(A128,'Data Vlaue (Cr)'!C123:CY337,101,0)</f>
        <v>43</v>
      </c>
      <c r="D128" s="139">
        <f>VLOOKUP(A128,'Data Vlaue (Cr)'!C123:CZ337,102,0)</f>
        <v>2.29E-2</v>
      </c>
      <c r="E128" s="91">
        <f>VLOOKUP($A128,'Data Vlaue (Cr)'!$C:$FB,75)</f>
        <v>1350</v>
      </c>
      <c r="F128" s="91">
        <f>VLOOKUP($A128,'Data Vlaue (Cr)'!$C:$FB,77)</f>
        <v>-23</v>
      </c>
      <c r="G128" s="92">
        <f>VLOOKUP(A128,'Data Vlaue (Cr)'!C123:CB337,78,0)</f>
        <v>-1.7000000000000001E-2</v>
      </c>
      <c r="H128" s="91">
        <f>VLOOKUP($A128,'Data Vlaue (Cr)'!$C:$FB,91)</f>
        <v>339</v>
      </c>
      <c r="I128" s="91">
        <f>VLOOKUP($A128,'Data Vlaue (Cr)'!$C:$FB,93)</f>
        <v>54</v>
      </c>
      <c r="J128" s="92">
        <f>VLOOKUP($A128,'Data Vlaue (Cr)'!$C:$FB,94)</f>
        <v>0.19040000000000001</v>
      </c>
      <c r="K128" s="91">
        <f>VLOOKUP($A128,'Data Vlaue (Cr)'!$C:$FB,95)</f>
        <v>219</v>
      </c>
      <c r="L128" s="91">
        <f>VLOOKUP($A128,'Data Vlaue (Cr)'!$C:$FB,97)</f>
        <v>12</v>
      </c>
      <c r="M128" s="92">
        <f>VLOOKUP($A128,'Data Vlaue (Cr)'!$C:$FB,98)</f>
        <v>5.6800000000000003E-2</v>
      </c>
      <c r="N128" s="91">
        <f>VLOOKUP($A128,'Data Vlaue (Cr)'!$C:$FB,79)</f>
        <v>1322</v>
      </c>
      <c r="O128" s="92">
        <f>VLOOKUP($A128,'Data Vlaue (Cr)'!$C:$FB,82)</f>
        <v>-1.6799999999999999E-2</v>
      </c>
    </row>
    <row r="129" spans="1:15" x14ac:dyDescent="0.25">
      <c r="A129" s="97" t="str">
        <f>'Data Vlaue (Cr)'!C124</f>
        <v>LUPIN</v>
      </c>
      <c r="B129" s="142">
        <f>VLOOKUP(A129,'Data Vlaue (Cr)'!C124:CW338,99,0)</f>
        <v>2944</v>
      </c>
      <c r="C129" s="90">
        <f>VLOOKUP(A129,'Data Vlaue (Cr)'!C124:CY338,101,0)</f>
        <v>246</v>
      </c>
      <c r="D129" s="139">
        <f>VLOOKUP(A129,'Data Vlaue (Cr)'!C124:CZ338,102,0)</f>
        <v>9.0999999999999998E-2</v>
      </c>
      <c r="E129" s="91">
        <f>VLOOKUP($A129,'Data Vlaue (Cr)'!$C:$FB,75)</f>
        <v>2086</v>
      </c>
      <c r="F129" s="91">
        <f>VLOOKUP($A129,'Data Vlaue (Cr)'!$C:$FB,77)</f>
        <v>10</v>
      </c>
      <c r="G129" s="92">
        <f>VLOOKUP(A129,'Data Vlaue (Cr)'!C124:CB338,78,0)</f>
        <v>5.0000000000000001E-3</v>
      </c>
      <c r="H129" s="91">
        <f>VLOOKUP($A129,'Data Vlaue (Cr)'!$C:$FB,91)</f>
        <v>499</v>
      </c>
      <c r="I129" s="91">
        <f>VLOOKUP($A129,'Data Vlaue (Cr)'!$C:$FB,93)</f>
        <v>162</v>
      </c>
      <c r="J129" s="92">
        <f>VLOOKUP($A129,'Data Vlaue (Cr)'!$C:$FB,94)</f>
        <v>0.48249999999999998</v>
      </c>
      <c r="K129" s="91">
        <f>VLOOKUP($A129,'Data Vlaue (Cr)'!$C:$FB,95)</f>
        <v>360</v>
      </c>
      <c r="L129" s="91">
        <f>VLOOKUP($A129,'Data Vlaue (Cr)'!$C:$FB,97)</f>
        <v>73</v>
      </c>
      <c r="M129" s="92">
        <f>VLOOKUP($A129,'Data Vlaue (Cr)'!$C:$FB,98)</f>
        <v>0.25419999999999998</v>
      </c>
      <c r="N129" s="91">
        <f>VLOOKUP($A129,'Data Vlaue (Cr)'!$C:$FB,79)</f>
        <v>2067</v>
      </c>
      <c r="O129" s="92">
        <f>VLOOKUP($A129,'Data Vlaue (Cr)'!$C:$FB,82)</f>
        <v>3.5000000000000001E-3</v>
      </c>
    </row>
    <row r="130" spans="1:15" x14ac:dyDescent="0.25">
      <c r="A130" s="97" t="str">
        <f>'Data Vlaue (Cr)'!C125</f>
        <v>M&amp;M</v>
      </c>
      <c r="B130" s="142">
        <f>VLOOKUP(A130,'Data Vlaue (Cr)'!C125:CW339,99,0)</f>
        <v>9504</v>
      </c>
      <c r="C130" s="90">
        <f>VLOOKUP(A130,'Data Vlaue (Cr)'!C125:CY339,101,0)</f>
        <v>75</v>
      </c>
      <c r="D130" s="139">
        <f>VLOOKUP(A130,'Data Vlaue (Cr)'!C125:CZ339,102,0)</f>
        <v>7.9000000000000008E-3</v>
      </c>
      <c r="E130" s="91">
        <f>VLOOKUP($A130,'Data Vlaue (Cr)'!$C:$FB,75)</f>
        <v>7012</v>
      </c>
      <c r="F130" s="91">
        <f>VLOOKUP($A130,'Data Vlaue (Cr)'!$C:$FB,77)</f>
        <v>2</v>
      </c>
      <c r="G130" s="92">
        <f>VLOOKUP(A130,'Data Vlaue (Cr)'!C125:CB339,78,0)</f>
        <v>2.0000000000000001E-4</v>
      </c>
      <c r="H130" s="91">
        <f>VLOOKUP($A130,'Data Vlaue (Cr)'!$C:$FB,91)</f>
        <v>1556</v>
      </c>
      <c r="I130" s="91">
        <f>VLOOKUP($A130,'Data Vlaue (Cr)'!$C:$FB,93)</f>
        <v>86</v>
      </c>
      <c r="J130" s="92">
        <f>VLOOKUP($A130,'Data Vlaue (Cr)'!$C:$FB,94)</f>
        <v>5.8799999999999998E-2</v>
      </c>
      <c r="K130" s="91">
        <f>VLOOKUP($A130,'Data Vlaue (Cr)'!$C:$FB,95)</f>
        <v>936</v>
      </c>
      <c r="L130" s="91">
        <f>VLOOKUP($A130,'Data Vlaue (Cr)'!$C:$FB,97)</f>
        <v>-13</v>
      </c>
      <c r="M130" s="92">
        <f>VLOOKUP($A130,'Data Vlaue (Cr)'!$C:$FB,98)</f>
        <v>-1.38E-2</v>
      </c>
      <c r="N130" s="91">
        <f>VLOOKUP($A130,'Data Vlaue (Cr)'!$C:$FB,79)</f>
        <v>6896</v>
      </c>
      <c r="O130" s="92">
        <f>VLOOKUP($A130,'Data Vlaue (Cr)'!$C:$FB,82)</f>
        <v>0</v>
      </c>
    </row>
    <row r="131" spans="1:15" x14ac:dyDescent="0.25">
      <c r="A131" s="97" t="str">
        <f>'Data Vlaue (Cr)'!C126</f>
        <v>MANAPPURAM</v>
      </c>
      <c r="B131" s="142">
        <f>VLOOKUP(A131,'Data Vlaue (Cr)'!C126:CW340,99,0)</f>
        <v>1196</v>
      </c>
      <c r="C131" s="90">
        <f>VLOOKUP(A131,'Data Vlaue (Cr)'!C126:CY340,101,0)</f>
        <v>34</v>
      </c>
      <c r="D131" s="139">
        <f>VLOOKUP(A131,'Data Vlaue (Cr)'!C126:CZ340,102,0)</f>
        <v>2.9700000000000001E-2</v>
      </c>
      <c r="E131" s="91">
        <f>VLOOKUP($A131,'Data Vlaue (Cr)'!$C:$FB,75)</f>
        <v>794</v>
      </c>
      <c r="F131" s="91">
        <f>VLOOKUP($A131,'Data Vlaue (Cr)'!$C:$FB,77)</f>
        <v>-15</v>
      </c>
      <c r="G131" s="92">
        <f>VLOOKUP(A131,'Data Vlaue (Cr)'!C126:CB340,78,0)</f>
        <v>-1.8200000000000001E-2</v>
      </c>
      <c r="H131" s="91">
        <f>VLOOKUP($A131,'Data Vlaue (Cr)'!$C:$FB,91)</f>
        <v>268</v>
      </c>
      <c r="I131" s="91">
        <f>VLOOKUP($A131,'Data Vlaue (Cr)'!$C:$FB,93)</f>
        <v>41</v>
      </c>
      <c r="J131" s="92">
        <f>VLOOKUP($A131,'Data Vlaue (Cr)'!$C:$FB,94)</f>
        <v>0.1822</v>
      </c>
      <c r="K131" s="91">
        <f>VLOOKUP($A131,'Data Vlaue (Cr)'!$C:$FB,95)</f>
        <v>135</v>
      </c>
      <c r="L131" s="91">
        <f>VLOOKUP($A131,'Data Vlaue (Cr)'!$C:$FB,97)</f>
        <v>8</v>
      </c>
      <c r="M131" s="92">
        <f>VLOOKUP($A131,'Data Vlaue (Cr)'!$C:$FB,98)</f>
        <v>6.3E-2</v>
      </c>
      <c r="N131" s="91">
        <f>VLOOKUP($A131,'Data Vlaue (Cr)'!$C:$FB,79)</f>
        <v>781</v>
      </c>
      <c r="O131" s="92">
        <f>VLOOKUP($A131,'Data Vlaue (Cr)'!$C:$FB,82)</f>
        <v>-2.07E-2</v>
      </c>
    </row>
    <row r="132" spans="1:15" x14ac:dyDescent="0.25">
      <c r="A132" s="97" t="str">
        <f>'Data Vlaue (Cr)'!C127</f>
        <v>MANKIND</v>
      </c>
      <c r="B132" s="142">
        <f>VLOOKUP(A132,'Data Vlaue (Cr)'!C127:CW341,99,0)</f>
        <v>614</v>
      </c>
      <c r="C132" s="90">
        <f>VLOOKUP(A132,'Data Vlaue (Cr)'!C127:CY341,101,0)</f>
        <v>35</v>
      </c>
      <c r="D132" s="139">
        <f>VLOOKUP(A132,'Data Vlaue (Cr)'!C127:CZ341,102,0)</f>
        <v>5.96E-2</v>
      </c>
      <c r="E132" s="91">
        <f>VLOOKUP($A132,'Data Vlaue (Cr)'!$C:$FB,75)</f>
        <v>424</v>
      </c>
      <c r="F132" s="91">
        <f>VLOOKUP($A132,'Data Vlaue (Cr)'!$C:$FB,77)</f>
        <v>17</v>
      </c>
      <c r="G132" s="92">
        <f>VLOOKUP(A132,'Data Vlaue (Cr)'!C127:CB341,78,0)</f>
        <v>4.1399999999999999E-2</v>
      </c>
      <c r="H132" s="91">
        <f>VLOOKUP($A132,'Data Vlaue (Cr)'!$C:$FB,91)</f>
        <v>120</v>
      </c>
      <c r="I132" s="91">
        <f>VLOOKUP($A132,'Data Vlaue (Cr)'!$C:$FB,93)</f>
        <v>15</v>
      </c>
      <c r="J132" s="92">
        <f>VLOOKUP($A132,'Data Vlaue (Cr)'!$C:$FB,94)</f>
        <v>0.1429</v>
      </c>
      <c r="K132" s="91">
        <f>VLOOKUP($A132,'Data Vlaue (Cr)'!$C:$FB,95)</f>
        <v>71</v>
      </c>
      <c r="L132" s="91">
        <f>VLOOKUP($A132,'Data Vlaue (Cr)'!$C:$FB,97)</f>
        <v>3</v>
      </c>
      <c r="M132" s="92">
        <f>VLOOKUP($A132,'Data Vlaue (Cr)'!$C:$FB,98)</f>
        <v>4.07E-2</v>
      </c>
      <c r="N132" s="91">
        <f>VLOOKUP($A132,'Data Vlaue (Cr)'!$C:$FB,79)</f>
        <v>412</v>
      </c>
      <c r="O132" s="92">
        <f>VLOOKUP($A132,'Data Vlaue (Cr)'!$C:$FB,82)</f>
        <v>3.95E-2</v>
      </c>
    </row>
    <row r="133" spans="1:15" x14ac:dyDescent="0.25">
      <c r="A133" s="97" t="str">
        <f>'Data Vlaue (Cr)'!C128</f>
        <v>MARICO</v>
      </c>
      <c r="B133" s="142">
        <f>VLOOKUP(A133,'Data Vlaue (Cr)'!C128:CW342,99,0)</f>
        <v>2422</v>
      </c>
      <c r="C133" s="90">
        <f>VLOOKUP(A133,'Data Vlaue (Cr)'!C128:CY342,101,0)</f>
        <v>-23</v>
      </c>
      <c r="D133" s="139">
        <f>VLOOKUP(A133,'Data Vlaue (Cr)'!C128:CZ342,102,0)</f>
        <v>-9.4999999999999998E-3</v>
      </c>
      <c r="E133" s="91">
        <f>VLOOKUP($A133,'Data Vlaue (Cr)'!$C:$FB,75)</f>
        <v>2058</v>
      </c>
      <c r="F133" s="91">
        <f>VLOOKUP($A133,'Data Vlaue (Cr)'!$C:$FB,77)</f>
        <v>11</v>
      </c>
      <c r="G133" s="92">
        <f>VLOOKUP(A133,'Data Vlaue (Cr)'!C128:CB342,78,0)</f>
        <v>5.4999999999999997E-3</v>
      </c>
      <c r="H133" s="91">
        <f>VLOOKUP($A133,'Data Vlaue (Cr)'!$C:$FB,91)</f>
        <v>201</v>
      </c>
      <c r="I133" s="91">
        <f>VLOOKUP($A133,'Data Vlaue (Cr)'!$C:$FB,93)</f>
        <v>-28</v>
      </c>
      <c r="J133" s="92">
        <f>VLOOKUP($A133,'Data Vlaue (Cr)'!$C:$FB,94)</f>
        <v>-0.12239999999999999</v>
      </c>
      <c r="K133" s="91">
        <f>VLOOKUP($A133,'Data Vlaue (Cr)'!$C:$FB,95)</f>
        <v>163</v>
      </c>
      <c r="L133" s="91">
        <f>VLOOKUP($A133,'Data Vlaue (Cr)'!$C:$FB,97)</f>
        <v>-6</v>
      </c>
      <c r="M133" s="92">
        <f>VLOOKUP($A133,'Data Vlaue (Cr)'!$C:$FB,98)</f>
        <v>-3.78E-2</v>
      </c>
      <c r="N133" s="91">
        <f>VLOOKUP($A133,'Data Vlaue (Cr)'!$C:$FB,79)</f>
        <v>2049</v>
      </c>
      <c r="O133" s="92">
        <f>VLOOKUP($A133,'Data Vlaue (Cr)'!$C:$FB,82)</f>
        <v>5.3E-3</v>
      </c>
    </row>
    <row r="134" spans="1:15" x14ac:dyDescent="0.25">
      <c r="A134" s="97" t="str">
        <f>'Data Vlaue (Cr)'!C129</f>
        <v>MARUTI</v>
      </c>
      <c r="B134" s="142">
        <f>VLOOKUP(A134,'Data Vlaue (Cr)'!C129:CW343,99,0)</f>
        <v>10520</v>
      </c>
      <c r="C134" s="90">
        <f>VLOOKUP(A134,'Data Vlaue (Cr)'!C129:CY343,101,0)</f>
        <v>175</v>
      </c>
      <c r="D134" s="139">
        <f>VLOOKUP(A134,'Data Vlaue (Cr)'!C129:CZ343,102,0)</f>
        <v>1.6899999999999998E-2</v>
      </c>
      <c r="E134" s="91">
        <f>VLOOKUP($A134,'Data Vlaue (Cr)'!$C:$FB,75)</f>
        <v>4597</v>
      </c>
      <c r="F134" s="91">
        <f>VLOOKUP($A134,'Data Vlaue (Cr)'!$C:$FB,77)</f>
        <v>-71</v>
      </c>
      <c r="G134" s="92">
        <f>VLOOKUP(A134,'Data Vlaue (Cr)'!C129:CB343,78,0)</f>
        <v>-1.52E-2</v>
      </c>
      <c r="H134" s="91">
        <f>VLOOKUP($A134,'Data Vlaue (Cr)'!$C:$FB,91)</f>
        <v>3829</v>
      </c>
      <c r="I134" s="91">
        <f>VLOOKUP($A134,'Data Vlaue (Cr)'!$C:$FB,93)</f>
        <v>76</v>
      </c>
      <c r="J134" s="92">
        <f>VLOOKUP($A134,'Data Vlaue (Cr)'!$C:$FB,94)</f>
        <v>2.01E-2</v>
      </c>
      <c r="K134" s="91">
        <f>VLOOKUP($A134,'Data Vlaue (Cr)'!$C:$FB,95)</f>
        <v>2094</v>
      </c>
      <c r="L134" s="91">
        <f>VLOOKUP($A134,'Data Vlaue (Cr)'!$C:$FB,97)</f>
        <v>170</v>
      </c>
      <c r="M134" s="92">
        <f>VLOOKUP($A134,'Data Vlaue (Cr)'!$C:$FB,98)</f>
        <v>8.8499999999999995E-2</v>
      </c>
      <c r="N134" s="91">
        <f>VLOOKUP($A134,'Data Vlaue (Cr)'!$C:$FB,79)</f>
        <v>4480</v>
      </c>
      <c r="O134" s="92">
        <f>VLOOKUP($A134,'Data Vlaue (Cr)'!$C:$FB,82)</f>
        <v>-1.32E-2</v>
      </c>
    </row>
    <row r="135" spans="1:15" x14ac:dyDescent="0.25">
      <c r="A135" s="97" t="str">
        <f>'Data Vlaue (Cr)'!C130</f>
        <v>MAXHEALTH</v>
      </c>
      <c r="B135" s="142">
        <f>VLOOKUP(A135,'Data Vlaue (Cr)'!C130:CW344,99,0)</f>
        <v>2801</v>
      </c>
      <c r="C135" s="90">
        <f>VLOOKUP(A135,'Data Vlaue (Cr)'!C130:CY344,101,0)</f>
        <v>-194</v>
      </c>
      <c r="D135" s="139">
        <f>VLOOKUP(A135,'Data Vlaue (Cr)'!C130:CZ344,102,0)</f>
        <v>-6.4899999999999999E-2</v>
      </c>
      <c r="E135" s="91">
        <f>VLOOKUP($A135,'Data Vlaue (Cr)'!$C:$FB,75)</f>
        <v>2059</v>
      </c>
      <c r="F135" s="91">
        <f>VLOOKUP($A135,'Data Vlaue (Cr)'!$C:$FB,77)</f>
        <v>-89</v>
      </c>
      <c r="G135" s="92">
        <f>VLOOKUP(A135,'Data Vlaue (Cr)'!C130:CB344,78,0)</f>
        <v>-4.1500000000000002E-2</v>
      </c>
      <c r="H135" s="91">
        <f>VLOOKUP($A135,'Data Vlaue (Cr)'!$C:$FB,91)</f>
        <v>407</v>
      </c>
      <c r="I135" s="91">
        <f>VLOOKUP($A135,'Data Vlaue (Cr)'!$C:$FB,93)</f>
        <v>-158</v>
      </c>
      <c r="J135" s="92">
        <f>VLOOKUP($A135,'Data Vlaue (Cr)'!$C:$FB,94)</f>
        <v>-0.27900000000000003</v>
      </c>
      <c r="K135" s="91">
        <f>VLOOKUP($A135,'Data Vlaue (Cr)'!$C:$FB,95)</f>
        <v>334</v>
      </c>
      <c r="L135" s="91">
        <f>VLOOKUP($A135,'Data Vlaue (Cr)'!$C:$FB,97)</f>
        <v>53</v>
      </c>
      <c r="M135" s="92">
        <f>VLOOKUP($A135,'Data Vlaue (Cr)'!$C:$FB,98)</f>
        <v>0.18659999999999999</v>
      </c>
      <c r="N135" s="91">
        <f>VLOOKUP($A135,'Data Vlaue (Cr)'!$C:$FB,79)</f>
        <v>2030</v>
      </c>
      <c r="O135" s="92">
        <f>VLOOKUP($A135,'Data Vlaue (Cr)'!$C:$FB,82)</f>
        <v>-3.6400000000000002E-2</v>
      </c>
    </row>
    <row r="136" spans="1:15" x14ac:dyDescent="0.25">
      <c r="A136" s="97" t="str">
        <f>'Data Vlaue (Cr)'!C131</f>
        <v>MAZDOCK</v>
      </c>
      <c r="B136" s="142">
        <f>VLOOKUP(A136,'Data Vlaue (Cr)'!C131:CW345,99,0)</f>
        <v>1927</v>
      </c>
      <c r="C136" s="90">
        <f>VLOOKUP(A136,'Data Vlaue (Cr)'!C131:CY345,101,0)</f>
        <v>56</v>
      </c>
      <c r="D136" s="139">
        <f>VLOOKUP(A136,'Data Vlaue (Cr)'!C131:CZ345,102,0)</f>
        <v>2.98E-2</v>
      </c>
      <c r="E136" s="91">
        <f>VLOOKUP($A136,'Data Vlaue (Cr)'!$C:$FB,75)</f>
        <v>1033</v>
      </c>
      <c r="F136" s="91">
        <f>VLOOKUP($A136,'Data Vlaue (Cr)'!$C:$FB,77)</f>
        <v>-1</v>
      </c>
      <c r="G136" s="92">
        <f>VLOOKUP(A136,'Data Vlaue (Cr)'!C131:CB345,78,0)</f>
        <v>-6.9999999999999999E-4</v>
      </c>
      <c r="H136" s="91">
        <f>VLOOKUP($A136,'Data Vlaue (Cr)'!$C:$FB,91)</f>
        <v>554</v>
      </c>
      <c r="I136" s="91">
        <f>VLOOKUP($A136,'Data Vlaue (Cr)'!$C:$FB,93)</f>
        <v>28</v>
      </c>
      <c r="J136" s="92">
        <f>VLOOKUP($A136,'Data Vlaue (Cr)'!$C:$FB,94)</f>
        <v>5.4100000000000002E-2</v>
      </c>
      <c r="K136" s="91">
        <f>VLOOKUP($A136,'Data Vlaue (Cr)'!$C:$FB,95)</f>
        <v>340</v>
      </c>
      <c r="L136" s="91">
        <f>VLOOKUP($A136,'Data Vlaue (Cr)'!$C:$FB,97)</f>
        <v>28</v>
      </c>
      <c r="M136" s="92">
        <f>VLOOKUP($A136,'Data Vlaue (Cr)'!$C:$FB,98)</f>
        <v>8.9700000000000002E-2</v>
      </c>
      <c r="N136" s="91">
        <f>VLOOKUP($A136,'Data Vlaue (Cr)'!$C:$FB,79)</f>
        <v>994</v>
      </c>
      <c r="O136" s="92">
        <f>VLOOKUP($A136,'Data Vlaue (Cr)'!$C:$FB,82)</f>
        <v>-2.5000000000000001E-3</v>
      </c>
    </row>
    <row r="137" spans="1:15" x14ac:dyDescent="0.25">
      <c r="A137" s="97" t="str">
        <f>'Data Vlaue (Cr)'!C132</f>
        <v>MCX</v>
      </c>
      <c r="B137" s="142">
        <f>VLOOKUP(A137,'Data Vlaue (Cr)'!C132:CW346,99,0)</f>
        <v>3871</v>
      </c>
      <c r="C137" s="90">
        <f>VLOOKUP(A137,'Data Vlaue (Cr)'!C132:CY346,101,0)</f>
        <v>161</v>
      </c>
      <c r="D137" s="139">
        <f>VLOOKUP(A137,'Data Vlaue (Cr)'!C132:CZ346,102,0)</f>
        <v>4.3499999999999997E-2</v>
      </c>
      <c r="E137" s="91">
        <f>VLOOKUP($A137,'Data Vlaue (Cr)'!$C:$FB,75)</f>
        <v>2007</v>
      </c>
      <c r="F137" s="91">
        <f>VLOOKUP($A137,'Data Vlaue (Cr)'!$C:$FB,77)</f>
        <v>37</v>
      </c>
      <c r="G137" s="92">
        <f>VLOOKUP(A137,'Data Vlaue (Cr)'!C132:CB346,78,0)</f>
        <v>1.8700000000000001E-2</v>
      </c>
      <c r="H137" s="91">
        <f>VLOOKUP($A137,'Data Vlaue (Cr)'!$C:$FB,91)</f>
        <v>1115</v>
      </c>
      <c r="I137" s="91">
        <f>VLOOKUP($A137,'Data Vlaue (Cr)'!$C:$FB,93)</f>
        <v>85</v>
      </c>
      <c r="J137" s="92">
        <f>VLOOKUP($A137,'Data Vlaue (Cr)'!$C:$FB,94)</f>
        <v>8.2799999999999999E-2</v>
      </c>
      <c r="K137" s="91">
        <f>VLOOKUP($A137,'Data Vlaue (Cr)'!$C:$FB,95)</f>
        <v>749</v>
      </c>
      <c r="L137" s="91">
        <f>VLOOKUP($A137,'Data Vlaue (Cr)'!$C:$FB,97)</f>
        <v>39</v>
      </c>
      <c r="M137" s="92">
        <f>VLOOKUP($A137,'Data Vlaue (Cr)'!$C:$FB,98)</f>
        <v>5.5300000000000002E-2</v>
      </c>
      <c r="N137" s="91">
        <f>VLOOKUP($A137,'Data Vlaue (Cr)'!$C:$FB,79)</f>
        <v>1960</v>
      </c>
      <c r="O137" s="92">
        <f>VLOOKUP($A137,'Data Vlaue (Cr)'!$C:$FB,82)</f>
        <v>1.77E-2</v>
      </c>
    </row>
    <row r="138" spans="1:15" x14ac:dyDescent="0.25">
      <c r="A138" s="97" t="str">
        <f>'Data Vlaue (Cr)'!C133</f>
        <v>MFSL</v>
      </c>
      <c r="B138" s="142">
        <f>VLOOKUP(A138,'Data Vlaue (Cr)'!C133:CW347,99,0)</f>
        <v>1178</v>
      </c>
      <c r="C138" s="90">
        <f>VLOOKUP(A138,'Data Vlaue (Cr)'!C133:CY347,101,0)</f>
        <v>19</v>
      </c>
      <c r="D138" s="139">
        <f>VLOOKUP(A138,'Data Vlaue (Cr)'!C133:CZ347,102,0)</f>
        <v>1.66E-2</v>
      </c>
      <c r="E138" s="91">
        <f>VLOOKUP($A138,'Data Vlaue (Cr)'!$C:$FB,75)</f>
        <v>967</v>
      </c>
      <c r="F138" s="91">
        <f>VLOOKUP($A138,'Data Vlaue (Cr)'!$C:$FB,77)</f>
        <v>-4</v>
      </c>
      <c r="G138" s="92">
        <f>VLOOKUP(A138,'Data Vlaue (Cr)'!C133:CB347,78,0)</f>
        <v>-3.8999999999999998E-3</v>
      </c>
      <c r="H138" s="91">
        <f>VLOOKUP($A138,'Data Vlaue (Cr)'!$C:$FB,91)</f>
        <v>130</v>
      </c>
      <c r="I138" s="91">
        <f>VLOOKUP($A138,'Data Vlaue (Cr)'!$C:$FB,93)</f>
        <v>17</v>
      </c>
      <c r="J138" s="92">
        <f>VLOOKUP($A138,'Data Vlaue (Cr)'!$C:$FB,94)</f>
        <v>0.14940000000000001</v>
      </c>
      <c r="K138" s="91">
        <f>VLOOKUP($A138,'Data Vlaue (Cr)'!$C:$FB,95)</f>
        <v>81</v>
      </c>
      <c r="L138" s="91">
        <f>VLOOKUP($A138,'Data Vlaue (Cr)'!$C:$FB,97)</f>
        <v>6</v>
      </c>
      <c r="M138" s="92">
        <f>VLOOKUP($A138,'Data Vlaue (Cr)'!$C:$FB,98)</f>
        <v>8.1500000000000003E-2</v>
      </c>
      <c r="N138" s="91">
        <f>VLOOKUP($A138,'Data Vlaue (Cr)'!$C:$FB,79)</f>
        <v>958</v>
      </c>
      <c r="O138" s="92">
        <f>VLOOKUP($A138,'Data Vlaue (Cr)'!$C:$FB,82)</f>
        <v>-3.5000000000000001E-3</v>
      </c>
    </row>
    <row r="139" spans="1:15" x14ac:dyDescent="0.25">
      <c r="A139" s="97" t="str">
        <f>'Data Vlaue (Cr)'!C134</f>
        <v>MIDCPNIFTY</v>
      </c>
      <c r="B139" s="142">
        <f>VLOOKUP(A139,'Data Vlaue (Cr)'!C134:CW348,99,0)</f>
        <v>16810</v>
      </c>
      <c r="C139" s="90">
        <f>VLOOKUP(A139,'Data Vlaue (Cr)'!C134:CY348,101,0)</f>
        <v>856</v>
      </c>
      <c r="D139" s="139">
        <f>VLOOKUP(A139,'Data Vlaue (Cr)'!C134:CZ348,102,0)</f>
        <v>5.3600000000000002E-2</v>
      </c>
      <c r="E139" s="91">
        <f>VLOOKUP($A139,'Data Vlaue (Cr)'!$C:$FB,75)</f>
        <v>3627</v>
      </c>
      <c r="F139" s="91">
        <f>VLOOKUP($A139,'Data Vlaue (Cr)'!$C:$FB,77)</f>
        <v>-34</v>
      </c>
      <c r="G139" s="92">
        <f>VLOOKUP(A139,'Data Vlaue (Cr)'!C134:CB348,78,0)</f>
        <v>-9.1999999999999998E-3</v>
      </c>
      <c r="H139" s="91">
        <f>VLOOKUP($A139,'Data Vlaue (Cr)'!$C:$FB,91)</f>
        <v>5509</v>
      </c>
      <c r="I139" s="91">
        <f>VLOOKUP($A139,'Data Vlaue (Cr)'!$C:$FB,93)</f>
        <v>290</v>
      </c>
      <c r="J139" s="92">
        <f>VLOOKUP($A139,'Data Vlaue (Cr)'!$C:$FB,94)</f>
        <v>5.5599999999999997E-2</v>
      </c>
      <c r="K139" s="91">
        <f>VLOOKUP($A139,'Data Vlaue (Cr)'!$C:$FB,95)</f>
        <v>7674</v>
      </c>
      <c r="L139" s="91">
        <f>VLOOKUP($A139,'Data Vlaue (Cr)'!$C:$FB,97)</f>
        <v>599</v>
      </c>
      <c r="M139" s="92">
        <f>VLOOKUP($A139,'Data Vlaue (Cr)'!$C:$FB,98)</f>
        <v>8.4599999999999995E-2</v>
      </c>
      <c r="N139" s="91">
        <f>VLOOKUP($A139,'Data Vlaue (Cr)'!$C:$FB,79)</f>
        <v>3522</v>
      </c>
      <c r="O139" s="92">
        <f>VLOOKUP($A139,'Data Vlaue (Cr)'!$C:$FB,82)</f>
        <v>-1.18E-2</v>
      </c>
    </row>
    <row r="140" spans="1:15" x14ac:dyDescent="0.25">
      <c r="A140" s="97" t="str">
        <f>'Data Vlaue (Cr)'!C135</f>
        <v>MOTHERSON</v>
      </c>
      <c r="B140" s="142">
        <f>VLOOKUP(A140,'Data Vlaue (Cr)'!C135:CW349,99,0)</f>
        <v>2500</v>
      </c>
      <c r="C140" s="90">
        <f>VLOOKUP(A140,'Data Vlaue (Cr)'!C135:CY349,101,0)</f>
        <v>35</v>
      </c>
      <c r="D140" s="139">
        <f>VLOOKUP(A140,'Data Vlaue (Cr)'!C135:CZ349,102,0)</f>
        <v>1.44E-2</v>
      </c>
      <c r="E140" s="91">
        <f>VLOOKUP($A140,'Data Vlaue (Cr)'!$C:$FB,75)</f>
        <v>1765</v>
      </c>
      <c r="F140" s="91">
        <f>VLOOKUP($A140,'Data Vlaue (Cr)'!$C:$FB,77)</f>
        <v>-2</v>
      </c>
      <c r="G140" s="92">
        <f>VLOOKUP(A140,'Data Vlaue (Cr)'!C135:CB349,78,0)</f>
        <v>-1.1000000000000001E-3</v>
      </c>
      <c r="H140" s="91">
        <f>VLOOKUP($A140,'Data Vlaue (Cr)'!$C:$FB,91)</f>
        <v>481</v>
      </c>
      <c r="I140" s="91">
        <f>VLOOKUP($A140,'Data Vlaue (Cr)'!$C:$FB,93)</f>
        <v>28</v>
      </c>
      <c r="J140" s="92">
        <f>VLOOKUP($A140,'Data Vlaue (Cr)'!$C:$FB,94)</f>
        <v>6.1400000000000003E-2</v>
      </c>
      <c r="K140" s="91">
        <f>VLOOKUP($A140,'Data Vlaue (Cr)'!$C:$FB,95)</f>
        <v>255</v>
      </c>
      <c r="L140" s="91">
        <f>VLOOKUP($A140,'Data Vlaue (Cr)'!$C:$FB,97)</f>
        <v>10</v>
      </c>
      <c r="M140" s="92">
        <f>VLOOKUP($A140,'Data Vlaue (Cr)'!$C:$FB,98)</f>
        <v>3.9399999999999998E-2</v>
      </c>
      <c r="N140" s="91">
        <f>VLOOKUP($A140,'Data Vlaue (Cr)'!$C:$FB,79)</f>
        <v>1712</v>
      </c>
      <c r="O140" s="92">
        <f>VLOOKUP($A140,'Data Vlaue (Cr)'!$C:$FB,82)</f>
        <v>-2.2000000000000001E-3</v>
      </c>
    </row>
    <row r="141" spans="1:15" x14ac:dyDescent="0.25">
      <c r="A141" s="97" t="str">
        <f>'Data Vlaue (Cr)'!C136</f>
        <v>MPHASIS</v>
      </c>
      <c r="B141" s="142">
        <f>VLOOKUP(A141,'Data Vlaue (Cr)'!C136:CW350,99,0)</f>
        <v>1504</v>
      </c>
      <c r="C141" s="90">
        <f>VLOOKUP(A141,'Data Vlaue (Cr)'!C136:CY350,101,0)</f>
        <v>0</v>
      </c>
      <c r="D141" s="139">
        <f>VLOOKUP(A141,'Data Vlaue (Cr)'!C136:CZ350,102,0)</f>
        <v>-2.9999999999999997E-4</v>
      </c>
      <c r="E141" s="91">
        <f>VLOOKUP($A141,'Data Vlaue (Cr)'!$C:$FB,75)</f>
        <v>1114</v>
      </c>
      <c r="F141" s="91">
        <f>VLOOKUP($A141,'Data Vlaue (Cr)'!$C:$FB,77)</f>
        <v>-22</v>
      </c>
      <c r="G141" s="92">
        <f>VLOOKUP(A141,'Data Vlaue (Cr)'!C136:CB350,78,0)</f>
        <v>-1.9300000000000001E-2</v>
      </c>
      <c r="H141" s="91">
        <f>VLOOKUP($A141,'Data Vlaue (Cr)'!$C:$FB,91)</f>
        <v>225</v>
      </c>
      <c r="I141" s="91">
        <f>VLOOKUP($A141,'Data Vlaue (Cr)'!$C:$FB,93)</f>
        <v>15</v>
      </c>
      <c r="J141" s="92">
        <f>VLOOKUP($A141,'Data Vlaue (Cr)'!$C:$FB,94)</f>
        <v>7.0099999999999996E-2</v>
      </c>
      <c r="K141" s="91">
        <f>VLOOKUP($A141,'Data Vlaue (Cr)'!$C:$FB,95)</f>
        <v>165</v>
      </c>
      <c r="L141" s="91">
        <f>VLOOKUP($A141,'Data Vlaue (Cr)'!$C:$FB,97)</f>
        <v>7</v>
      </c>
      <c r="M141" s="92">
        <f>VLOOKUP($A141,'Data Vlaue (Cr)'!$C:$FB,98)</f>
        <v>4.3400000000000001E-2</v>
      </c>
      <c r="N141" s="91">
        <f>VLOOKUP($A141,'Data Vlaue (Cr)'!$C:$FB,79)</f>
        <v>1099</v>
      </c>
      <c r="O141" s="92">
        <f>VLOOKUP($A141,'Data Vlaue (Cr)'!$C:$FB,82)</f>
        <v>-1.8700000000000001E-2</v>
      </c>
    </row>
    <row r="142" spans="1:15" x14ac:dyDescent="0.25">
      <c r="A142" s="97" t="str">
        <f>'Data Vlaue (Cr)'!C137</f>
        <v>MUTHOOTFIN</v>
      </c>
      <c r="B142" s="142">
        <f>VLOOKUP(A142,'Data Vlaue (Cr)'!C137:CW351,99,0)</f>
        <v>1853</v>
      </c>
      <c r="C142" s="90">
        <f>VLOOKUP(A142,'Data Vlaue (Cr)'!C137:CY351,101,0)</f>
        <v>247</v>
      </c>
      <c r="D142" s="139">
        <f>VLOOKUP(A142,'Data Vlaue (Cr)'!C137:CZ351,102,0)</f>
        <v>0.15359999999999999</v>
      </c>
      <c r="E142" s="91">
        <f>VLOOKUP($A142,'Data Vlaue (Cr)'!$C:$FB,75)</f>
        <v>903</v>
      </c>
      <c r="F142" s="91">
        <f>VLOOKUP($A142,'Data Vlaue (Cr)'!$C:$FB,77)</f>
        <v>16</v>
      </c>
      <c r="G142" s="92">
        <f>VLOOKUP(A142,'Data Vlaue (Cr)'!C137:CB351,78,0)</f>
        <v>1.7500000000000002E-2</v>
      </c>
      <c r="H142" s="91">
        <f>VLOOKUP($A142,'Data Vlaue (Cr)'!$C:$FB,91)</f>
        <v>554</v>
      </c>
      <c r="I142" s="91">
        <f>VLOOKUP($A142,'Data Vlaue (Cr)'!$C:$FB,93)</f>
        <v>128</v>
      </c>
      <c r="J142" s="92">
        <f>VLOOKUP($A142,'Data Vlaue (Cr)'!$C:$FB,94)</f>
        <v>0.30120000000000002</v>
      </c>
      <c r="K142" s="91">
        <f>VLOOKUP($A142,'Data Vlaue (Cr)'!$C:$FB,95)</f>
        <v>396</v>
      </c>
      <c r="L142" s="91">
        <f>VLOOKUP($A142,'Data Vlaue (Cr)'!$C:$FB,97)</f>
        <v>103</v>
      </c>
      <c r="M142" s="92">
        <f>VLOOKUP($A142,'Data Vlaue (Cr)'!$C:$FB,98)</f>
        <v>0.35189999999999999</v>
      </c>
      <c r="N142" s="91">
        <f>VLOOKUP($A142,'Data Vlaue (Cr)'!$C:$FB,79)</f>
        <v>867</v>
      </c>
      <c r="O142" s="92">
        <f>VLOOKUP($A142,'Data Vlaue (Cr)'!$C:$FB,82)</f>
        <v>8.0000000000000004E-4</v>
      </c>
    </row>
    <row r="143" spans="1:15" x14ac:dyDescent="0.25">
      <c r="A143" s="97" t="str">
        <f>'Data Vlaue (Cr)'!C138</f>
        <v>NATIONALUM</v>
      </c>
      <c r="B143" s="142">
        <f>VLOOKUP(A143,'Data Vlaue (Cr)'!C138:CW352,99,0)</f>
        <v>2849</v>
      </c>
      <c r="C143" s="90">
        <f>VLOOKUP(A143,'Data Vlaue (Cr)'!C138:CY352,101,0)</f>
        <v>175</v>
      </c>
      <c r="D143" s="139">
        <f>VLOOKUP(A143,'Data Vlaue (Cr)'!C138:CZ352,102,0)</f>
        <v>6.5299999999999997E-2</v>
      </c>
      <c r="E143" s="91">
        <f>VLOOKUP($A143,'Data Vlaue (Cr)'!$C:$FB,75)</f>
        <v>1801</v>
      </c>
      <c r="F143" s="91">
        <f>VLOOKUP($A143,'Data Vlaue (Cr)'!$C:$FB,77)</f>
        <v>37</v>
      </c>
      <c r="G143" s="92">
        <f>VLOOKUP(A143,'Data Vlaue (Cr)'!C138:CB352,78,0)</f>
        <v>2.1100000000000001E-2</v>
      </c>
      <c r="H143" s="91">
        <f>VLOOKUP($A143,'Data Vlaue (Cr)'!$C:$FB,91)</f>
        <v>637</v>
      </c>
      <c r="I143" s="91">
        <f>VLOOKUP($A143,'Data Vlaue (Cr)'!$C:$FB,93)</f>
        <v>117</v>
      </c>
      <c r="J143" s="92">
        <f>VLOOKUP($A143,'Data Vlaue (Cr)'!$C:$FB,94)</f>
        <v>0.2253</v>
      </c>
      <c r="K143" s="91">
        <f>VLOOKUP($A143,'Data Vlaue (Cr)'!$C:$FB,95)</f>
        <v>411</v>
      </c>
      <c r="L143" s="91">
        <f>VLOOKUP($A143,'Data Vlaue (Cr)'!$C:$FB,97)</f>
        <v>20</v>
      </c>
      <c r="M143" s="92">
        <f>VLOOKUP($A143,'Data Vlaue (Cr)'!$C:$FB,98)</f>
        <v>5.1700000000000003E-2</v>
      </c>
      <c r="N143" s="91">
        <f>VLOOKUP($A143,'Data Vlaue (Cr)'!$C:$FB,79)</f>
        <v>1749</v>
      </c>
      <c r="O143" s="92">
        <f>VLOOKUP($A143,'Data Vlaue (Cr)'!$C:$FB,82)</f>
        <v>1.38E-2</v>
      </c>
    </row>
    <row r="144" spans="1:15" x14ac:dyDescent="0.25">
      <c r="A144" s="97" t="str">
        <f>'Data Vlaue (Cr)'!C139</f>
        <v>NAUKRI</v>
      </c>
      <c r="B144" s="142">
        <f>VLOOKUP(A144,'Data Vlaue (Cr)'!C139:CW353,99,0)</f>
        <v>1702</v>
      </c>
      <c r="C144" s="90">
        <f>VLOOKUP(A144,'Data Vlaue (Cr)'!C139:CY353,101,0)</f>
        <v>8</v>
      </c>
      <c r="D144" s="139">
        <f>VLOOKUP(A144,'Data Vlaue (Cr)'!C139:CZ353,102,0)</f>
        <v>4.5999999999999999E-3</v>
      </c>
      <c r="E144" s="91">
        <f>VLOOKUP($A144,'Data Vlaue (Cr)'!$C:$FB,75)</f>
        <v>1402</v>
      </c>
      <c r="F144" s="91">
        <f>VLOOKUP($A144,'Data Vlaue (Cr)'!$C:$FB,77)</f>
        <v>-23</v>
      </c>
      <c r="G144" s="92">
        <f>VLOOKUP(A144,'Data Vlaue (Cr)'!C139:CB353,78,0)</f>
        <v>-1.6199999999999999E-2</v>
      </c>
      <c r="H144" s="91">
        <f>VLOOKUP($A144,'Data Vlaue (Cr)'!$C:$FB,91)</f>
        <v>168</v>
      </c>
      <c r="I144" s="91">
        <f>VLOOKUP($A144,'Data Vlaue (Cr)'!$C:$FB,93)</f>
        <v>10</v>
      </c>
      <c r="J144" s="92">
        <f>VLOOKUP($A144,'Data Vlaue (Cr)'!$C:$FB,94)</f>
        <v>6.1199999999999997E-2</v>
      </c>
      <c r="K144" s="91">
        <f>VLOOKUP($A144,'Data Vlaue (Cr)'!$C:$FB,95)</f>
        <v>132</v>
      </c>
      <c r="L144" s="91">
        <f>VLOOKUP($A144,'Data Vlaue (Cr)'!$C:$FB,97)</f>
        <v>21</v>
      </c>
      <c r="M144" s="92">
        <f>VLOOKUP($A144,'Data Vlaue (Cr)'!$C:$FB,98)</f>
        <v>0.19120000000000001</v>
      </c>
      <c r="N144" s="91">
        <f>VLOOKUP($A144,'Data Vlaue (Cr)'!$C:$FB,79)</f>
        <v>1392</v>
      </c>
      <c r="O144" s="92">
        <f>VLOOKUP($A144,'Data Vlaue (Cr)'!$C:$FB,82)</f>
        <v>-1.6400000000000001E-2</v>
      </c>
    </row>
    <row r="145" spans="1:15" x14ac:dyDescent="0.25">
      <c r="A145" s="97" t="str">
        <f>'Data Vlaue (Cr)'!C140</f>
        <v>NBCC</v>
      </c>
      <c r="B145" s="142">
        <f>VLOOKUP(A145,'Data Vlaue (Cr)'!C140:CW354,99,0)</f>
        <v>1045</v>
      </c>
      <c r="C145" s="90">
        <f>VLOOKUP(A145,'Data Vlaue (Cr)'!C140:CY354,101,0)</f>
        <v>71</v>
      </c>
      <c r="D145" s="139">
        <f>VLOOKUP(A145,'Data Vlaue (Cr)'!C140:CZ354,102,0)</f>
        <v>7.2900000000000006E-2</v>
      </c>
      <c r="E145" s="91">
        <f>VLOOKUP($A145,'Data Vlaue (Cr)'!$C:$FB,75)</f>
        <v>684</v>
      </c>
      <c r="F145" s="91">
        <f>VLOOKUP($A145,'Data Vlaue (Cr)'!$C:$FB,77)</f>
        <v>22</v>
      </c>
      <c r="G145" s="92">
        <f>VLOOKUP(A145,'Data Vlaue (Cr)'!C140:CB354,78,0)</f>
        <v>3.3300000000000003E-2</v>
      </c>
      <c r="H145" s="91">
        <f>VLOOKUP($A145,'Data Vlaue (Cr)'!$C:$FB,91)</f>
        <v>242</v>
      </c>
      <c r="I145" s="91">
        <f>VLOOKUP($A145,'Data Vlaue (Cr)'!$C:$FB,93)</f>
        <v>46</v>
      </c>
      <c r="J145" s="92">
        <f>VLOOKUP($A145,'Data Vlaue (Cr)'!$C:$FB,94)</f>
        <v>0.23480000000000001</v>
      </c>
      <c r="K145" s="91">
        <f>VLOOKUP($A145,'Data Vlaue (Cr)'!$C:$FB,95)</f>
        <v>119</v>
      </c>
      <c r="L145" s="91">
        <f>VLOOKUP($A145,'Data Vlaue (Cr)'!$C:$FB,97)</f>
        <v>3</v>
      </c>
      <c r="M145" s="92">
        <f>VLOOKUP($A145,'Data Vlaue (Cr)'!$C:$FB,98)</f>
        <v>2.5100000000000001E-2</v>
      </c>
      <c r="N145" s="91">
        <f>VLOOKUP($A145,'Data Vlaue (Cr)'!$C:$FB,79)</f>
        <v>666</v>
      </c>
      <c r="O145" s="92">
        <f>VLOOKUP($A145,'Data Vlaue (Cr)'!$C:$FB,82)</f>
        <v>2.81E-2</v>
      </c>
    </row>
    <row r="146" spans="1:15" x14ac:dyDescent="0.25">
      <c r="A146" s="97" t="str">
        <f>'Data Vlaue (Cr)'!C141</f>
        <v>NCC</v>
      </c>
      <c r="B146" s="142">
        <f>VLOOKUP(A146,'Data Vlaue (Cr)'!C141:CW355,99,0)</f>
        <v>534</v>
      </c>
      <c r="C146" s="90">
        <f>VLOOKUP(A146,'Data Vlaue (Cr)'!C141:CY355,101,0)</f>
        <v>7</v>
      </c>
      <c r="D146" s="139">
        <f>VLOOKUP(A146,'Data Vlaue (Cr)'!C141:CZ355,102,0)</f>
        <v>1.24E-2</v>
      </c>
      <c r="E146" s="91">
        <f>VLOOKUP($A146,'Data Vlaue (Cr)'!$C:$FB,75)</f>
        <v>373</v>
      </c>
      <c r="F146" s="91">
        <f>VLOOKUP($A146,'Data Vlaue (Cr)'!$C:$FB,77)</f>
        <v>-5</v>
      </c>
      <c r="G146" s="92">
        <f>VLOOKUP(A146,'Data Vlaue (Cr)'!C141:CB355,78,0)</f>
        <v>-1.3899999999999999E-2</v>
      </c>
      <c r="H146" s="91">
        <f>VLOOKUP($A146,'Data Vlaue (Cr)'!$C:$FB,91)</f>
        <v>96</v>
      </c>
      <c r="I146" s="91">
        <f>VLOOKUP($A146,'Data Vlaue (Cr)'!$C:$FB,93)</f>
        <v>9</v>
      </c>
      <c r="J146" s="92">
        <f>VLOOKUP($A146,'Data Vlaue (Cr)'!$C:$FB,94)</f>
        <v>9.9900000000000003E-2</v>
      </c>
      <c r="K146" s="91">
        <f>VLOOKUP($A146,'Data Vlaue (Cr)'!$C:$FB,95)</f>
        <v>65</v>
      </c>
      <c r="L146" s="91">
        <f>VLOOKUP($A146,'Data Vlaue (Cr)'!$C:$FB,97)</f>
        <v>3</v>
      </c>
      <c r="M146" s="92">
        <f>VLOOKUP($A146,'Data Vlaue (Cr)'!$C:$FB,98)</f>
        <v>4.9500000000000002E-2</v>
      </c>
      <c r="N146" s="91">
        <f>VLOOKUP($A146,'Data Vlaue (Cr)'!$C:$FB,79)</f>
        <v>359</v>
      </c>
      <c r="O146" s="92">
        <f>VLOOKUP($A146,'Data Vlaue (Cr)'!$C:$FB,82)</f>
        <v>-1.46E-2</v>
      </c>
    </row>
    <row r="147" spans="1:15" x14ac:dyDescent="0.25">
      <c r="A147" s="97" t="str">
        <f>'Data Vlaue (Cr)'!C142</f>
        <v>NESTLEIND</v>
      </c>
      <c r="B147" s="142">
        <f>VLOOKUP(A147,'Data Vlaue (Cr)'!C142:CW356,99,0)</f>
        <v>2590</v>
      </c>
      <c r="C147" s="90">
        <f>VLOOKUP(A147,'Data Vlaue (Cr)'!C142:CY356,101,0)</f>
        <v>64</v>
      </c>
      <c r="D147" s="139">
        <f>VLOOKUP(A147,'Data Vlaue (Cr)'!C142:CZ356,102,0)</f>
        <v>2.5499999999999998E-2</v>
      </c>
      <c r="E147" s="91">
        <f>VLOOKUP($A147,'Data Vlaue (Cr)'!$C:$FB,75)</f>
        <v>2115</v>
      </c>
      <c r="F147" s="91">
        <f>VLOOKUP($A147,'Data Vlaue (Cr)'!$C:$FB,77)</f>
        <v>-9</v>
      </c>
      <c r="G147" s="92">
        <f>VLOOKUP(A147,'Data Vlaue (Cr)'!C142:CB356,78,0)</f>
        <v>-4.1000000000000003E-3</v>
      </c>
      <c r="H147" s="91">
        <f>VLOOKUP($A147,'Data Vlaue (Cr)'!$C:$FB,91)</f>
        <v>307</v>
      </c>
      <c r="I147" s="91">
        <f>VLOOKUP($A147,'Data Vlaue (Cr)'!$C:$FB,93)</f>
        <v>61</v>
      </c>
      <c r="J147" s="92">
        <f>VLOOKUP($A147,'Data Vlaue (Cr)'!$C:$FB,94)</f>
        <v>0.24579999999999999</v>
      </c>
      <c r="K147" s="91">
        <f>VLOOKUP($A147,'Data Vlaue (Cr)'!$C:$FB,95)</f>
        <v>168</v>
      </c>
      <c r="L147" s="91">
        <f>VLOOKUP($A147,'Data Vlaue (Cr)'!$C:$FB,97)</f>
        <v>13</v>
      </c>
      <c r="M147" s="92">
        <f>VLOOKUP($A147,'Data Vlaue (Cr)'!$C:$FB,98)</f>
        <v>8.1199999999999994E-2</v>
      </c>
      <c r="N147" s="91">
        <f>VLOOKUP($A147,'Data Vlaue (Cr)'!$C:$FB,79)</f>
        <v>2080</v>
      </c>
      <c r="O147" s="92">
        <f>VLOOKUP($A147,'Data Vlaue (Cr)'!$C:$FB,82)</f>
        <v>-5.5999999999999999E-3</v>
      </c>
    </row>
    <row r="148" spans="1:15" x14ac:dyDescent="0.25">
      <c r="A148" s="97" t="str">
        <f>'Data Vlaue (Cr)'!C143</f>
        <v>NHPC</v>
      </c>
      <c r="B148" s="142">
        <f>VLOOKUP(A148,'Data Vlaue (Cr)'!C143:CW357,99,0)</f>
        <v>598</v>
      </c>
      <c r="C148" s="90">
        <f>VLOOKUP(A148,'Data Vlaue (Cr)'!C143:CY357,101,0)</f>
        <v>26</v>
      </c>
      <c r="D148" s="139">
        <f>VLOOKUP(A148,'Data Vlaue (Cr)'!C143:CZ357,102,0)</f>
        <v>4.5100000000000001E-2</v>
      </c>
      <c r="E148" s="91">
        <f>VLOOKUP($A148,'Data Vlaue (Cr)'!$C:$FB,75)</f>
        <v>421</v>
      </c>
      <c r="F148" s="91">
        <f>VLOOKUP($A148,'Data Vlaue (Cr)'!$C:$FB,77)</f>
        <v>9</v>
      </c>
      <c r="G148" s="92">
        <f>VLOOKUP(A148,'Data Vlaue (Cr)'!C143:CB357,78,0)</f>
        <v>2.07E-2</v>
      </c>
      <c r="H148" s="91">
        <f>VLOOKUP($A148,'Data Vlaue (Cr)'!$C:$FB,91)</f>
        <v>120</v>
      </c>
      <c r="I148" s="91">
        <f>VLOOKUP($A148,'Data Vlaue (Cr)'!$C:$FB,93)</f>
        <v>15</v>
      </c>
      <c r="J148" s="92">
        <f>VLOOKUP($A148,'Data Vlaue (Cr)'!$C:$FB,94)</f>
        <v>0.13739999999999999</v>
      </c>
      <c r="K148" s="91">
        <f>VLOOKUP($A148,'Data Vlaue (Cr)'!$C:$FB,95)</f>
        <v>57</v>
      </c>
      <c r="L148" s="91">
        <f>VLOOKUP($A148,'Data Vlaue (Cr)'!$C:$FB,97)</f>
        <v>3</v>
      </c>
      <c r="M148" s="92">
        <f>VLOOKUP($A148,'Data Vlaue (Cr)'!$C:$FB,98)</f>
        <v>5.0200000000000002E-2</v>
      </c>
      <c r="N148" s="91">
        <f>VLOOKUP($A148,'Data Vlaue (Cr)'!$C:$FB,79)</f>
        <v>409</v>
      </c>
      <c r="O148" s="92">
        <f>VLOOKUP($A148,'Data Vlaue (Cr)'!$C:$FB,82)</f>
        <v>1.7600000000000001E-2</v>
      </c>
    </row>
    <row r="149" spans="1:15" x14ac:dyDescent="0.25">
      <c r="A149" s="97" t="str">
        <f>'Data Vlaue (Cr)'!C144</f>
        <v>NIFTY</v>
      </c>
      <c r="B149" s="142">
        <f>VLOOKUP(A149,'Data Vlaue (Cr)'!C144:CW358,99,0)</f>
        <v>1549886</v>
      </c>
      <c r="C149" s="90">
        <f>VLOOKUP(A149,'Data Vlaue (Cr)'!C144:CY358,101,0)</f>
        <v>106611</v>
      </c>
      <c r="D149" s="139">
        <f>VLOOKUP(A149,'Data Vlaue (Cr)'!C144:CZ358,102,0)</f>
        <v>7.3899999999999993E-2</v>
      </c>
      <c r="E149" s="91">
        <f>VLOOKUP($A149,'Data Vlaue (Cr)'!$C:$FB,75)</f>
        <v>49351</v>
      </c>
      <c r="F149" s="91">
        <f>VLOOKUP($A149,'Data Vlaue (Cr)'!$C:$FB,77)</f>
        <v>875</v>
      </c>
      <c r="G149" s="92">
        <f>VLOOKUP(A149,'Data Vlaue (Cr)'!C144:CB358,78,0)</f>
        <v>1.8100000000000002E-2</v>
      </c>
      <c r="H149" s="91">
        <f>VLOOKUP($A149,'Data Vlaue (Cr)'!$C:$FB,91)</f>
        <v>643301</v>
      </c>
      <c r="I149" s="91">
        <f>VLOOKUP($A149,'Data Vlaue (Cr)'!$C:$FB,93)</f>
        <v>1190</v>
      </c>
      <c r="J149" s="92">
        <f>VLOOKUP($A149,'Data Vlaue (Cr)'!$C:$FB,94)</f>
        <v>1.9E-3</v>
      </c>
      <c r="K149" s="91">
        <f>VLOOKUP($A149,'Data Vlaue (Cr)'!$C:$FB,95)</f>
        <v>857234</v>
      </c>
      <c r="L149" s="91">
        <f>VLOOKUP($A149,'Data Vlaue (Cr)'!$C:$FB,97)</f>
        <v>104547</v>
      </c>
      <c r="M149" s="92">
        <f>VLOOKUP($A149,'Data Vlaue (Cr)'!$C:$FB,98)</f>
        <v>0.1389</v>
      </c>
      <c r="N149" s="91">
        <f>VLOOKUP($A149,'Data Vlaue (Cr)'!$C:$FB,79)</f>
        <v>46080</v>
      </c>
      <c r="O149" s="92">
        <f>VLOOKUP($A149,'Data Vlaue (Cr)'!$C:$FB,82)</f>
        <v>1.5599999999999999E-2</v>
      </c>
    </row>
    <row r="150" spans="1:15" x14ac:dyDescent="0.25">
      <c r="A150" s="97" t="str">
        <f>'Data Vlaue (Cr)'!C145</f>
        <v>NIFTYNXT50</v>
      </c>
      <c r="B150" s="142">
        <f>VLOOKUP(A150,'Data Vlaue (Cr)'!C145:CW359,99,0)</f>
        <v>203</v>
      </c>
      <c r="C150" s="90">
        <f>VLOOKUP(A150,'Data Vlaue (Cr)'!C145:CY359,101,0)</f>
        <v>19</v>
      </c>
      <c r="D150" s="139">
        <f>VLOOKUP(A150,'Data Vlaue (Cr)'!C145:CZ359,102,0)</f>
        <v>0.10639999999999999</v>
      </c>
      <c r="E150" s="91">
        <f>VLOOKUP($A150,'Data Vlaue (Cr)'!$C:$FB,75)</f>
        <v>178</v>
      </c>
      <c r="F150" s="91">
        <f>VLOOKUP($A150,'Data Vlaue (Cr)'!$C:$FB,77)</f>
        <v>14</v>
      </c>
      <c r="G150" s="92">
        <f>VLOOKUP(A150,'Data Vlaue (Cr)'!C145:CB359,78,0)</f>
        <v>8.5000000000000006E-2</v>
      </c>
      <c r="H150" s="91">
        <f>VLOOKUP($A150,'Data Vlaue (Cr)'!$C:$FB,91)</f>
        <v>18</v>
      </c>
      <c r="I150" s="91">
        <f>VLOOKUP($A150,'Data Vlaue (Cr)'!$C:$FB,93)</f>
        <v>4</v>
      </c>
      <c r="J150" s="92">
        <f>VLOOKUP($A150,'Data Vlaue (Cr)'!$C:$FB,94)</f>
        <v>0.24709999999999999</v>
      </c>
      <c r="K150" s="91">
        <f>VLOOKUP($A150,'Data Vlaue (Cr)'!$C:$FB,95)</f>
        <v>6</v>
      </c>
      <c r="L150" s="91">
        <f>VLOOKUP($A150,'Data Vlaue (Cr)'!$C:$FB,97)</f>
        <v>2</v>
      </c>
      <c r="M150" s="92">
        <f>VLOOKUP($A150,'Data Vlaue (Cr)'!$C:$FB,98)</f>
        <v>0.45829999999999999</v>
      </c>
      <c r="N150" s="91">
        <f>VLOOKUP($A150,'Data Vlaue (Cr)'!$C:$FB,79)</f>
        <v>161</v>
      </c>
      <c r="O150" s="92">
        <f>VLOOKUP($A150,'Data Vlaue (Cr)'!$C:$FB,82)</f>
        <v>6.8500000000000005E-2</v>
      </c>
    </row>
    <row r="151" spans="1:15" x14ac:dyDescent="0.25">
      <c r="A151" s="97" t="str">
        <f>'Data Vlaue (Cr)'!C146</f>
        <v>NMDC</v>
      </c>
      <c r="B151" s="142">
        <f>VLOOKUP(A151,'Data Vlaue (Cr)'!C146:CW360,99,0)</f>
        <v>3367</v>
      </c>
      <c r="C151" s="90">
        <f>VLOOKUP(A151,'Data Vlaue (Cr)'!C146:CY360,101,0)</f>
        <v>139</v>
      </c>
      <c r="D151" s="139">
        <f>VLOOKUP(A151,'Data Vlaue (Cr)'!C146:CZ360,102,0)</f>
        <v>4.3200000000000002E-2</v>
      </c>
      <c r="E151" s="91">
        <f>VLOOKUP($A151,'Data Vlaue (Cr)'!$C:$FB,75)</f>
        <v>2168</v>
      </c>
      <c r="F151" s="91">
        <f>VLOOKUP($A151,'Data Vlaue (Cr)'!$C:$FB,77)</f>
        <v>34</v>
      </c>
      <c r="G151" s="92">
        <f>VLOOKUP(A151,'Data Vlaue (Cr)'!C146:CB360,78,0)</f>
        <v>1.61E-2</v>
      </c>
      <c r="H151" s="91">
        <f>VLOOKUP($A151,'Data Vlaue (Cr)'!$C:$FB,91)</f>
        <v>708</v>
      </c>
      <c r="I151" s="91">
        <f>VLOOKUP($A151,'Data Vlaue (Cr)'!$C:$FB,93)</f>
        <v>82</v>
      </c>
      <c r="J151" s="92">
        <f>VLOOKUP($A151,'Data Vlaue (Cr)'!$C:$FB,94)</f>
        <v>0.13170000000000001</v>
      </c>
      <c r="K151" s="91">
        <f>VLOOKUP($A151,'Data Vlaue (Cr)'!$C:$FB,95)</f>
        <v>491</v>
      </c>
      <c r="L151" s="91">
        <f>VLOOKUP($A151,'Data Vlaue (Cr)'!$C:$FB,97)</f>
        <v>23</v>
      </c>
      <c r="M151" s="92">
        <f>VLOOKUP($A151,'Data Vlaue (Cr)'!$C:$FB,98)</f>
        <v>4.8500000000000001E-2</v>
      </c>
      <c r="N151" s="91">
        <f>VLOOKUP($A151,'Data Vlaue (Cr)'!$C:$FB,79)</f>
        <v>2121</v>
      </c>
      <c r="O151" s="92">
        <f>VLOOKUP($A151,'Data Vlaue (Cr)'!$C:$FB,82)</f>
        <v>1.29E-2</v>
      </c>
    </row>
    <row r="152" spans="1:15" x14ac:dyDescent="0.25">
      <c r="A152" s="97" t="str">
        <f>'Data Vlaue (Cr)'!C147</f>
        <v>NTPC</v>
      </c>
      <c r="B152" s="142">
        <f>VLOOKUP(A152,'Data Vlaue (Cr)'!C147:CW361,99,0)</f>
        <v>4696</v>
      </c>
      <c r="C152" s="90">
        <f>VLOOKUP(A152,'Data Vlaue (Cr)'!C147:CY361,101,0)</f>
        <v>174</v>
      </c>
      <c r="D152" s="139">
        <f>VLOOKUP(A152,'Data Vlaue (Cr)'!C147:CZ361,102,0)</f>
        <v>3.85E-2</v>
      </c>
      <c r="E152" s="91">
        <f>VLOOKUP($A152,'Data Vlaue (Cr)'!$C:$FB,75)</f>
        <v>3374</v>
      </c>
      <c r="F152" s="91">
        <f>VLOOKUP($A152,'Data Vlaue (Cr)'!$C:$FB,77)</f>
        <v>32</v>
      </c>
      <c r="G152" s="92">
        <f>VLOOKUP(A152,'Data Vlaue (Cr)'!C147:CB361,78,0)</f>
        <v>9.4000000000000004E-3</v>
      </c>
      <c r="H152" s="91">
        <f>VLOOKUP($A152,'Data Vlaue (Cr)'!$C:$FB,91)</f>
        <v>791</v>
      </c>
      <c r="I152" s="91">
        <f>VLOOKUP($A152,'Data Vlaue (Cr)'!$C:$FB,93)</f>
        <v>104</v>
      </c>
      <c r="J152" s="92">
        <f>VLOOKUP($A152,'Data Vlaue (Cr)'!$C:$FB,94)</f>
        <v>0.15190000000000001</v>
      </c>
      <c r="K152" s="91">
        <f>VLOOKUP($A152,'Data Vlaue (Cr)'!$C:$FB,95)</f>
        <v>530</v>
      </c>
      <c r="L152" s="91">
        <f>VLOOKUP($A152,'Data Vlaue (Cr)'!$C:$FB,97)</f>
        <v>38</v>
      </c>
      <c r="M152" s="92">
        <f>VLOOKUP($A152,'Data Vlaue (Cr)'!$C:$FB,98)</f>
        <v>7.7899999999999997E-2</v>
      </c>
      <c r="N152" s="91">
        <f>VLOOKUP($A152,'Data Vlaue (Cr)'!$C:$FB,79)</f>
        <v>3297</v>
      </c>
      <c r="O152" s="92">
        <f>VLOOKUP($A152,'Data Vlaue (Cr)'!$C:$FB,82)</f>
        <v>6.1999999999999998E-3</v>
      </c>
    </row>
    <row r="153" spans="1:15" x14ac:dyDescent="0.25">
      <c r="A153" s="97" t="str">
        <f>'Data Vlaue (Cr)'!C148</f>
        <v>NUVAMA</v>
      </c>
      <c r="B153" s="142">
        <f>VLOOKUP(A153,'Data Vlaue (Cr)'!C148:CW362,99,0)</f>
        <v>511</v>
      </c>
      <c r="C153" s="90">
        <f>VLOOKUP(A153,'Data Vlaue (Cr)'!C148:CY362,101,0)</f>
        <v>-61</v>
      </c>
      <c r="D153" s="139">
        <f>VLOOKUP(A153,'Data Vlaue (Cr)'!C148:CZ362,102,0)</f>
        <v>-0.1061</v>
      </c>
      <c r="E153" s="91">
        <f>VLOOKUP($A153,'Data Vlaue (Cr)'!$C:$FB,75)</f>
        <v>234</v>
      </c>
      <c r="F153" s="91">
        <f>VLOOKUP($A153,'Data Vlaue (Cr)'!$C:$FB,77)</f>
        <v>-10</v>
      </c>
      <c r="G153" s="92">
        <f>VLOOKUP(A153,'Data Vlaue (Cr)'!C148:CB362,78,0)</f>
        <v>-3.95E-2</v>
      </c>
      <c r="H153" s="91">
        <f>VLOOKUP($A153,'Data Vlaue (Cr)'!$C:$FB,91)</f>
        <v>167</v>
      </c>
      <c r="I153" s="91">
        <f>VLOOKUP($A153,'Data Vlaue (Cr)'!$C:$FB,93)</f>
        <v>-53</v>
      </c>
      <c r="J153" s="92">
        <f>VLOOKUP($A153,'Data Vlaue (Cr)'!$C:$FB,94)</f>
        <v>-0.24129999999999999</v>
      </c>
      <c r="K153" s="91">
        <f>VLOOKUP($A153,'Data Vlaue (Cr)'!$C:$FB,95)</f>
        <v>109</v>
      </c>
      <c r="L153" s="91">
        <f>VLOOKUP($A153,'Data Vlaue (Cr)'!$C:$FB,97)</f>
        <v>2</v>
      </c>
      <c r="M153" s="92">
        <f>VLOOKUP($A153,'Data Vlaue (Cr)'!$C:$FB,98)</f>
        <v>2.0400000000000001E-2</v>
      </c>
      <c r="N153" s="91">
        <f>VLOOKUP($A153,'Data Vlaue (Cr)'!$C:$FB,79)</f>
        <v>219</v>
      </c>
      <c r="O153" s="92">
        <f>VLOOKUP($A153,'Data Vlaue (Cr)'!$C:$FB,82)</f>
        <v>-4.53E-2</v>
      </c>
    </row>
    <row r="154" spans="1:15" x14ac:dyDescent="0.25">
      <c r="A154" s="97" t="str">
        <f>'Data Vlaue (Cr)'!C149</f>
        <v>NYKAA</v>
      </c>
      <c r="B154" s="142">
        <f>VLOOKUP(A154,'Data Vlaue (Cr)'!C149:CW363,99,0)</f>
        <v>2089</v>
      </c>
      <c r="C154" s="90">
        <f>VLOOKUP(A154,'Data Vlaue (Cr)'!C149:CY363,101,0)</f>
        <v>321</v>
      </c>
      <c r="D154" s="139">
        <f>VLOOKUP(A154,'Data Vlaue (Cr)'!C149:CZ363,102,0)</f>
        <v>0.18140000000000001</v>
      </c>
      <c r="E154" s="91">
        <f>VLOOKUP($A154,'Data Vlaue (Cr)'!$C:$FB,75)</f>
        <v>1591</v>
      </c>
      <c r="F154" s="91">
        <f>VLOOKUP($A154,'Data Vlaue (Cr)'!$C:$FB,77)</f>
        <v>94</v>
      </c>
      <c r="G154" s="92">
        <f>VLOOKUP(A154,'Data Vlaue (Cr)'!C149:CB363,78,0)</f>
        <v>6.2799999999999995E-2</v>
      </c>
      <c r="H154" s="91">
        <f>VLOOKUP($A154,'Data Vlaue (Cr)'!$C:$FB,91)</f>
        <v>305</v>
      </c>
      <c r="I154" s="91">
        <f>VLOOKUP($A154,'Data Vlaue (Cr)'!$C:$FB,93)</f>
        <v>125</v>
      </c>
      <c r="J154" s="92">
        <f>VLOOKUP($A154,'Data Vlaue (Cr)'!$C:$FB,94)</f>
        <v>0.69669999999999999</v>
      </c>
      <c r="K154" s="91">
        <f>VLOOKUP($A154,'Data Vlaue (Cr)'!$C:$FB,95)</f>
        <v>193</v>
      </c>
      <c r="L154" s="91">
        <f>VLOOKUP($A154,'Data Vlaue (Cr)'!$C:$FB,97)</f>
        <v>102</v>
      </c>
      <c r="M154" s="92">
        <f>VLOOKUP($A154,'Data Vlaue (Cr)'!$C:$FB,98)</f>
        <v>1.1047</v>
      </c>
      <c r="N154" s="91">
        <f>VLOOKUP($A154,'Data Vlaue (Cr)'!$C:$FB,79)</f>
        <v>1571</v>
      </c>
      <c r="O154" s="92">
        <f>VLOOKUP($A154,'Data Vlaue (Cr)'!$C:$FB,82)</f>
        <v>5.8999999999999997E-2</v>
      </c>
    </row>
    <row r="155" spans="1:15" x14ac:dyDescent="0.25">
      <c r="A155" s="97" t="str">
        <f>'Data Vlaue (Cr)'!C150</f>
        <v>OBEROIRLTY</v>
      </c>
      <c r="B155" s="142">
        <f>VLOOKUP(A155,'Data Vlaue (Cr)'!C150:CW364,99,0)</f>
        <v>1030</v>
      </c>
      <c r="C155" s="90">
        <f>VLOOKUP(A155,'Data Vlaue (Cr)'!C150:CY364,101,0)</f>
        <v>23</v>
      </c>
      <c r="D155" s="139">
        <f>VLOOKUP(A155,'Data Vlaue (Cr)'!C150:CZ364,102,0)</f>
        <v>2.3E-2</v>
      </c>
      <c r="E155" s="91">
        <f>VLOOKUP($A155,'Data Vlaue (Cr)'!$C:$FB,75)</f>
        <v>786</v>
      </c>
      <c r="F155" s="91">
        <f>VLOOKUP($A155,'Data Vlaue (Cr)'!$C:$FB,77)</f>
        <v>12</v>
      </c>
      <c r="G155" s="92">
        <f>VLOOKUP(A155,'Data Vlaue (Cr)'!C150:CB364,78,0)</f>
        <v>1.4999999999999999E-2</v>
      </c>
      <c r="H155" s="91">
        <f>VLOOKUP($A155,'Data Vlaue (Cr)'!$C:$FB,91)</f>
        <v>139</v>
      </c>
      <c r="I155" s="91">
        <f>VLOOKUP($A155,'Data Vlaue (Cr)'!$C:$FB,93)</f>
        <v>9</v>
      </c>
      <c r="J155" s="92">
        <f>VLOOKUP($A155,'Data Vlaue (Cr)'!$C:$FB,94)</f>
        <v>6.9699999999999998E-2</v>
      </c>
      <c r="K155" s="91">
        <f>VLOOKUP($A155,'Data Vlaue (Cr)'!$C:$FB,95)</f>
        <v>105</v>
      </c>
      <c r="L155" s="91">
        <f>VLOOKUP($A155,'Data Vlaue (Cr)'!$C:$FB,97)</f>
        <v>3</v>
      </c>
      <c r="M155" s="92">
        <f>VLOOKUP($A155,'Data Vlaue (Cr)'!$C:$FB,98)</f>
        <v>2.5100000000000001E-2</v>
      </c>
      <c r="N155" s="91">
        <f>VLOOKUP($A155,'Data Vlaue (Cr)'!$C:$FB,79)</f>
        <v>773</v>
      </c>
      <c r="O155" s="92">
        <f>VLOOKUP($A155,'Data Vlaue (Cr)'!$C:$FB,82)</f>
        <v>1.5800000000000002E-2</v>
      </c>
    </row>
    <row r="156" spans="1:15" x14ac:dyDescent="0.25">
      <c r="A156" s="97" t="str">
        <f>'Data Vlaue (Cr)'!C151</f>
        <v>OFSS</v>
      </c>
      <c r="B156" s="142">
        <f>VLOOKUP(A156,'Data Vlaue (Cr)'!C151:CW365,99,0)</f>
        <v>1489</v>
      </c>
      <c r="C156" s="90">
        <f>VLOOKUP(A156,'Data Vlaue (Cr)'!C151:CY365,101,0)</f>
        <v>29</v>
      </c>
      <c r="D156" s="139">
        <f>VLOOKUP(A156,'Data Vlaue (Cr)'!C151:CZ365,102,0)</f>
        <v>2.0199999999999999E-2</v>
      </c>
      <c r="E156" s="91">
        <f>VLOOKUP($A156,'Data Vlaue (Cr)'!$C:$FB,75)</f>
        <v>914</v>
      </c>
      <c r="F156" s="91">
        <f>VLOOKUP($A156,'Data Vlaue (Cr)'!$C:$FB,77)</f>
        <v>19</v>
      </c>
      <c r="G156" s="92">
        <f>VLOOKUP(A156,'Data Vlaue (Cr)'!C151:CB365,78,0)</f>
        <v>2.1600000000000001E-2</v>
      </c>
      <c r="H156" s="91">
        <f>VLOOKUP($A156,'Data Vlaue (Cr)'!$C:$FB,91)</f>
        <v>354</v>
      </c>
      <c r="I156" s="91">
        <f>VLOOKUP($A156,'Data Vlaue (Cr)'!$C:$FB,93)</f>
        <v>3</v>
      </c>
      <c r="J156" s="92">
        <f>VLOOKUP($A156,'Data Vlaue (Cr)'!$C:$FB,94)</f>
        <v>7.6E-3</v>
      </c>
      <c r="K156" s="91">
        <f>VLOOKUP($A156,'Data Vlaue (Cr)'!$C:$FB,95)</f>
        <v>220</v>
      </c>
      <c r="L156" s="91">
        <f>VLOOKUP($A156,'Data Vlaue (Cr)'!$C:$FB,97)</f>
        <v>7</v>
      </c>
      <c r="M156" s="92">
        <f>VLOOKUP($A156,'Data Vlaue (Cr)'!$C:$FB,98)</f>
        <v>3.4799999999999998E-2</v>
      </c>
      <c r="N156" s="91">
        <f>VLOOKUP($A156,'Data Vlaue (Cr)'!$C:$FB,79)</f>
        <v>889</v>
      </c>
      <c r="O156" s="92">
        <f>VLOOKUP($A156,'Data Vlaue (Cr)'!$C:$FB,82)</f>
        <v>1.9599999999999999E-2</v>
      </c>
    </row>
    <row r="157" spans="1:15" x14ac:dyDescent="0.25">
      <c r="A157" s="97" t="str">
        <f>'Data Vlaue (Cr)'!C152</f>
        <v>OIL</v>
      </c>
      <c r="B157" s="142">
        <f>VLOOKUP(A157,'Data Vlaue (Cr)'!C152:CW366,99,0)</f>
        <v>693</v>
      </c>
      <c r="C157" s="90">
        <f>VLOOKUP(A157,'Data Vlaue (Cr)'!C152:CY366,101,0)</f>
        <v>21</v>
      </c>
      <c r="D157" s="139">
        <f>VLOOKUP(A157,'Data Vlaue (Cr)'!C152:CZ366,102,0)</f>
        <v>3.1099999999999999E-2</v>
      </c>
      <c r="E157" s="91">
        <f>VLOOKUP($A157,'Data Vlaue (Cr)'!$C:$FB,75)</f>
        <v>403</v>
      </c>
      <c r="F157" s="91">
        <f>VLOOKUP($A157,'Data Vlaue (Cr)'!$C:$FB,77)</f>
        <v>11</v>
      </c>
      <c r="G157" s="92">
        <f>VLOOKUP(A157,'Data Vlaue (Cr)'!C152:CB366,78,0)</f>
        <v>2.9100000000000001E-2</v>
      </c>
      <c r="H157" s="91">
        <f>VLOOKUP($A157,'Data Vlaue (Cr)'!$C:$FB,91)</f>
        <v>193</v>
      </c>
      <c r="I157" s="91">
        <f>VLOOKUP($A157,'Data Vlaue (Cr)'!$C:$FB,93)</f>
        <v>1</v>
      </c>
      <c r="J157" s="92">
        <f>VLOOKUP($A157,'Data Vlaue (Cr)'!$C:$FB,94)</f>
        <v>3.7000000000000002E-3</v>
      </c>
      <c r="K157" s="91">
        <f>VLOOKUP($A157,'Data Vlaue (Cr)'!$C:$FB,95)</f>
        <v>97</v>
      </c>
      <c r="L157" s="91">
        <f>VLOOKUP($A157,'Data Vlaue (Cr)'!$C:$FB,97)</f>
        <v>9</v>
      </c>
      <c r="M157" s="92">
        <f>VLOOKUP($A157,'Data Vlaue (Cr)'!$C:$FB,98)</f>
        <v>9.9900000000000003E-2</v>
      </c>
      <c r="N157" s="91">
        <f>VLOOKUP($A157,'Data Vlaue (Cr)'!$C:$FB,79)</f>
        <v>387</v>
      </c>
      <c r="O157" s="92">
        <f>VLOOKUP($A157,'Data Vlaue (Cr)'!$C:$FB,82)</f>
        <v>2.24E-2</v>
      </c>
    </row>
    <row r="158" spans="1:15" x14ac:dyDescent="0.25">
      <c r="A158" s="97" t="str">
        <f>'Data Vlaue (Cr)'!C153</f>
        <v>ONGC</v>
      </c>
      <c r="B158" s="142">
        <f>VLOOKUP(A158,'Data Vlaue (Cr)'!C153:CW367,99,0)</f>
        <v>3779</v>
      </c>
      <c r="C158" s="90">
        <f>VLOOKUP(A158,'Data Vlaue (Cr)'!C153:CY367,101,0)</f>
        <v>95</v>
      </c>
      <c r="D158" s="139">
        <f>VLOOKUP(A158,'Data Vlaue (Cr)'!C153:CZ367,102,0)</f>
        <v>2.58E-2</v>
      </c>
      <c r="E158" s="91">
        <f>VLOOKUP($A158,'Data Vlaue (Cr)'!$C:$FB,75)</f>
        <v>2448</v>
      </c>
      <c r="F158" s="91">
        <f>VLOOKUP($A158,'Data Vlaue (Cr)'!$C:$FB,77)</f>
        <v>-3</v>
      </c>
      <c r="G158" s="92">
        <f>VLOOKUP(A158,'Data Vlaue (Cr)'!C153:CB367,78,0)</f>
        <v>-1E-3</v>
      </c>
      <c r="H158" s="91">
        <f>VLOOKUP($A158,'Data Vlaue (Cr)'!$C:$FB,91)</f>
        <v>869</v>
      </c>
      <c r="I158" s="91">
        <f>VLOOKUP($A158,'Data Vlaue (Cr)'!$C:$FB,93)</f>
        <v>104</v>
      </c>
      <c r="J158" s="92">
        <f>VLOOKUP($A158,'Data Vlaue (Cr)'!$C:$FB,94)</f>
        <v>0.13589999999999999</v>
      </c>
      <c r="K158" s="91">
        <f>VLOOKUP($A158,'Data Vlaue (Cr)'!$C:$FB,95)</f>
        <v>461</v>
      </c>
      <c r="L158" s="91">
        <f>VLOOKUP($A158,'Data Vlaue (Cr)'!$C:$FB,97)</f>
        <v>-6</v>
      </c>
      <c r="M158" s="92">
        <f>VLOOKUP($A158,'Data Vlaue (Cr)'!$C:$FB,98)</f>
        <v>-1.3299999999999999E-2</v>
      </c>
      <c r="N158" s="91">
        <f>VLOOKUP($A158,'Data Vlaue (Cr)'!$C:$FB,79)</f>
        <v>2407</v>
      </c>
      <c r="O158" s="92">
        <f>VLOOKUP($A158,'Data Vlaue (Cr)'!$C:$FB,82)</f>
        <v>-2.7000000000000001E-3</v>
      </c>
    </row>
    <row r="159" spans="1:15" x14ac:dyDescent="0.25">
      <c r="A159" s="97" t="str">
        <f>'Data Vlaue (Cr)'!C154</f>
        <v>PAGEIND</v>
      </c>
      <c r="B159" s="142">
        <f>VLOOKUP(A159,'Data Vlaue (Cr)'!C154:CW368,99,0)</f>
        <v>1325</v>
      </c>
      <c r="C159" s="90">
        <f>VLOOKUP(A159,'Data Vlaue (Cr)'!C154:CY368,101,0)</f>
        <v>71</v>
      </c>
      <c r="D159" s="139">
        <f>VLOOKUP(A159,'Data Vlaue (Cr)'!C154:CZ368,102,0)</f>
        <v>5.6399999999999999E-2</v>
      </c>
      <c r="E159" s="91">
        <f>VLOOKUP($A159,'Data Vlaue (Cr)'!$C:$FB,75)</f>
        <v>927</v>
      </c>
      <c r="F159" s="91">
        <f>VLOOKUP($A159,'Data Vlaue (Cr)'!$C:$FB,77)</f>
        <v>33</v>
      </c>
      <c r="G159" s="92">
        <f>VLOOKUP(A159,'Data Vlaue (Cr)'!C154:CB368,78,0)</f>
        <v>3.6799999999999999E-2</v>
      </c>
      <c r="H159" s="91">
        <f>VLOOKUP($A159,'Data Vlaue (Cr)'!$C:$FB,91)</f>
        <v>275</v>
      </c>
      <c r="I159" s="91">
        <f>VLOOKUP($A159,'Data Vlaue (Cr)'!$C:$FB,93)</f>
        <v>29</v>
      </c>
      <c r="J159" s="92">
        <f>VLOOKUP($A159,'Data Vlaue (Cr)'!$C:$FB,94)</f>
        <v>0.1191</v>
      </c>
      <c r="K159" s="91">
        <f>VLOOKUP($A159,'Data Vlaue (Cr)'!$C:$FB,95)</f>
        <v>123</v>
      </c>
      <c r="L159" s="91">
        <f>VLOOKUP($A159,'Data Vlaue (Cr)'!$C:$FB,97)</f>
        <v>9</v>
      </c>
      <c r="M159" s="92">
        <f>VLOOKUP($A159,'Data Vlaue (Cr)'!$C:$FB,98)</f>
        <v>7.46E-2</v>
      </c>
      <c r="N159" s="91">
        <f>VLOOKUP($A159,'Data Vlaue (Cr)'!$C:$FB,79)</f>
        <v>903</v>
      </c>
      <c r="O159" s="92">
        <f>VLOOKUP($A159,'Data Vlaue (Cr)'!$C:$FB,82)</f>
        <v>3.4599999999999999E-2</v>
      </c>
    </row>
    <row r="160" spans="1:15" x14ac:dyDescent="0.25">
      <c r="A160" s="97" t="str">
        <f>'Data Vlaue (Cr)'!C155</f>
        <v>PATANJALI</v>
      </c>
      <c r="B160" s="142">
        <f>VLOOKUP(A160,'Data Vlaue (Cr)'!C155:CW369,99,0)</f>
        <v>2321</v>
      </c>
      <c r="C160" s="90">
        <f>VLOOKUP(A160,'Data Vlaue (Cr)'!C155:CY369,101,0)</f>
        <v>74</v>
      </c>
      <c r="D160" s="139">
        <f>VLOOKUP(A160,'Data Vlaue (Cr)'!C155:CZ369,102,0)</f>
        <v>3.2800000000000003E-2</v>
      </c>
      <c r="E160" s="91">
        <f>VLOOKUP($A160,'Data Vlaue (Cr)'!$C:$FB,75)</f>
        <v>1936</v>
      </c>
      <c r="F160" s="91">
        <f>VLOOKUP($A160,'Data Vlaue (Cr)'!$C:$FB,77)</f>
        <v>19</v>
      </c>
      <c r="G160" s="92">
        <f>VLOOKUP(A160,'Data Vlaue (Cr)'!C155:CB369,78,0)</f>
        <v>9.7999999999999997E-3</v>
      </c>
      <c r="H160" s="91">
        <f>VLOOKUP($A160,'Data Vlaue (Cr)'!$C:$FB,91)</f>
        <v>251</v>
      </c>
      <c r="I160" s="91">
        <f>VLOOKUP($A160,'Data Vlaue (Cr)'!$C:$FB,93)</f>
        <v>52</v>
      </c>
      <c r="J160" s="92">
        <f>VLOOKUP($A160,'Data Vlaue (Cr)'!$C:$FB,94)</f>
        <v>0.2621</v>
      </c>
      <c r="K160" s="91">
        <f>VLOOKUP($A160,'Data Vlaue (Cr)'!$C:$FB,95)</f>
        <v>134</v>
      </c>
      <c r="L160" s="91">
        <f>VLOOKUP($A160,'Data Vlaue (Cr)'!$C:$FB,97)</f>
        <v>3</v>
      </c>
      <c r="M160" s="92">
        <f>VLOOKUP($A160,'Data Vlaue (Cr)'!$C:$FB,98)</f>
        <v>2.1000000000000001E-2</v>
      </c>
      <c r="N160" s="91">
        <f>VLOOKUP($A160,'Data Vlaue (Cr)'!$C:$FB,79)</f>
        <v>1922</v>
      </c>
      <c r="O160" s="92">
        <f>VLOOKUP($A160,'Data Vlaue (Cr)'!$C:$FB,82)</f>
        <v>8.2000000000000007E-3</v>
      </c>
    </row>
    <row r="161" spans="1:15" x14ac:dyDescent="0.25">
      <c r="A161" s="97" t="str">
        <f>'Data Vlaue (Cr)'!C156</f>
        <v>PAYTM</v>
      </c>
      <c r="B161" s="142">
        <f>VLOOKUP(A161,'Data Vlaue (Cr)'!C156:CW370,99,0)</f>
        <v>4628</v>
      </c>
      <c r="C161" s="90">
        <f>VLOOKUP(A161,'Data Vlaue (Cr)'!C156:CY370,101,0)</f>
        <v>9</v>
      </c>
      <c r="D161" s="139">
        <f>VLOOKUP(A161,'Data Vlaue (Cr)'!C156:CZ370,102,0)</f>
        <v>2E-3</v>
      </c>
      <c r="E161" s="91">
        <f>VLOOKUP($A161,'Data Vlaue (Cr)'!$C:$FB,75)</f>
        <v>3347</v>
      </c>
      <c r="F161" s="91">
        <f>VLOOKUP($A161,'Data Vlaue (Cr)'!$C:$FB,77)</f>
        <v>-110</v>
      </c>
      <c r="G161" s="92">
        <f>VLOOKUP(A161,'Data Vlaue (Cr)'!C156:CB370,78,0)</f>
        <v>-3.1699999999999999E-2</v>
      </c>
      <c r="H161" s="91">
        <f>VLOOKUP($A161,'Data Vlaue (Cr)'!$C:$FB,91)</f>
        <v>667</v>
      </c>
      <c r="I161" s="91">
        <f>VLOOKUP($A161,'Data Vlaue (Cr)'!$C:$FB,93)</f>
        <v>50</v>
      </c>
      <c r="J161" s="92">
        <f>VLOOKUP($A161,'Data Vlaue (Cr)'!$C:$FB,94)</f>
        <v>8.1600000000000006E-2</v>
      </c>
      <c r="K161" s="91">
        <f>VLOOKUP($A161,'Data Vlaue (Cr)'!$C:$FB,95)</f>
        <v>614</v>
      </c>
      <c r="L161" s="91">
        <f>VLOOKUP($A161,'Data Vlaue (Cr)'!$C:$FB,97)</f>
        <v>68</v>
      </c>
      <c r="M161" s="92">
        <f>VLOOKUP($A161,'Data Vlaue (Cr)'!$C:$FB,98)</f>
        <v>0.12520000000000001</v>
      </c>
      <c r="N161" s="91">
        <f>VLOOKUP($A161,'Data Vlaue (Cr)'!$C:$FB,79)</f>
        <v>3304</v>
      </c>
      <c r="O161" s="92">
        <f>VLOOKUP($A161,'Data Vlaue (Cr)'!$C:$FB,82)</f>
        <v>-3.3300000000000003E-2</v>
      </c>
    </row>
    <row r="162" spans="1:15" x14ac:dyDescent="0.25">
      <c r="A162" s="97" t="str">
        <f>'Data Vlaue (Cr)'!C157</f>
        <v>PERSISTENT</v>
      </c>
      <c r="B162" s="142">
        <f>VLOOKUP(A162,'Data Vlaue (Cr)'!C157:CW371,99,0)</f>
        <v>2196</v>
      </c>
      <c r="C162" s="90">
        <f>VLOOKUP(A162,'Data Vlaue (Cr)'!C157:CY371,101,0)</f>
        <v>7</v>
      </c>
      <c r="D162" s="139">
        <f>VLOOKUP(A162,'Data Vlaue (Cr)'!C157:CZ371,102,0)</f>
        <v>3.3E-3</v>
      </c>
      <c r="E162" s="91">
        <f>VLOOKUP($A162,'Data Vlaue (Cr)'!$C:$FB,75)</f>
        <v>1541</v>
      </c>
      <c r="F162" s="91">
        <f>VLOOKUP($A162,'Data Vlaue (Cr)'!$C:$FB,77)</f>
        <v>-18</v>
      </c>
      <c r="G162" s="92">
        <f>VLOOKUP(A162,'Data Vlaue (Cr)'!C157:CB371,78,0)</f>
        <v>-1.1299999999999999E-2</v>
      </c>
      <c r="H162" s="91">
        <f>VLOOKUP($A162,'Data Vlaue (Cr)'!$C:$FB,91)</f>
        <v>390</v>
      </c>
      <c r="I162" s="91">
        <f>VLOOKUP($A162,'Data Vlaue (Cr)'!$C:$FB,93)</f>
        <v>14</v>
      </c>
      <c r="J162" s="92">
        <f>VLOOKUP($A162,'Data Vlaue (Cr)'!$C:$FB,94)</f>
        <v>3.6799999999999999E-2</v>
      </c>
      <c r="K162" s="91">
        <f>VLOOKUP($A162,'Data Vlaue (Cr)'!$C:$FB,95)</f>
        <v>265</v>
      </c>
      <c r="L162" s="91">
        <f>VLOOKUP($A162,'Data Vlaue (Cr)'!$C:$FB,97)</f>
        <v>11</v>
      </c>
      <c r="M162" s="92">
        <f>VLOOKUP($A162,'Data Vlaue (Cr)'!$C:$FB,98)</f>
        <v>4.2799999999999998E-2</v>
      </c>
      <c r="N162" s="91">
        <f>VLOOKUP($A162,'Data Vlaue (Cr)'!$C:$FB,79)</f>
        <v>1511</v>
      </c>
      <c r="O162" s="92">
        <f>VLOOKUP($A162,'Data Vlaue (Cr)'!$C:$FB,82)</f>
        <v>-1.21E-2</v>
      </c>
    </row>
    <row r="163" spans="1:15" x14ac:dyDescent="0.25">
      <c r="A163" s="97" t="str">
        <f>'Data Vlaue (Cr)'!C158</f>
        <v>PETRONET</v>
      </c>
      <c r="B163" s="142">
        <f>VLOOKUP(A163,'Data Vlaue (Cr)'!C158:CW372,99,0)</f>
        <v>1920</v>
      </c>
      <c r="C163" s="90">
        <f>VLOOKUP(A163,'Data Vlaue (Cr)'!C158:CY372,101,0)</f>
        <v>92</v>
      </c>
      <c r="D163" s="139">
        <f>VLOOKUP(A163,'Data Vlaue (Cr)'!C158:CZ372,102,0)</f>
        <v>5.0099999999999999E-2</v>
      </c>
      <c r="E163" s="91">
        <f>VLOOKUP($A163,'Data Vlaue (Cr)'!$C:$FB,75)</f>
        <v>1133</v>
      </c>
      <c r="F163" s="91">
        <f>VLOOKUP($A163,'Data Vlaue (Cr)'!$C:$FB,77)</f>
        <v>11</v>
      </c>
      <c r="G163" s="92">
        <f>VLOOKUP(A163,'Data Vlaue (Cr)'!C158:CB372,78,0)</f>
        <v>9.4999999999999998E-3</v>
      </c>
      <c r="H163" s="91">
        <f>VLOOKUP($A163,'Data Vlaue (Cr)'!$C:$FB,91)</f>
        <v>387</v>
      </c>
      <c r="I163" s="91">
        <f>VLOOKUP($A163,'Data Vlaue (Cr)'!$C:$FB,93)</f>
        <v>61</v>
      </c>
      <c r="J163" s="92">
        <f>VLOOKUP($A163,'Data Vlaue (Cr)'!$C:$FB,94)</f>
        <v>0.18579999999999999</v>
      </c>
      <c r="K163" s="91">
        <f>VLOOKUP($A163,'Data Vlaue (Cr)'!$C:$FB,95)</f>
        <v>401</v>
      </c>
      <c r="L163" s="91">
        <f>VLOOKUP($A163,'Data Vlaue (Cr)'!$C:$FB,97)</f>
        <v>20</v>
      </c>
      <c r="M163" s="92">
        <f>VLOOKUP($A163,'Data Vlaue (Cr)'!$C:$FB,98)</f>
        <v>5.3499999999999999E-2</v>
      </c>
      <c r="N163" s="91">
        <f>VLOOKUP($A163,'Data Vlaue (Cr)'!$C:$FB,79)</f>
        <v>1116</v>
      </c>
      <c r="O163" s="92">
        <f>VLOOKUP($A163,'Data Vlaue (Cr)'!$C:$FB,82)</f>
        <v>9.4000000000000004E-3</v>
      </c>
    </row>
    <row r="164" spans="1:15" x14ac:dyDescent="0.25">
      <c r="A164" s="97" t="str">
        <f>'Data Vlaue (Cr)'!C159</f>
        <v>PFC</v>
      </c>
      <c r="B164" s="142">
        <f>VLOOKUP(A164,'Data Vlaue (Cr)'!C159:CW373,99,0)</f>
        <v>3567</v>
      </c>
      <c r="C164" s="90">
        <f>VLOOKUP(A164,'Data Vlaue (Cr)'!C159:CY373,101,0)</f>
        <v>286</v>
      </c>
      <c r="D164" s="139">
        <f>VLOOKUP(A164,'Data Vlaue (Cr)'!C159:CZ373,102,0)</f>
        <v>8.72E-2</v>
      </c>
      <c r="E164" s="91">
        <f>VLOOKUP($A164,'Data Vlaue (Cr)'!$C:$FB,75)</f>
        <v>2173</v>
      </c>
      <c r="F164" s="91">
        <f>VLOOKUP($A164,'Data Vlaue (Cr)'!$C:$FB,77)</f>
        <v>92</v>
      </c>
      <c r="G164" s="92">
        <f>VLOOKUP(A164,'Data Vlaue (Cr)'!C159:CB373,78,0)</f>
        <v>4.4200000000000003E-2</v>
      </c>
      <c r="H164" s="91">
        <f>VLOOKUP($A164,'Data Vlaue (Cr)'!$C:$FB,91)</f>
        <v>777</v>
      </c>
      <c r="I164" s="91">
        <f>VLOOKUP($A164,'Data Vlaue (Cr)'!$C:$FB,93)</f>
        <v>126</v>
      </c>
      <c r="J164" s="92">
        <f>VLOOKUP($A164,'Data Vlaue (Cr)'!$C:$FB,94)</f>
        <v>0.19359999999999999</v>
      </c>
      <c r="K164" s="91">
        <f>VLOOKUP($A164,'Data Vlaue (Cr)'!$C:$FB,95)</f>
        <v>617</v>
      </c>
      <c r="L164" s="91">
        <f>VLOOKUP($A164,'Data Vlaue (Cr)'!$C:$FB,97)</f>
        <v>68</v>
      </c>
      <c r="M164" s="92">
        <f>VLOOKUP($A164,'Data Vlaue (Cr)'!$C:$FB,98)</f>
        <v>0.124</v>
      </c>
      <c r="N164" s="91">
        <f>VLOOKUP($A164,'Data Vlaue (Cr)'!$C:$FB,79)</f>
        <v>2043</v>
      </c>
      <c r="O164" s="92">
        <f>VLOOKUP($A164,'Data Vlaue (Cr)'!$C:$FB,82)</f>
        <v>3.7900000000000003E-2</v>
      </c>
    </row>
    <row r="165" spans="1:15" x14ac:dyDescent="0.25">
      <c r="A165" s="97" t="str">
        <f>'Data Vlaue (Cr)'!C160</f>
        <v>PGEL</v>
      </c>
      <c r="B165" s="142">
        <f>VLOOKUP(A165,'Data Vlaue (Cr)'!C160:CW374,99,0)</f>
        <v>765</v>
      </c>
      <c r="C165" s="90">
        <f>VLOOKUP(A165,'Data Vlaue (Cr)'!C160:CY374,101,0)</f>
        <v>28</v>
      </c>
      <c r="D165" s="139">
        <f>VLOOKUP(A165,'Data Vlaue (Cr)'!C160:CZ374,102,0)</f>
        <v>3.7699999999999997E-2</v>
      </c>
      <c r="E165" s="91">
        <f>VLOOKUP($A165,'Data Vlaue (Cr)'!$C:$FB,75)</f>
        <v>455</v>
      </c>
      <c r="F165" s="91">
        <f>VLOOKUP($A165,'Data Vlaue (Cr)'!$C:$FB,77)</f>
        <v>-9</v>
      </c>
      <c r="G165" s="92">
        <f>VLOOKUP(A165,'Data Vlaue (Cr)'!C160:CB374,78,0)</f>
        <v>-1.9099999999999999E-2</v>
      </c>
      <c r="H165" s="91">
        <f>VLOOKUP($A165,'Data Vlaue (Cr)'!$C:$FB,91)</f>
        <v>207</v>
      </c>
      <c r="I165" s="91">
        <f>VLOOKUP($A165,'Data Vlaue (Cr)'!$C:$FB,93)</f>
        <v>24</v>
      </c>
      <c r="J165" s="92">
        <f>VLOOKUP($A165,'Data Vlaue (Cr)'!$C:$FB,94)</f>
        <v>0.13009999999999999</v>
      </c>
      <c r="K165" s="91">
        <f>VLOOKUP($A165,'Data Vlaue (Cr)'!$C:$FB,95)</f>
        <v>104</v>
      </c>
      <c r="L165" s="91">
        <f>VLOOKUP($A165,'Data Vlaue (Cr)'!$C:$FB,97)</f>
        <v>13</v>
      </c>
      <c r="M165" s="92">
        <f>VLOOKUP($A165,'Data Vlaue (Cr)'!$C:$FB,98)</f>
        <v>0.14099999999999999</v>
      </c>
      <c r="N165" s="91">
        <f>VLOOKUP($A165,'Data Vlaue (Cr)'!$C:$FB,79)</f>
        <v>442</v>
      </c>
      <c r="O165" s="92">
        <f>VLOOKUP($A165,'Data Vlaue (Cr)'!$C:$FB,82)</f>
        <v>-2.0199999999999999E-2</v>
      </c>
    </row>
    <row r="166" spans="1:15" x14ac:dyDescent="0.25">
      <c r="A166" s="97" t="str">
        <f>'Data Vlaue (Cr)'!C161</f>
        <v>PHOENIXLTD</v>
      </c>
      <c r="B166" s="142">
        <f>VLOOKUP(A166,'Data Vlaue (Cr)'!C161:CW375,99,0)</f>
        <v>828</v>
      </c>
      <c r="C166" s="90">
        <f>VLOOKUP(A166,'Data Vlaue (Cr)'!C161:CY375,101,0)</f>
        <v>33</v>
      </c>
      <c r="D166" s="139">
        <f>VLOOKUP(A166,'Data Vlaue (Cr)'!C161:CZ375,102,0)</f>
        <v>4.19E-2</v>
      </c>
      <c r="E166" s="91">
        <f>VLOOKUP($A166,'Data Vlaue (Cr)'!$C:$FB,75)</f>
        <v>685</v>
      </c>
      <c r="F166" s="91">
        <f>VLOOKUP($A166,'Data Vlaue (Cr)'!$C:$FB,77)</f>
        <v>11</v>
      </c>
      <c r="G166" s="92">
        <f>VLOOKUP(A166,'Data Vlaue (Cr)'!C161:CB375,78,0)</f>
        <v>1.66E-2</v>
      </c>
      <c r="H166" s="91">
        <f>VLOOKUP($A166,'Data Vlaue (Cr)'!$C:$FB,91)</f>
        <v>92</v>
      </c>
      <c r="I166" s="91">
        <f>VLOOKUP($A166,'Data Vlaue (Cr)'!$C:$FB,93)</f>
        <v>14</v>
      </c>
      <c r="J166" s="92">
        <f>VLOOKUP($A166,'Data Vlaue (Cr)'!$C:$FB,94)</f>
        <v>0.17419999999999999</v>
      </c>
      <c r="K166" s="91">
        <f>VLOOKUP($A166,'Data Vlaue (Cr)'!$C:$FB,95)</f>
        <v>51</v>
      </c>
      <c r="L166" s="91">
        <f>VLOOKUP($A166,'Data Vlaue (Cr)'!$C:$FB,97)</f>
        <v>8</v>
      </c>
      <c r="M166" s="92">
        <f>VLOOKUP($A166,'Data Vlaue (Cr)'!$C:$FB,98)</f>
        <v>0.1976</v>
      </c>
      <c r="N166" s="91">
        <f>VLOOKUP($A166,'Data Vlaue (Cr)'!$C:$FB,79)</f>
        <v>681</v>
      </c>
      <c r="O166" s="92">
        <f>VLOOKUP($A166,'Data Vlaue (Cr)'!$C:$FB,82)</f>
        <v>1.61E-2</v>
      </c>
    </row>
    <row r="167" spans="1:15" x14ac:dyDescent="0.25">
      <c r="A167" s="97" t="str">
        <f>'Data Vlaue (Cr)'!C162</f>
        <v>PIDILITIND</v>
      </c>
      <c r="B167" s="142">
        <f>VLOOKUP(A167,'Data Vlaue (Cr)'!C162:CW376,99,0)</f>
        <v>1575</v>
      </c>
      <c r="C167" s="90">
        <f>VLOOKUP(A167,'Data Vlaue (Cr)'!C162:CY376,101,0)</f>
        <v>1</v>
      </c>
      <c r="D167" s="139">
        <f>VLOOKUP(A167,'Data Vlaue (Cr)'!C162:CZ376,102,0)</f>
        <v>8.9999999999999998E-4</v>
      </c>
      <c r="E167" s="91">
        <f>VLOOKUP($A167,'Data Vlaue (Cr)'!$C:$FB,75)</f>
        <v>1315</v>
      </c>
      <c r="F167" s="91">
        <f>VLOOKUP($A167,'Data Vlaue (Cr)'!$C:$FB,77)</f>
        <v>-5</v>
      </c>
      <c r="G167" s="92">
        <f>VLOOKUP(A167,'Data Vlaue (Cr)'!C162:CB376,78,0)</f>
        <v>-3.5000000000000001E-3</v>
      </c>
      <c r="H167" s="91">
        <f>VLOOKUP($A167,'Data Vlaue (Cr)'!$C:$FB,91)</f>
        <v>150</v>
      </c>
      <c r="I167" s="91">
        <f>VLOOKUP($A167,'Data Vlaue (Cr)'!$C:$FB,93)</f>
        <v>3</v>
      </c>
      <c r="J167" s="92">
        <f>VLOOKUP($A167,'Data Vlaue (Cr)'!$C:$FB,94)</f>
        <v>2.35E-2</v>
      </c>
      <c r="K167" s="91">
        <f>VLOOKUP($A167,'Data Vlaue (Cr)'!$C:$FB,95)</f>
        <v>110</v>
      </c>
      <c r="L167" s="91">
        <f>VLOOKUP($A167,'Data Vlaue (Cr)'!$C:$FB,97)</f>
        <v>3</v>
      </c>
      <c r="M167" s="92">
        <f>VLOOKUP($A167,'Data Vlaue (Cr)'!$C:$FB,98)</f>
        <v>2.3599999999999999E-2</v>
      </c>
      <c r="N167" s="91">
        <f>VLOOKUP($A167,'Data Vlaue (Cr)'!$C:$FB,79)</f>
        <v>1306</v>
      </c>
      <c r="O167" s="92">
        <f>VLOOKUP($A167,'Data Vlaue (Cr)'!$C:$FB,82)</f>
        <v>-3.8E-3</v>
      </c>
    </row>
    <row r="168" spans="1:15" x14ac:dyDescent="0.25">
      <c r="A168" s="97" t="str">
        <f>'Data Vlaue (Cr)'!C163</f>
        <v>PIIND</v>
      </c>
      <c r="B168" s="142">
        <f>VLOOKUP(A168,'Data Vlaue (Cr)'!C163:CW377,99,0)</f>
        <v>820</v>
      </c>
      <c r="C168" s="90">
        <f>VLOOKUP(A168,'Data Vlaue (Cr)'!C163:CY377,101,0)</f>
        <v>43</v>
      </c>
      <c r="D168" s="139">
        <f>VLOOKUP(A168,'Data Vlaue (Cr)'!C163:CZ377,102,0)</f>
        <v>5.5399999999999998E-2</v>
      </c>
      <c r="E168" s="91">
        <f>VLOOKUP($A168,'Data Vlaue (Cr)'!$C:$FB,75)</f>
        <v>631</v>
      </c>
      <c r="F168" s="91">
        <f>VLOOKUP($A168,'Data Vlaue (Cr)'!$C:$FB,77)</f>
        <v>35</v>
      </c>
      <c r="G168" s="92">
        <f>VLOOKUP(A168,'Data Vlaue (Cr)'!C163:CB377,78,0)</f>
        <v>5.8900000000000001E-2</v>
      </c>
      <c r="H168" s="91">
        <f>VLOOKUP($A168,'Data Vlaue (Cr)'!$C:$FB,91)</f>
        <v>99</v>
      </c>
      <c r="I168" s="91">
        <f>VLOOKUP($A168,'Data Vlaue (Cr)'!$C:$FB,93)</f>
        <v>2</v>
      </c>
      <c r="J168" s="92">
        <f>VLOOKUP($A168,'Data Vlaue (Cr)'!$C:$FB,94)</f>
        <v>2.2200000000000001E-2</v>
      </c>
      <c r="K168" s="91">
        <f>VLOOKUP($A168,'Data Vlaue (Cr)'!$C:$FB,95)</f>
        <v>90</v>
      </c>
      <c r="L168" s="91">
        <f>VLOOKUP($A168,'Data Vlaue (Cr)'!$C:$FB,97)</f>
        <v>6</v>
      </c>
      <c r="M168" s="92">
        <f>VLOOKUP($A168,'Data Vlaue (Cr)'!$C:$FB,98)</f>
        <v>6.9400000000000003E-2</v>
      </c>
      <c r="N168" s="91">
        <f>VLOOKUP($A168,'Data Vlaue (Cr)'!$C:$FB,79)</f>
        <v>619</v>
      </c>
      <c r="O168" s="92">
        <f>VLOOKUP($A168,'Data Vlaue (Cr)'!$C:$FB,82)</f>
        <v>5.5E-2</v>
      </c>
    </row>
    <row r="169" spans="1:15" x14ac:dyDescent="0.25">
      <c r="A169" s="97" t="str">
        <f>'Data Vlaue (Cr)'!C164</f>
        <v>PNB</v>
      </c>
      <c r="B169" s="142">
        <f>VLOOKUP(A169,'Data Vlaue (Cr)'!C164:CW378,99,0)</f>
        <v>5092</v>
      </c>
      <c r="C169" s="90">
        <f>VLOOKUP(A169,'Data Vlaue (Cr)'!C164:CY378,101,0)</f>
        <v>183</v>
      </c>
      <c r="D169" s="139">
        <f>VLOOKUP(A169,'Data Vlaue (Cr)'!C164:CZ378,102,0)</f>
        <v>3.7199999999999997E-2</v>
      </c>
      <c r="E169" s="91">
        <f>VLOOKUP($A169,'Data Vlaue (Cr)'!$C:$FB,75)</f>
        <v>2972</v>
      </c>
      <c r="F169" s="91">
        <f>VLOOKUP($A169,'Data Vlaue (Cr)'!$C:$FB,77)</f>
        <v>48</v>
      </c>
      <c r="G169" s="92">
        <f>VLOOKUP(A169,'Data Vlaue (Cr)'!C164:CB378,78,0)</f>
        <v>1.6400000000000001E-2</v>
      </c>
      <c r="H169" s="91">
        <f>VLOOKUP($A169,'Data Vlaue (Cr)'!$C:$FB,91)</f>
        <v>1243</v>
      </c>
      <c r="I169" s="91">
        <f>VLOOKUP($A169,'Data Vlaue (Cr)'!$C:$FB,93)</f>
        <v>104</v>
      </c>
      <c r="J169" s="92">
        <f>VLOOKUP($A169,'Data Vlaue (Cr)'!$C:$FB,94)</f>
        <v>9.1499999999999998E-2</v>
      </c>
      <c r="K169" s="91">
        <f>VLOOKUP($A169,'Data Vlaue (Cr)'!$C:$FB,95)</f>
        <v>877</v>
      </c>
      <c r="L169" s="91">
        <f>VLOOKUP($A169,'Data Vlaue (Cr)'!$C:$FB,97)</f>
        <v>30</v>
      </c>
      <c r="M169" s="92">
        <f>VLOOKUP($A169,'Data Vlaue (Cr)'!$C:$FB,98)</f>
        <v>3.5799999999999998E-2</v>
      </c>
      <c r="N169" s="91">
        <f>VLOOKUP($A169,'Data Vlaue (Cr)'!$C:$FB,79)</f>
        <v>2859</v>
      </c>
      <c r="O169" s="92">
        <f>VLOOKUP($A169,'Data Vlaue (Cr)'!$C:$FB,82)</f>
        <v>1.24E-2</v>
      </c>
    </row>
    <row r="170" spans="1:15" x14ac:dyDescent="0.25">
      <c r="A170" s="97" t="str">
        <f>'Data Vlaue (Cr)'!C165</f>
        <v>PNBHOUSING</v>
      </c>
      <c r="B170" s="142">
        <f>VLOOKUP(A170,'Data Vlaue (Cr)'!C165:CW379,99,0)</f>
        <v>1849</v>
      </c>
      <c r="C170" s="90">
        <f>VLOOKUP(A170,'Data Vlaue (Cr)'!C165:CY379,101,0)</f>
        <v>26</v>
      </c>
      <c r="D170" s="139">
        <f>VLOOKUP(A170,'Data Vlaue (Cr)'!C165:CZ379,102,0)</f>
        <v>1.43E-2</v>
      </c>
      <c r="E170" s="91">
        <f>VLOOKUP($A170,'Data Vlaue (Cr)'!$C:$FB,75)</f>
        <v>1363</v>
      </c>
      <c r="F170" s="91">
        <f>VLOOKUP($A170,'Data Vlaue (Cr)'!$C:$FB,77)</f>
        <v>-7</v>
      </c>
      <c r="G170" s="92">
        <f>VLOOKUP(A170,'Data Vlaue (Cr)'!C165:CB379,78,0)</f>
        <v>-5.3E-3</v>
      </c>
      <c r="H170" s="91">
        <f>VLOOKUP($A170,'Data Vlaue (Cr)'!$C:$FB,91)</f>
        <v>296</v>
      </c>
      <c r="I170" s="91">
        <f>VLOOKUP($A170,'Data Vlaue (Cr)'!$C:$FB,93)</f>
        <v>21</v>
      </c>
      <c r="J170" s="92">
        <f>VLOOKUP($A170,'Data Vlaue (Cr)'!$C:$FB,94)</f>
        <v>7.8100000000000003E-2</v>
      </c>
      <c r="K170" s="91">
        <f>VLOOKUP($A170,'Data Vlaue (Cr)'!$C:$FB,95)</f>
        <v>191</v>
      </c>
      <c r="L170" s="91">
        <f>VLOOKUP($A170,'Data Vlaue (Cr)'!$C:$FB,97)</f>
        <v>12</v>
      </c>
      <c r="M170" s="92">
        <f>VLOOKUP($A170,'Data Vlaue (Cr)'!$C:$FB,98)</f>
        <v>6.6400000000000001E-2</v>
      </c>
      <c r="N170" s="91">
        <f>VLOOKUP($A170,'Data Vlaue (Cr)'!$C:$FB,79)</f>
        <v>1341</v>
      </c>
      <c r="O170" s="92">
        <f>VLOOKUP($A170,'Data Vlaue (Cr)'!$C:$FB,82)</f>
        <v>-8.6999999999999994E-3</v>
      </c>
    </row>
    <row r="171" spans="1:15" x14ac:dyDescent="0.25">
      <c r="A171" s="97" t="str">
        <f>'Data Vlaue (Cr)'!C166</f>
        <v>POLICYBZR</v>
      </c>
      <c r="B171" s="142">
        <f>VLOOKUP(A171,'Data Vlaue (Cr)'!C166:CW380,99,0)</f>
        <v>1603</v>
      </c>
      <c r="C171" s="90">
        <f>VLOOKUP(A171,'Data Vlaue (Cr)'!C166:CY380,101,0)</f>
        <v>2</v>
      </c>
      <c r="D171" s="139">
        <f>VLOOKUP(A171,'Data Vlaue (Cr)'!C166:CZ380,102,0)</f>
        <v>1E-3</v>
      </c>
      <c r="E171" s="91">
        <f>VLOOKUP($A171,'Data Vlaue (Cr)'!$C:$FB,75)</f>
        <v>1315</v>
      </c>
      <c r="F171" s="91">
        <f>VLOOKUP($A171,'Data Vlaue (Cr)'!$C:$FB,77)</f>
        <v>2</v>
      </c>
      <c r="G171" s="92">
        <f>VLOOKUP(A171,'Data Vlaue (Cr)'!C166:CB380,78,0)</f>
        <v>1.6000000000000001E-3</v>
      </c>
      <c r="H171" s="91">
        <f>VLOOKUP($A171,'Data Vlaue (Cr)'!$C:$FB,91)</f>
        <v>150</v>
      </c>
      <c r="I171" s="91">
        <f>VLOOKUP($A171,'Data Vlaue (Cr)'!$C:$FB,93)</f>
        <v>13</v>
      </c>
      <c r="J171" s="92">
        <f>VLOOKUP($A171,'Data Vlaue (Cr)'!$C:$FB,94)</f>
        <v>9.3799999999999994E-2</v>
      </c>
      <c r="K171" s="91">
        <f>VLOOKUP($A171,'Data Vlaue (Cr)'!$C:$FB,95)</f>
        <v>139</v>
      </c>
      <c r="L171" s="91">
        <f>VLOOKUP($A171,'Data Vlaue (Cr)'!$C:$FB,97)</f>
        <v>-13</v>
      </c>
      <c r="M171" s="92">
        <f>VLOOKUP($A171,'Data Vlaue (Cr)'!$C:$FB,98)</f>
        <v>-8.8099999999999998E-2</v>
      </c>
      <c r="N171" s="91">
        <f>VLOOKUP($A171,'Data Vlaue (Cr)'!$C:$FB,79)</f>
        <v>1307</v>
      </c>
      <c r="O171" s="92">
        <f>VLOOKUP($A171,'Data Vlaue (Cr)'!$C:$FB,82)</f>
        <v>1.2999999999999999E-3</v>
      </c>
    </row>
    <row r="172" spans="1:15" x14ac:dyDescent="0.25">
      <c r="A172" s="97" t="str">
        <f>'Data Vlaue (Cr)'!C167</f>
        <v>POLYCAB</v>
      </c>
      <c r="B172" s="142">
        <f>VLOOKUP(A172,'Data Vlaue (Cr)'!C167:CW381,99,0)</f>
        <v>2011</v>
      </c>
      <c r="C172" s="90">
        <f>VLOOKUP(A172,'Data Vlaue (Cr)'!C167:CY381,101,0)</f>
        <v>162</v>
      </c>
      <c r="D172" s="139">
        <f>VLOOKUP(A172,'Data Vlaue (Cr)'!C167:CZ381,102,0)</f>
        <v>8.7599999999999997E-2</v>
      </c>
      <c r="E172" s="91">
        <f>VLOOKUP($A172,'Data Vlaue (Cr)'!$C:$FB,75)</f>
        <v>1352</v>
      </c>
      <c r="F172" s="91">
        <f>VLOOKUP($A172,'Data Vlaue (Cr)'!$C:$FB,77)</f>
        <v>-29</v>
      </c>
      <c r="G172" s="92">
        <f>VLOOKUP(A172,'Data Vlaue (Cr)'!C167:CB381,78,0)</f>
        <v>-2.0899999999999998E-2</v>
      </c>
      <c r="H172" s="91">
        <f>VLOOKUP($A172,'Data Vlaue (Cr)'!$C:$FB,91)</f>
        <v>405</v>
      </c>
      <c r="I172" s="91">
        <f>VLOOKUP($A172,'Data Vlaue (Cr)'!$C:$FB,93)</f>
        <v>113</v>
      </c>
      <c r="J172" s="92">
        <f>VLOOKUP($A172,'Data Vlaue (Cr)'!$C:$FB,94)</f>
        <v>0.38550000000000001</v>
      </c>
      <c r="K172" s="91">
        <f>VLOOKUP($A172,'Data Vlaue (Cr)'!$C:$FB,95)</f>
        <v>254</v>
      </c>
      <c r="L172" s="91">
        <f>VLOOKUP($A172,'Data Vlaue (Cr)'!$C:$FB,97)</f>
        <v>78</v>
      </c>
      <c r="M172" s="92">
        <f>VLOOKUP($A172,'Data Vlaue (Cr)'!$C:$FB,98)</f>
        <v>0.44479999999999997</v>
      </c>
      <c r="N172" s="91">
        <f>VLOOKUP($A172,'Data Vlaue (Cr)'!$C:$FB,79)</f>
        <v>1328</v>
      </c>
      <c r="O172" s="92">
        <f>VLOOKUP($A172,'Data Vlaue (Cr)'!$C:$FB,82)</f>
        <v>-2.3300000000000001E-2</v>
      </c>
    </row>
    <row r="173" spans="1:15" x14ac:dyDescent="0.25">
      <c r="A173" s="97" t="str">
        <f>'Data Vlaue (Cr)'!C168</f>
        <v>POWERGRID</v>
      </c>
      <c r="B173" s="142">
        <f>VLOOKUP(A173,'Data Vlaue (Cr)'!C168:CW382,99,0)</f>
        <v>3236</v>
      </c>
      <c r="C173" s="90">
        <f>VLOOKUP(A173,'Data Vlaue (Cr)'!C168:CY382,101,0)</f>
        <v>43</v>
      </c>
      <c r="D173" s="139">
        <f>VLOOKUP(A173,'Data Vlaue (Cr)'!C168:CZ382,102,0)</f>
        <v>1.3599999999999999E-2</v>
      </c>
      <c r="E173" s="91">
        <f>VLOOKUP($A173,'Data Vlaue (Cr)'!$C:$FB,75)</f>
        <v>2108</v>
      </c>
      <c r="F173" s="91">
        <f>VLOOKUP($A173,'Data Vlaue (Cr)'!$C:$FB,77)</f>
        <v>-54</v>
      </c>
      <c r="G173" s="92">
        <f>VLOOKUP(A173,'Data Vlaue (Cr)'!C168:CB382,78,0)</f>
        <v>-2.5000000000000001E-2</v>
      </c>
      <c r="H173" s="91">
        <f>VLOOKUP($A173,'Data Vlaue (Cr)'!$C:$FB,91)</f>
        <v>671</v>
      </c>
      <c r="I173" s="91">
        <f>VLOOKUP($A173,'Data Vlaue (Cr)'!$C:$FB,93)</f>
        <v>72</v>
      </c>
      <c r="J173" s="92">
        <f>VLOOKUP($A173,'Data Vlaue (Cr)'!$C:$FB,94)</f>
        <v>0.12</v>
      </c>
      <c r="K173" s="91">
        <f>VLOOKUP($A173,'Data Vlaue (Cr)'!$C:$FB,95)</f>
        <v>456</v>
      </c>
      <c r="L173" s="91">
        <f>VLOOKUP($A173,'Data Vlaue (Cr)'!$C:$FB,97)</f>
        <v>25</v>
      </c>
      <c r="M173" s="92">
        <f>VLOOKUP($A173,'Data Vlaue (Cr)'!$C:$FB,98)</f>
        <v>5.8900000000000001E-2</v>
      </c>
      <c r="N173" s="91">
        <f>VLOOKUP($A173,'Data Vlaue (Cr)'!$C:$FB,79)</f>
        <v>2042</v>
      </c>
      <c r="O173" s="92">
        <f>VLOOKUP($A173,'Data Vlaue (Cr)'!$C:$FB,82)</f>
        <v>-2.8500000000000001E-2</v>
      </c>
    </row>
    <row r="174" spans="1:15" x14ac:dyDescent="0.25">
      <c r="A174" s="97" t="str">
        <f>'Data Vlaue (Cr)'!C169</f>
        <v>POWERINDIA</v>
      </c>
      <c r="B174" s="142">
        <f>VLOOKUP(A174,'Data Vlaue (Cr)'!C169:CW383,99,0)</f>
        <v>73</v>
      </c>
      <c r="C174" s="90">
        <f>VLOOKUP(A174,'Data Vlaue (Cr)'!C169:CY383,101,0)</f>
        <v>21</v>
      </c>
      <c r="D174" s="139">
        <f>VLOOKUP(A174,'Data Vlaue (Cr)'!C169:CZ383,102,0)</f>
        <v>0.41460000000000002</v>
      </c>
      <c r="E174" s="91">
        <f>VLOOKUP($A174,'Data Vlaue (Cr)'!$C:$FB,75)</f>
        <v>36</v>
      </c>
      <c r="F174" s="91">
        <f>VLOOKUP($A174,'Data Vlaue (Cr)'!$C:$FB,77)</f>
        <v>11</v>
      </c>
      <c r="G174" s="92">
        <f>VLOOKUP(A174,'Data Vlaue (Cr)'!C169:CB383,78,0)</f>
        <v>0.44529999999999997</v>
      </c>
      <c r="H174" s="91">
        <f>VLOOKUP($A174,'Data Vlaue (Cr)'!$C:$FB,91)</f>
        <v>31</v>
      </c>
      <c r="I174" s="91">
        <f>VLOOKUP($A174,'Data Vlaue (Cr)'!$C:$FB,93)</f>
        <v>8</v>
      </c>
      <c r="J174" s="92">
        <f>VLOOKUP($A174,'Data Vlaue (Cr)'!$C:$FB,94)</f>
        <v>0.32169999999999999</v>
      </c>
      <c r="K174" s="91">
        <f>VLOOKUP($A174,'Data Vlaue (Cr)'!$C:$FB,95)</f>
        <v>5</v>
      </c>
      <c r="L174" s="91">
        <f>VLOOKUP($A174,'Data Vlaue (Cr)'!$C:$FB,97)</f>
        <v>3</v>
      </c>
      <c r="M174" s="92">
        <f>VLOOKUP($A174,'Data Vlaue (Cr)'!$C:$FB,98)</f>
        <v>0.93330000000000002</v>
      </c>
      <c r="N174" s="91">
        <f>VLOOKUP($A174,'Data Vlaue (Cr)'!$C:$FB,79)</f>
        <v>36</v>
      </c>
      <c r="O174" s="92">
        <f>VLOOKUP($A174,'Data Vlaue (Cr)'!$C:$FB,82)</f>
        <v>0.4481</v>
      </c>
    </row>
    <row r="175" spans="1:15" x14ac:dyDescent="0.25">
      <c r="A175" s="97" t="str">
        <f>'Data Vlaue (Cr)'!C170</f>
        <v>PPLPHARMA</v>
      </c>
      <c r="B175" s="142">
        <f>VLOOKUP(A175,'Data Vlaue (Cr)'!C170:CW384,99,0)</f>
        <v>606</v>
      </c>
      <c r="C175" s="90">
        <f>VLOOKUP(A175,'Data Vlaue (Cr)'!C170:CY384,101,0)</f>
        <v>30</v>
      </c>
      <c r="D175" s="139">
        <f>VLOOKUP(A175,'Data Vlaue (Cr)'!C170:CZ384,102,0)</f>
        <v>5.2600000000000001E-2</v>
      </c>
      <c r="E175" s="91">
        <f>VLOOKUP($A175,'Data Vlaue (Cr)'!$C:$FB,75)</f>
        <v>341</v>
      </c>
      <c r="F175" s="91">
        <f>VLOOKUP($A175,'Data Vlaue (Cr)'!$C:$FB,77)</f>
        <v>1</v>
      </c>
      <c r="G175" s="92">
        <f>VLOOKUP(A175,'Data Vlaue (Cr)'!C170:CB384,78,0)</f>
        <v>2.3E-3</v>
      </c>
      <c r="H175" s="91">
        <f>VLOOKUP($A175,'Data Vlaue (Cr)'!$C:$FB,91)</f>
        <v>187</v>
      </c>
      <c r="I175" s="91">
        <f>VLOOKUP($A175,'Data Vlaue (Cr)'!$C:$FB,93)</f>
        <v>21</v>
      </c>
      <c r="J175" s="92">
        <f>VLOOKUP($A175,'Data Vlaue (Cr)'!$C:$FB,94)</f>
        <v>0.12529999999999999</v>
      </c>
      <c r="K175" s="91">
        <f>VLOOKUP($A175,'Data Vlaue (Cr)'!$C:$FB,95)</f>
        <v>79</v>
      </c>
      <c r="L175" s="91">
        <f>VLOOKUP($A175,'Data Vlaue (Cr)'!$C:$FB,97)</f>
        <v>9</v>
      </c>
      <c r="M175" s="92">
        <f>VLOOKUP($A175,'Data Vlaue (Cr)'!$C:$FB,98)</f>
        <v>0.1239</v>
      </c>
      <c r="N175" s="91">
        <f>VLOOKUP($A175,'Data Vlaue (Cr)'!$C:$FB,79)</f>
        <v>323</v>
      </c>
      <c r="O175" s="92">
        <f>VLOOKUP($A175,'Data Vlaue (Cr)'!$C:$FB,82)</f>
        <v>-1.1000000000000001E-3</v>
      </c>
    </row>
    <row r="176" spans="1:15" x14ac:dyDescent="0.25">
      <c r="A176" s="97" t="str">
        <f>'Data Vlaue (Cr)'!C171</f>
        <v>PRESTIGE</v>
      </c>
      <c r="B176" s="142">
        <f>VLOOKUP(A176,'Data Vlaue (Cr)'!C171:CW385,99,0)</f>
        <v>988</v>
      </c>
      <c r="C176" s="90">
        <f>VLOOKUP(A176,'Data Vlaue (Cr)'!C171:CY385,101,0)</f>
        <v>44</v>
      </c>
      <c r="D176" s="139">
        <f>VLOOKUP(A176,'Data Vlaue (Cr)'!C171:CZ385,102,0)</f>
        <v>4.6300000000000001E-2</v>
      </c>
      <c r="E176" s="91">
        <f>VLOOKUP($A176,'Data Vlaue (Cr)'!$C:$FB,75)</f>
        <v>717</v>
      </c>
      <c r="F176" s="91">
        <f>VLOOKUP($A176,'Data Vlaue (Cr)'!$C:$FB,77)</f>
        <v>19</v>
      </c>
      <c r="G176" s="92">
        <f>VLOOKUP(A176,'Data Vlaue (Cr)'!C171:CB385,78,0)</f>
        <v>2.6800000000000001E-2</v>
      </c>
      <c r="H176" s="91">
        <f>VLOOKUP($A176,'Data Vlaue (Cr)'!$C:$FB,91)</f>
        <v>145</v>
      </c>
      <c r="I176" s="91">
        <f>VLOOKUP($A176,'Data Vlaue (Cr)'!$C:$FB,93)</f>
        <v>20</v>
      </c>
      <c r="J176" s="92">
        <f>VLOOKUP($A176,'Data Vlaue (Cr)'!$C:$FB,94)</f>
        <v>0.16039999999999999</v>
      </c>
      <c r="K176" s="91">
        <f>VLOOKUP($A176,'Data Vlaue (Cr)'!$C:$FB,95)</f>
        <v>126</v>
      </c>
      <c r="L176" s="91">
        <f>VLOOKUP($A176,'Data Vlaue (Cr)'!$C:$FB,97)</f>
        <v>5</v>
      </c>
      <c r="M176" s="92">
        <f>VLOOKUP($A176,'Data Vlaue (Cr)'!$C:$FB,98)</f>
        <v>4.1000000000000002E-2</v>
      </c>
      <c r="N176" s="91">
        <f>VLOOKUP($A176,'Data Vlaue (Cr)'!$C:$FB,79)</f>
        <v>709</v>
      </c>
      <c r="O176" s="92">
        <f>VLOOKUP($A176,'Data Vlaue (Cr)'!$C:$FB,82)</f>
        <v>2.4500000000000001E-2</v>
      </c>
    </row>
    <row r="177" spans="1:15" x14ac:dyDescent="0.25">
      <c r="A177" s="97" t="str">
        <f>'Data Vlaue (Cr)'!C172</f>
        <v>RBLBANK</v>
      </c>
      <c r="B177" s="142">
        <f>VLOOKUP(A177,'Data Vlaue (Cr)'!C172:CW386,99,0)</f>
        <v>3511</v>
      </c>
      <c r="C177" s="90">
        <f>VLOOKUP(A177,'Data Vlaue (Cr)'!C172:CY386,101,0)</f>
        <v>-61</v>
      </c>
      <c r="D177" s="139">
        <f>VLOOKUP(A177,'Data Vlaue (Cr)'!C172:CZ386,102,0)</f>
        <v>-1.7000000000000001E-2</v>
      </c>
      <c r="E177" s="91">
        <f>VLOOKUP($A177,'Data Vlaue (Cr)'!$C:$FB,75)</f>
        <v>2503</v>
      </c>
      <c r="F177" s="91">
        <f>VLOOKUP($A177,'Data Vlaue (Cr)'!$C:$FB,77)</f>
        <v>-34</v>
      </c>
      <c r="G177" s="92">
        <f>VLOOKUP(A177,'Data Vlaue (Cr)'!C172:CB386,78,0)</f>
        <v>-1.3299999999999999E-2</v>
      </c>
      <c r="H177" s="91">
        <f>VLOOKUP($A177,'Data Vlaue (Cr)'!$C:$FB,91)</f>
        <v>709</v>
      </c>
      <c r="I177" s="91">
        <f>VLOOKUP($A177,'Data Vlaue (Cr)'!$C:$FB,93)</f>
        <v>-20</v>
      </c>
      <c r="J177" s="92">
        <f>VLOOKUP($A177,'Data Vlaue (Cr)'!$C:$FB,94)</f>
        <v>-2.76E-2</v>
      </c>
      <c r="K177" s="91">
        <f>VLOOKUP($A177,'Data Vlaue (Cr)'!$C:$FB,95)</f>
        <v>300</v>
      </c>
      <c r="L177" s="91">
        <f>VLOOKUP($A177,'Data Vlaue (Cr)'!$C:$FB,97)</f>
        <v>-7</v>
      </c>
      <c r="M177" s="92">
        <f>VLOOKUP($A177,'Data Vlaue (Cr)'!$C:$FB,98)</f>
        <v>-2.2700000000000001E-2</v>
      </c>
      <c r="N177" s="91">
        <f>VLOOKUP($A177,'Data Vlaue (Cr)'!$C:$FB,79)</f>
        <v>2396</v>
      </c>
      <c r="O177" s="92">
        <f>VLOOKUP($A177,'Data Vlaue (Cr)'!$C:$FB,82)</f>
        <v>-1.37E-2</v>
      </c>
    </row>
    <row r="178" spans="1:15" x14ac:dyDescent="0.25">
      <c r="A178" s="97" t="str">
        <f>'Data Vlaue (Cr)'!C173</f>
        <v>RECLTD</v>
      </c>
      <c r="B178" s="142">
        <f>VLOOKUP(A178,'Data Vlaue (Cr)'!C173:CW387,99,0)</f>
        <v>4659</v>
      </c>
      <c r="C178" s="90">
        <f>VLOOKUP(A178,'Data Vlaue (Cr)'!C173:CY387,101,0)</f>
        <v>127</v>
      </c>
      <c r="D178" s="139">
        <f>VLOOKUP(A178,'Data Vlaue (Cr)'!C173:CZ387,102,0)</f>
        <v>2.8000000000000001E-2</v>
      </c>
      <c r="E178" s="91">
        <f>VLOOKUP($A178,'Data Vlaue (Cr)'!$C:$FB,75)</f>
        <v>3014</v>
      </c>
      <c r="F178" s="91">
        <f>VLOOKUP($A178,'Data Vlaue (Cr)'!$C:$FB,77)</f>
        <v>25</v>
      </c>
      <c r="G178" s="92">
        <f>VLOOKUP(A178,'Data Vlaue (Cr)'!C173:CB387,78,0)</f>
        <v>8.5000000000000006E-3</v>
      </c>
      <c r="H178" s="91">
        <f>VLOOKUP($A178,'Data Vlaue (Cr)'!$C:$FB,91)</f>
        <v>835</v>
      </c>
      <c r="I178" s="91">
        <f>VLOOKUP($A178,'Data Vlaue (Cr)'!$C:$FB,93)</f>
        <v>54</v>
      </c>
      <c r="J178" s="92">
        <f>VLOOKUP($A178,'Data Vlaue (Cr)'!$C:$FB,94)</f>
        <v>6.88E-2</v>
      </c>
      <c r="K178" s="91">
        <f>VLOOKUP($A178,'Data Vlaue (Cr)'!$C:$FB,95)</f>
        <v>810</v>
      </c>
      <c r="L178" s="91">
        <f>VLOOKUP($A178,'Data Vlaue (Cr)'!$C:$FB,97)</f>
        <v>48</v>
      </c>
      <c r="M178" s="92">
        <f>VLOOKUP($A178,'Data Vlaue (Cr)'!$C:$FB,98)</f>
        <v>6.2600000000000003E-2</v>
      </c>
      <c r="N178" s="91">
        <f>VLOOKUP($A178,'Data Vlaue (Cr)'!$C:$FB,79)</f>
        <v>2611</v>
      </c>
      <c r="O178" s="92">
        <f>VLOOKUP($A178,'Data Vlaue (Cr)'!$C:$FB,82)</f>
        <v>8.0000000000000004E-4</v>
      </c>
    </row>
    <row r="179" spans="1:15" x14ac:dyDescent="0.25">
      <c r="A179" s="97" t="str">
        <f>'Data Vlaue (Cr)'!C174</f>
        <v>RELIANCE</v>
      </c>
      <c r="B179" s="142">
        <f>VLOOKUP(A179,'Data Vlaue (Cr)'!C174:CW388,99,0)</f>
        <v>29358</v>
      </c>
      <c r="C179" s="90">
        <f>VLOOKUP(A179,'Data Vlaue (Cr)'!C174:CY388,101,0)</f>
        <v>452</v>
      </c>
      <c r="D179" s="139">
        <f>VLOOKUP(A179,'Data Vlaue (Cr)'!C174:CZ388,102,0)</f>
        <v>1.5599999999999999E-2</v>
      </c>
      <c r="E179" s="91">
        <f>VLOOKUP($A179,'Data Vlaue (Cr)'!$C:$FB,75)</f>
        <v>18812</v>
      </c>
      <c r="F179" s="91">
        <f>VLOOKUP($A179,'Data Vlaue (Cr)'!$C:$FB,77)</f>
        <v>170</v>
      </c>
      <c r="G179" s="92">
        <f>VLOOKUP(A179,'Data Vlaue (Cr)'!C174:CB388,78,0)</f>
        <v>9.1000000000000004E-3</v>
      </c>
      <c r="H179" s="91">
        <f>VLOOKUP($A179,'Data Vlaue (Cr)'!$C:$FB,91)</f>
        <v>5875</v>
      </c>
      <c r="I179" s="91">
        <f>VLOOKUP($A179,'Data Vlaue (Cr)'!$C:$FB,93)</f>
        <v>98</v>
      </c>
      <c r="J179" s="92">
        <f>VLOOKUP($A179,'Data Vlaue (Cr)'!$C:$FB,94)</f>
        <v>1.6899999999999998E-2</v>
      </c>
      <c r="K179" s="91">
        <f>VLOOKUP($A179,'Data Vlaue (Cr)'!$C:$FB,95)</f>
        <v>4671</v>
      </c>
      <c r="L179" s="91">
        <f>VLOOKUP($A179,'Data Vlaue (Cr)'!$C:$FB,97)</f>
        <v>184</v>
      </c>
      <c r="M179" s="92">
        <f>VLOOKUP($A179,'Data Vlaue (Cr)'!$C:$FB,98)</f>
        <v>4.1099999999999998E-2</v>
      </c>
      <c r="N179" s="91">
        <f>VLOOKUP($A179,'Data Vlaue (Cr)'!$C:$FB,79)</f>
        <v>17913</v>
      </c>
      <c r="O179" s="92">
        <f>VLOOKUP($A179,'Data Vlaue (Cr)'!$C:$FB,82)</f>
        <v>-2.9999999999999997E-4</v>
      </c>
    </row>
    <row r="180" spans="1:15" x14ac:dyDescent="0.25">
      <c r="A180" s="97" t="str">
        <f>'Data Vlaue (Cr)'!C175</f>
        <v>RVNL</v>
      </c>
      <c r="B180" s="142">
        <f>VLOOKUP(A180,'Data Vlaue (Cr)'!C175:CW389,99,0)</f>
        <v>1749</v>
      </c>
      <c r="C180" s="90">
        <f>VLOOKUP(A180,'Data Vlaue (Cr)'!C175:CY389,101,0)</f>
        <v>55</v>
      </c>
      <c r="D180" s="139">
        <f>VLOOKUP(A180,'Data Vlaue (Cr)'!C175:CZ389,102,0)</f>
        <v>3.2199999999999999E-2</v>
      </c>
      <c r="E180" s="91">
        <f>VLOOKUP($A180,'Data Vlaue (Cr)'!$C:$FB,75)</f>
        <v>1103</v>
      </c>
      <c r="F180" s="91">
        <f>VLOOKUP($A180,'Data Vlaue (Cr)'!$C:$FB,77)</f>
        <v>20</v>
      </c>
      <c r="G180" s="92">
        <f>VLOOKUP(A180,'Data Vlaue (Cr)'!C175:CB389,78,0)</f>
        <v>1.84E-2</v>
      </c>
      <c r="H180" s="91">
        <f>VLOOKUP($A180,'Data Vlaue (Cr)'!$C:$FB,91)</f>
        <v>451</v>
      </c>
      <c r="I180" s="91">
        <f>VLOOKUP($A180,'Data Vlaue (Cr)'!$C:$FB,93)</f>
        <v>29</v>
      </c>
      <c r="J180" s="92">
        <f>VLOOKUP($A180,'Data Vlaue (Cr)'!$C:$FB,94)</f>
        <v>6.9400000000000003E-2</v>
      </c>
      <c r="K180" s="91">
        <f>VLOOKUP($A180,'Data Vlaue (Cr)'!$C:$FB,95)</f>
        <v>194</v>
      </c>
      <c r="L180" s="91">
        <f>VLOOKUP($A180,'Data Vlaue (Cr)'!$C:$FB,97)</f>
        <v>5</v>
      </c>
      <c r="M180" s="92">
        <f>VLOOKUP($A180,'Data Vlaue (Cr)'!$C:$FB,98)</f>
        <v>2.81E-2</v>
      </c>
      <c r="N180" s="91">
        <f>VLOOKUP($A180,'Data Vlaue (Cr)'!$C:$FB,79)</f>
        <v>1010</v>
      </c>
      <c r="O180" s="92">
        <f>VLOOKUP($A180,'Data Vlaue (Cr)'!$C:$FB,82)</f>
        <v>1.2200000000000001E-2</v>
      </c>
    </row>
    <row r="181" spans="1:15" x14ac:dyDescent="0.25">
      <c r="A181" s="97" t="str">
        <f>'Data Vlaue (Cr)'!C176</f>
        <v>SAIL</v>
      </c>
      <c r="B181" s="142">
        <f>VLOOKUP(A181,'Data Vlaue (Cr)'!C176:CW390,99,0)</f>
        <v>3070</v>
      </c>
      <c r="C181" s="90">
        <f>VLOOKUP(A181,'Data Vlaue (Cr)'!C176:CY390,101,0)</f>
        <v>248</v>
      </c>
      <c r="D181" s="139">
        <f>VLOOKUP(A181,'Data Vlaue (Cr)'!C176:CZ390,102,0)</f>
        <v>8.7999999999999995E-2</v>
      </c>
      <c r="E181" s="91">
        <f>VLOOKUP($A181,'Data Vlaue (Cr)'!$C:$FB,75)</f>
        <v>2217</v>
      </c>
      <c r="F181" s="91">
        <f>VLOOKUP($A181,'Data Vlaue (Cr)'!$C:$FB,77)</f>
        <v>128</v>
      </c>
      <c r="G181" s="92">
        <f>VLOOKUP(A181,'Data Vlaue (Cr)'!C176:CB390,78,0)</f>
        <v>6.1400000000000003E-2</v>
      </c>
      <c r="H181" s="91">
        <f>VLOOKUP($A181,'Data Vlaue (Cr)'!$C:$FB,91)</f>
        <v>571</v>
      </c>
      <c r="I181" s="91">
        <f>VLOOKUP($A181,'Data Vlaue (Cr)'!$C:$FB,93)</f>
        <v>82</v>
      </c>
      <c r="J181" s="92">
        <f>VLOOKUP($A181,'Data Vlaue (Cr)'!$C:$FB,94)</f>
        <v>0.1673</v>
      </c>
      <c r="K181" s="91">
        <f>VLOOKUP($A181,'Data Vlaue (Cr)'!$C:$FB,95)</f>
        <v>283</v>
      </c>
      <c r="L181" s="91">
        <f>VLOOKUP($A181,'Data Vlaue (Cr)'!$C:$FB,97)</f>
        <v>38</v>
      </c>
      <c r="M181" s="92">
        <f>VLOOKUP($A181,'Data Vlaue (Cr)'!$C:$FB,98)</f>
        <v>0.15659999999999999</v>
      </c>
      <c r="N181" s="91">
        <f>VLOOKUP($A181,'Data Vlaue (Cr)'!$C:$FB,79)</f>
        <v>2151</v>
      </c>
      <c r="O181" s="92">
        <f>VLOOKUP($A181,'Data Vlaue (Cr)'!$C:$FB,82)</f>
        <v>5.6099999999999997E-2</v>
      </c>
    </row>
    <row r="182" spans="1:15" x14ac:dyDescent="0.25">
      <c r="A182" s="97" t="str">
        <f>'Data Vlaue (Cr)'!C177</f>
        <v>SAMMAANCAP</v>
      </c>
      <c r="B182" s="142">
        <f>VLOOKUP(A182,'Data Vlaue (Cr)'!C177:CW391,99,0)</f>
        <v>2487</v>
      </c>
      <c r="C182" s="90">
        <f>VLOOKUP(A182,'Data Vlaue (Cr)'!C177:CY391,101,0)</f>
        <v>548</v>
      </c>
      <c r="D182" s="139">
        <f>VLOOKUP(A182,'Data Vlaue (Cr)'!C177:CZ391,102,0)</f>
        <v>0.28289999999999998</v>
      </c>
      <c r="E182" s="91">
        <f>VLOOKUP($A182,'Data Vlaue (Cr)'!$C:$FB,75)</f>
        <v>1651</v>
      </c>
      <c r="F182" s="91">
        <f>VLOOKUP($A182,'Data Vlaue (Cr)'!$C:$FB,77)</f>
        <v>231</v>
      </c>
      <c r="G182" s="92">
        <f>VLOOKUP(A182,'Data Vlaue (Cr)'!C177:CB391,78,0)</f>
        <v>0.16250000000000001</v>
      </c>
      <c r="H182" s="91">
        <f>VLOOKUP($A182,'Data Vlaue (Cr)'!$C:$FB,91)</f>
        <v>411</v>
      </c>
      <c r="I182" s="91">
        <f>VLOOKUP($A182,'Data Vlaue (Cr)'!$C:$FB,93)</f>
        <v>143</v>
      </c>
      <c r="J182" s="92">
        <f>VLOOKUP($A182,'Data Vlaue (Cr)'!$C:$FB,94)</f>
        <v>0.53510000000000002</v>
      </c>
      <c r="K182" s="91">
        <f>VLOOKUP($A182,'Data Vlaue (Cr)'!$C:$FB,95)</f>
        <v>425</v>
      </c>
      <c r="L182" s="91">
        <f>VLOOKUP($A182,'Data Vlaue (Cr)'!$C:$FB,97)</f>
        <v>175</v>
      </c>
      <c r="M182" s="92">
        <f>VLOOKUP($A182,'Data Vlaue (Cr)'!$C:$FB,98)</f>
        <v>0.69640000000000002</v>
      </c>
      <c r="N182" s="91">
        <f>VLOOKUP($A182,'Data Vlaue (Cr)'!$C:$FB,79)</f>
        <v>1605</v>
      </c>
      <c r="O182" s="92">
        <f>VLOOKUP($A182,'Data Vlaue (Cr)'!$C:$FB,82)</f>
        <v>0.14949999999999999</v>
      </c>
    </row>
    <row r="183" spans="1:15" x14ac:dyDescent="0.25">
      <c r="A183" s="97" t="str">
        <f>'Data Vlaue (Cr)'!C178</f>
        <v>SBICARD</v>
      </c>
      <c r="B183" s="142">
        <f>VLOOKUP(A183,'Data Vlaue (Cr)'!C178:CW392,99,0)</f>
        <v>2404</v>
      </c>
      <c r="C183" s="90">
        <f>VLOOKUP(A183,'Data Vlaue (Cr)'!C178:CY392,101,0)</f>
        <v>151</v>
      </c>
      <c r="D183" s="139">
        <f>VLOOKUP(A183,'Data Vlaue (Cr)'!C178:CZ392,102,0)</f>
        <v>6.6900000000000001E-2</v>
      </c>
      <c r="E183" s="91">
        <f>VLOOKUP($A183,'Data Vlaue (Cr)'!$C:$FB,75)</f>
        <v>1659</v>
      </c>
      <c r="F183" s="91">
        <f>VLOOKUP($A183,'Data Vlaue (Cr)'!$C:$FB,77)</f>
        <v>97</v>
      </c>
      <c r="G183" s="92">
        <f>VLOOKUP(A183,'Data Vlaue (Cr)'!C178:CB392,78,0)</f>
        <v>6.2199999999999998E-2</v>
      </c>
      <c r="H183" s="91">
        <f>VLOOKUP($A183,'Data Vlaue (Cr)'!$C:$FB,91)</f>
        <v>466</v>
      </c>
      <c r="I183" s="91">
        <f>VLOOKUP($A183,'Data Vlaue (Cr)'!$C:$FB,93)</f>
        <v>9</v>
      </c>
      <c r="J183" s="92">
        <f>VLOOKUP($A183,'Data Vlaue (Cr)'!$C:$FB,94)</f>
        <v>1.8800000000000001E-2</v>
      </c>
      <c r="K183" s="91">
        <f>VLOOKUP($A183,'Data Vlaue (Cr)'!$C:$FB,95)</f>
        <v>279</v>
      </c>
      <c r="L183" s="91">
        <f>VLOOKUP($A183,'Data Vlaue (Cr)'!$C:$FB,97)</f>
        <v>45</v>
      </c>
      <c r="M183" s="92">
        <f>VLOOKUP($A183,'Data Vlaue (Cr)'!$C:$FB,98)</f>
        <v>0.1918</v>
      </c>
      <c r="N183" s="91">
        <f>VLOOKUP($A183,'Data Vlaue (Cr)'!$C:$FB,79)</f>
        <v>1542</v>
      </c>
      <c r="O183" s="92">
        <f>VLOOKUP($A183,'Data Vlaue (Cr)'!$C:$FB,82)</f>
        <v>4.1399999999999999E-2</v>
      </c>
    </row>
    <row r="184" spans="1:15" x14ac:dyDescent="0.25">
      <c r="A184" s="97" t="str">
        <f>'Data Vlaue (Cr)'!C179</f>
        <v>SBILIFE</v>
      </c>
      <c r="B184" s="142">
        <f>VLOOKUP(A184,'Data Vlaue (Cr)'!C179:CW393,99,0)</f>
        <v>1645</v>
      </c>
      <c r="C184" s="90">
        <f>VLOOKUP(A184,'Data Vlaue (Cr)'!C179:CY393,101,0)</f>
        <v>21</v>
      </c>
      <c r="D184" s="139">
        <f>VLOOKUP(A184,'Data Vlaue (Cr)'!C179:CZ393,102,0)</f>
        <v>1.32E-2</v>
      </c>
      <c r="E184" s="91">
        <f>VLOOKUP($A184,'Data Vlaue (Cr)'!$C:$FB,75)</f>
        <v>1196</v>
      </c>
      <c r="F184" s="91">
        <f>VLOOKUP($A184,'Data Vlaue (Cr)'!$C:$FB,77)</f>
        <v>-31</v>
      </c>
      <c r="G184" s="92">
        <f>VLOOKUP(A184,'Data Vlaue (Cr)'!C179:CB393,78,0)</f>
        <v>-2.5499999999999998E-2</v>
      </c>
      <c r="H184" s="91">
        <f>VLOOKUP($A184,'Data Vlaue (Cr)'!$C:$FB,91)</f>
        <v>321</v>
      </c>
      <c r="I184" s="91">
        <f>VLOOKUP($A184,'Data Vlaue (Cr)'!$C:$FB,93)</f>
        <v>40</v>
      </c>
      <c r="J184" s="92">
        <f>VLOOKUP($A184,'Data Vlaue (Cr)'!$C:$FB,94)</f>
        <v>0.14280000000000001</v>
      </c>
      <c r="K184" s="91">
        <f>VLOOKUP($A184,'Data Vlaue (Cr)'!$C:$FB,95)</f>
        <v>128</v>
      </c>
      <c r="L184" s="91">
        <f>VLOOKUP($A184,'Data Vlaue (Cr)'!$C:$FB,97)</f>
        <v>13</v>
      </c>
      <c r="M184" s="92">
        <f>VLOOKUP($A184,'Data Vlaue (Cr)'!$C:$FB,98)</f>
        <v>0.10929999999999999</v>
      </c>
      <c r="N184" s="91">
        <f>VLOOKUP($A184,'Data Vlaue (Cr)'!$C:$FB,79)</f>
        <v>1180</v>
      </c>
      <c r="O184" s="92">
        <f>VLOOKUP($A184,'Data Vlaue (Cr)'!$C:$FB,82)</f>
        <v>-2.7699999999999999E-2</v>
      </c>
    </row>
    <row r="185" spans="1:15" x14ac:dyDescent="0.25">
      <c r="A185" s="97" t="str">
        <f>'Data Vlaue (Cr)'!C180</f>
        <v>SBIN</v>
      </c>
      <c r="B185" s="142">
        <f>VLOOKUP(A185,'Data Vlaue (Cr)'!C180:CW394,99,0)</f>
        <v>14024</v>
      </c>
      <c r="C185" s="90">
        <f>VLOOKUP(A185,'Data Vlaue (Cr)'!C180:CY394,101,0)</f>
        <v>293</v>
      </c>
      <c r="D185" s="139">
        <f>VLOOKUP(A185,'Data Vlaue (Cr)'!C180:CZ394,102,0)</f>
        <v>2.1299999999999999E-2</v>
      </c>
      <c r="E185" s="91">
        <f>VLOOKUP($A185,'Data Vlaue (Cr)'!$C:$FB,75)</f>
        <v>8354</v>
      </c>
      <c r="F185" s="91">
        <f>VLOOKUP($A185,'Data Vlaue (Cr)'!$C:$FB,77)</f>
        <v>-40</v>
      </c>
      <c r="G185" s="92">
        <f>VLOOKUP(A185,'Data Vlaue (Cr)'!C180:CB394,78,0)</f>
        <v>-4.7999999999999996E-3</v>
      </c>
      <c r="H185" s="91">
        <f>VLOOKUP($A185,'Data Vlaue (Cr)'!$C:$FB,91)</f>
        <v>3476</v>
      </c>
      <c r="I185" s="91">
        <f>VLOOKUP($A185,'Data Vlaue (Cr)'!$C:$FB,93)</f>
        <v>163</v>
      </c>
      <c r="J185" s="92">
        <f>VLOOKUP($A185,'Data Vlaue (Cr)'!$C:$FB,94)</f>
        <v>4.9099999999999998E-2</v>
      </c>
      <c r="K185" s="91">
        <f>VLOOKUP($A185,'Data Vlaue (Cr)'!$C:$FB,95)</f>
        <v>2194</v>
      </c>
      <c r="L185" s="91">
        <f>VLOOKUP($A185,'Data Vlaue (Cr)'!$C:$FB,97)</f>
        <v>170</v>
      </c>
      <c r="M185" s="92">
        <f>VLOOKUP($A185,'Data Vlaue (Cr)'!$C:$FB,98)</f>
        <v>8.4199999999999997E-2</v>
      </c>
      <c r="N185" s="91">
        <f>VLOOKUP($A185,'Data Vlaue (Cr)'!$C:$FB,79)</f>
        <v>8196</v>
      </c>
      <c r="O185" s="92">
        <f>VLOOKUP($A185,'Data Vlaue (Cr)'!$C:$FB,82)</f>
        <v>-5.4999999999999997E-3</v>
      </c>
    </row>
    <row r="186" spans="1:15" x14ac:dyDescent="0.25">
      <c r="A186" s="97" t="str">
        <f>'Data Vlaue (Cr)'!C181</f>
        <v>SHREECEM</v>
      </c>
      <c r="B186" s="142">
        <f>VLOOKUP(A186,'Data Vlaue (Cr)'!C181:CW395,99,0)</f>
        <v>800</v>
      </c>
      <c r="C186" s="90">
        <f>VLOOKUP(A186,'Data Vlaue (Cr)'!C181:CY395,101,0)</f>
        <v>17</v>
      </c>
      <c r="D186" s="139">
        <f>VLOOKUP(A186,'Data Vlaue (Cr)'!C181:CZ395,102,0)</f>
        <v>2.2200000000000001E-2</v>
      </c>
      <c r="E186" s="91">
        <f>VLOOKUP($A186,'Data Vlaue (Cr)'!$C:$FB,75)</f>
        <v>672</v>
      </c>
      <c r="F186" s="91">
        <f>VLOOKUP($A186,'Data Vlaue (Cr)'!$C:$FB,77)</f>
        <v>-2</v>
      </c>
      <c r="G186" s="92">
        <f>VLOOKUP(A186,'Data Vlaue (Cr)'!C181:CB395,78,0)</f>
        <v>-2.3E-3</v>
      </c>
      <c r="H186" s="91">
        <f>VLOOKUP($A186,'Data Vlaue (Cr)'!$C:$FB,91)</f>
        <v>75</v>
      </c>
      <c r="I186" s="91">
        <f>VLOOKUP($A186,'Data Vlaue (Cr)'!$C:$FB,93)</f>
        <v>12</v>
      </c>
      <c r="J186" s="92">
        <f>VLOOKUP($A186,'Data Vlaue (Cr)'!$C:$FB,94)</f>
        <v>0.1951</v>
      </c>
      <c r="K186" s="91">
        <f>VLOOKUP($A186,'Data Vlaue (Cr)'!$C:$FB,95)</f>
        <v>53</v>
      </c>
      <c r="L186" s="91">
        <f>VLOOKUP($A186,'Data Vlaue (Cr)'!$C:$FB,97)</f>
        <v>7</v>
      </c>
      <c r="M186" s="92">
        <f>VLOOKUP($A186,'Data Vlaue (Cr)'!$C:$FB,98)</f>
        <v>0.1444</v>
      </c>
      <c r="N186" s="91">
        <f>VLOOKUP($A186,'Data Vlaue (Cr)'!$C:$FB,79)</f>
        <v>667</v>
      </c>
      <c r="O186" s="92">
        <f>VLOOKUP($A186,'Data Vlaue (Cr)'!$C:$FB,82)</f>
        <v>-2.8999999999999998E-3</v>
      </c>
    </row>
    <row r="187" spans="1:15" x14ac:dyDescent="0.25">
      <c r="A187" s="97" t="str">
        <f>'Data Vlaue (Cr)'!C182</f>
        <v>SHRIRAMFIN</v>
      </c>
      <c r="B187" s="142">
        <f>VLOOKUP(A187,'Data Vlaue (Cr)'!C182:CW396,99,0)</f>
        <v>4327</v>
      </c>
      <c r="C187" s="90">
        <f>VLOOKUP(A187,'Data Vlaue (Cr)'!C182:CY396,101,0)</f>
        <v>263</v>
      </c>
      <c r="D187" s="139">
        <f>VLOOKUP(A187,'Data Vlaue (Cr)'!C182:CZ396,102,0)</f>
        <v>6.4699999999999994E-2</v>
      </c>
      <c r="E187" s="91">
        <f>VLOOKUP($A187,'Data Vlaue (Cr)'!$C:$FB,75)</f>
        <v>3344</v>
      </c>
      <c r="F187" s="91">
        <f>VLOOKUP($A187,'Data Vlaue (Cr)'!$C:$FB,77)</f>
        <v>40</v>
      </c>
      <c r="G187" s="92">
        <f>VLOOKUP(A187,'Data Vlaue (Cr)'!C182:CB396,78,0)</f>
        <v>1.2E-2</v>
      </c>
      <c r="H187" s="91">
        <f>VLOOKUP($A187,'Data Vlaue (Cr)'!$C:$FB,91)</f>
        <v>523</v>
      </c>
      <c r="I187" s="91">
        <f>VLOOKUP($A187,'Data Vlaue (Cr)'!$C:$FB,93)</f>
        <v>103</v>
      </c>
      <c r="J187" s="92">
        <f>VLOOKUP($A187,'Data Vlaue (Cr)'!$C:$FB,94)</f>
        <v>0.2447</v>
      </c>
      <c r="K187" s="91">
        <f>VLOOKUP($A187,'Data Vlaue (Cr)'!$C:$FB,95)</f>
        <v>460</v>
      </c>
      <c r="L187" s="91">
        <f>VLOOKUP($A187,'Data Vlaue (Cr)'!$C:$FB,97)</f>
        <v>121</v>
      </c>
      <c r="M187" s="92">
        <f>VLOOKUP($A187,'Data Vlaue (Cr)'!$C:$FB,98)</f>
        <v>0.35570000000000002</v>
      </c>
      <c r="N187" s="91">
        <f>VLOOKUP($A187,'Data Vlaue (Cr)'!$C:$FB,79)</f>
        <v>3266</v>
      </c>
      <c r="O187" s="92">
        <f>VLOOKUP($A187,'Data Vlaue (Cr)'!$C:$FB,82)</f>
        <v>1.11E-2</v>
      </c>
    </row>
    <row r="188" spans="1:15" x14ac:dyDescent="0.25">
      <c r="A188" s="97" t="str">
        <f>'Data Vlaue (Cr)'!C183</f>
        <v>SIEMENS</v>
      </c>
      <c r="B188" s="142">
        <f>VLOOKUP(A188,'Data Vlaue (Cr)'!C183:CW397,99,0)</f>
        <v>1098</v>
      </c>
      <c r="C188" s="90">
        <f>VLOOKUP(A188,'Data Vlaue (Cr)'!C183:CY397,101,0)</f>
        <v>45</v>
      </c>
      <c r="D188" s="139">
        <f>VLOOKUP(A188,'Data Vlaue (Cr)'!C183:CZ397,102,0)</f>
        <v>4.3099999999999999E-2</v>
      </c>
      <c r="E188" s="91">
        <f>VLOOKUP($A188,'Data Vlaue (Cr)'!$C:$FB,75)</f>
        <v>742</v>
      </c>
      <c r="F188" s="91">
        <f>VLOOKUP($A188,'Data Vlaue (Cr)'!$C:$FB,77)</f>
        <v>-17</v>
      </c>
      <c r="G188" s="92">
        <f>VLOOKUP(A188,'Data Vlaue (Cr)'!C183:CB397,78,0)</f>
        <v>-2.2499999999999999E-2</v>
      </c>
      <c r="H188" s="91">
        <f>VLOOKUP($A188,'Data Vlaue (Cr)'!$C:$FB,91)</f>
        <v>230</v>
      </c>
      <c r="I188" s="91">
        <f>VLOOKUP($A188,'Data Vlaue (Cr)'!$C:$FB,93)</f>
        <v>27</v>
      </c>
      <c r="J188" s="92">
        <f>VLOOKUP($A188,'Data Vlaue (Cr)'!$C:$FB,94)</f>
        <v>0.1351</v>
      </c>
      <c r="K188" s="91">
        <f>VLOOKUP($A188,'Data Vlaue (Cr)'!$C:$FB,95)</f>
        <v>126</v>
      </c>
      <c r="L188" s="91">
        <f>VLOOKUP($A188,'Data Vlaue (Cr)'!$C:$FB,97)</f>
        <v>35</v>
      </c>
      <c r="M188" s="92">
        <f>VLOOKUP($A188,'Data Vlaue (Cr)'!$C:$FB,98)</f>
        <v>0.3861</v>
      </c>
      <c r="N188" s="91">
        <f>VLOOKUP($A188,'Data Vlaue (Cr)'!$C:$FB,79)</f>
        <v>731</v>
      </c>
      <c r="O188" s="92">
        <f>VLOOKUP($A188,'Data Vlaue (Cr)'!$C:$FB,82)</f>
        <v>-2.24E-2</v>
      </c>
    </row>
    <row r="189" spans="1:15" x14ac:dyDescent="0.25">
      <c r="A189" s="97" t="str">
        <f>'Data Vlaue (Cr)'!C216</f>
        <v>ZYDUSLIFE</v>
      </c>
      <c r="B189" s="142">
        <f>VLOOKUP(A189,'Data Vlaue (Cr)'!C216:CW398,99,0)</f>
        <v>1193</v>
      </c>
      <c r="C189" s="90">
        <f>VLOOKUP(A189,'Data Vlaue (Cr)'!C216:CY398,101,0)</f>
        <v>34</v>
      </c>
      <c r="D189" s="139">
        <f>VLOOKUP(A189,'Data Vlaue (Cr)'!C216:CZ398,102,0)</f>
        <v>2.93E-2</v>
      </c>
      <c r="E189" s="91">
        <f>VLOOKUP($A189,'Data Vlaue (Cr)'!$C:$FB,75)</f>
        <v>817</v>
      </c>
      <c r="F189" s="91">
        <f>VLOOKUP($A189,'Data Vlaue (Cr)'!$C:$FB,77)</f>
        <v>3</v>
      </c>
      <c r="G189" s="92">
        <f>VLOOKUP(A189,'Data Vlaue (Cr)'!C216:CB398,78,0)</f>
        <v>3.8999999999999998E-3</v>
      </c>
      <c r="H189" s="91">
        <f>VLOOKUP($A189,'Data Vlaue (Cr)'!$C:$FB,91)</f>
        <v>222</v>
      </c>
      <c r="I189" s="91">
        <f>VLOOKUP($A189,'Data Vlaue (Cr)'!$C:$FB,93)</f>
        <v>31</v>
      </c>
      <c r="J189" s="92">
        <f>VLOOKUP($A189,'Data Vlaue (Cr)'!$C:$FB,94)</f>
        <v>0.16370000000000001</v>
      </c>
      <c r="K189" s="91">
        <f>VLOOKUP($A189,'Data Vlaue (Cr)'!$C:$FB,95)</f>
        <v>154</v>
      </c>
      <c r="L189" s="91">
        <f>VLOOKUP($A189,'Data Vlaue (Cr)'!$C:$FB,97)</f>
        <v>0</v>
      </c>
      <c r="M189" s="92">
        <f>VLOOKUP($A189,'Data Vlaue (Cr)'!$C:$FB,98)</f>
        <v>-2.3E-3</v>
      </c>
      <c r="N189" s="91">
        <f>VLOOKUP($A189,'Data Vlaue (Cr)'!$C:$FB,79)</f>
        <v>805</v>
      </c>
      <c r="O189" s="92">
        <f>VLOOKUP($A189,'Data Vlaue (Cr)'!$C:$FB,82)</f>
        <v>4.3E-3</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2383865</v>
      </c>
      <c r="C210" s="123">
        <f>SUM(C7:C209)</f>
        <v>139268</v>
      </c>
      <c r="D210" s="124">
        <f>'Snapshot (Value)'!K225</f>
        <v>6.2042569647029054E-2</v>
      </c>
      <c r="E210" s="123">
        <f>SUM(E7:E209)</f>
        <v>485209</v>
      </c>
      <c r="F210" s="123">
        <f>SUM(F7:F209)</f>
        <v>1382</v>
      </c>
      <c r="G210" s="149">
        <f>F210*100/(E210-F210)</f>
        <v>0.28563928842334141</v>
      </c>
      <c r="H210" s="123">
        <f>SUM(H7:H209)</f>
        <v>854488</v>
      </c>
      <c r="I210" s="123">
        <f>SUM(I7:I209)</f>
        <v>19445</v>
      </c>
      <c r="J210" s="149">
        <f>I210/(H210-I210)</f>
        <v>2.3286225978781931E-2</v>
      </c>
      <c r="K210" s="123">
        <f>SUM(K7:K209)</f>
        <v>1044165</v>
      </c>
      <c r="L210" s="123">
        <f>SUM(L7:L209)</f>
        <v>118439</v>
      </c>
      <c r="M210" s="149">
        <f>L210/(K210-L210)</f>
        <v>0.1279417451816196</v>
      </c>
      <c r="N210" s="123">
        <f>SUM(N7:N209)</f>
        <v>466565</v>
      </c>
      <c r="O210" s="149">
        <f>(N210-FII!V2)/N210</f>
        <v>-0.14376131943030446</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485209</v>
      </c>
      <c r="C217" s="37">
        <f>F210</f>
        <v>1382</v>
      </c>
      <c r="D217" s="39">
        <f>C217/B217</f>
        <v>2.8482571427982579E-3</v>
      </c>
    </row>
    <row r="218" spans="1:15" x14ac:dyDescent="0.25">
      <c r="A218" s="36" t="s">
        <v>404</v>
      </c>
      <c r="B218" s="37">
        <f>H210</f>
        <v>854488</v>
      </c>
      <c r="C218" s="37">
        <f>I210</f>
        <v>19445</v>
      </c>
      <c r="D218" s="150">
        <f>C218/B218</f>
        <v>2.2756317233243766E-2</v>
      </c>
    </row>
    <row r="219" spans="1:15" x14ac:dyDescent="0.25">
      <c r="A219" s="36" t="s">
        <v>405</v>
      </c>
      <c r="B219" s="37">
        <f>K210</f>
        <v>1044165</v>
      </c>
      <c r="C219" s="37">
        <f>L210</f>
        <v>118439</v>
      </c>
      <c r="D219" s="150">
        <f>C219/B219</f>
        <v>0.11342939094874852</v>
      </c>
    </row>
    <row r="220" spans="1:15" x14ac:dyDescent="0.25">
      <c r="A220" s="36" t="s">
        <v>406</v>
      </c>
      <c r="B220" s="37">
        <f>B217+B218+B219</f>
        <v>2383862</v>
      </c>
      <c r="C220" s="37">
        <f>C217+C218+C219</f>
        <v>139266</v>
      </c>
      <c r="D220" s="150">
        <f>C220/B220</f>
        <v>5.8420328022343572E-2</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45936</v>
      </c>
      <c r="C6" s="3">
        <f>B6</f>
        <v>45936</v>
      </c>
      <c r="D6" s="94" t="s">
        <v>328</v>
      </c>
      <c r="E6" s="3">
        <f>B6</f>
        <v>45936</v>
      </c>
      <c r="F6" s="94" t="s">
        <v>322</v>
      </c>
      <c r="G6" s="94" t="s">
        <v>328</v>
      </c>
      <c r="H6" s="3">
        <f>E6</f>
        <v>45936</v>
      </c>
      <c r="I6" s="94" t="s">
        <v>322</v>
      </c>
      <c r="J6" s="94" t="s">
        <v>328</v>
      </c>
    </row>
    <row r="7" spans="1:10" x14ac:dyDescent="0.25">
      <c r="A7" s="101" t="str">
        <f>'NIFTY GRP'!C2</f>
        <v>ADANIENT</v>
      </c>
      <c r="B7" s="140">
        <f>VLOOKUP($A7,'Data shares'!$C:$FA,7)</f>
        <v>2573.5</v>
      </c>
      <c r="C7" s="140">
        <f>VLOOKUP($A7,'Data shares'!$C:$FA,3)</f>
        <v>2588.8000000000002</v>
      </c>
      <c r="D7" s="50">
        <f>VLOOKUP($A7,'Data shares'!$C:$FA,6)*100</f>
        <v>-0.71000000000000008</v>
      </c>
      <c r="E7" s="51">
        <f>VLOOKUP($A7,'Data shares'!$C:$FA,98)</f>
        <v>24341400</v>
      </c>
      <c r="F7" s="51">
        <f>VLOOKUP($A7,'Data shares'!$C:$FA,99)</f>
        <v>23993100</v>
      </c>
      <c r="G7" s="50">
        <f>VLOOKUP($A7,'Data shares'!$C:$FA,101)*100</f>
        <v>1.4500000000000002</v>
      </c>
      <c r="H7" s="49">
        <f>VLOOKUP($A7,'Data Vlaue (Cr)'!$C:$FB,99)</f>
        <v>6302</v>
      </c>
      <c r="I7" s="49">
        <f>VLOOKUP($A7,'Data Vlaue (Cr)'!$C:$FB,100)</f>
        <v>6211</v>
      </c>
      <c r="J7" s="49">
        <f>VLOOKUP($A7,'Data Vlaue (Cr)'!$C:$FB,102)*100</f>
        <v>1.4500000000000002</v>
      </c>
    </row>
    <row r="8" spans="1:10" x14ac:dyDescent="0.25">
      <c r="A8" s="101" t="str">
        <f>'NIFTY GRP'!C3</f>
        <v>ADANIPORTS</v>
      </c>
      <c r="B8" s="140">
        <f>VLOOKUP($A8,'Data shares'!$C:$FA,7)</f>
        <v>1400.5</v>
      </c>
      <c r="C8" s="140">
        <f>VLOOKUP($A8,'Data shares'!$C:$FA,3)</f>
        <v>1408.2</v>
      </c>
      <c r="D8" s="50">
        <f>VLOOKUP($A8,'Data shares'!$C:$FA,6)*100</f>
        <v>-1.38</v>
      </c>
      <c r="E8" s="51">
        <f>VLOOKUP($A8,'Data shares'!$C:$FA,98)</f>
        <v>33718350</v>
      </c>
      <c r="F8" s="51">
        <f>VLOOKUP($A8,'Data shares'!$C:$FA,99)</f>
        <v>32525150</v>
      </c>
      <c r="G8" s="50">
        <f>VLOOKUP($A8,'Data shares'!$C:$FA,101)*100</f>
        <v>3.6700000000000004</v>
      </c>
      <c r="H8" s="49">
        <f>VLOOKUP($A8,'Data Vlaue (Cr)'!$C:$FB,99)</f>
        <v>4748</v>
      </c>
      <c r="I8" s="49">
        <f>VLOOKUP($A8,'Data Vlaue (Cr)'!$C:$FB,100)</f>
        <v>4580</v>
      </c>
      <c r="J8" s="49">
        <f>VLOOKUP($A8,'Data Vlaue (Cr)'!$C:$FB,102)*100</f>
        <v>3.6700000000000004</v>
      </c>
    </row>
    <row r="9" spans="1:10" x14ac:dyDescent="0.25">
      <c r="A9" s="101" t="str">
        <f>'NIFTY GRP'!C4</f>
        <v>APOLLOHOSP</v>
      </c>
      <c r="B9" s="140">
        <f>VLOOKUP($A9,'Data shares'!$C:$FA,7)</f>
        <v>7662</v>
      </c>
      <c r="C9" s="140">
        <f>VLOOKUP($A9,'Data shares'!$C:$FA,3)</f>
        <v>7687.5</v>
      </c>
      <c r="D9" s="50">
        <f>VLOOKUP($A9,'Data shares'!$C:$FA,6)*100</f>
        <v>2.73</v>
      </c>
      <c r="E9" s="51">
        <f>VLOOKUP($A9,'Data shares'!$C:$FA,98)</f>
        <v>3816750</v>
      </c>
      <c r="F9" s="51">
        <f>VLOOKUP($A9,'Data shares'!$C:$FA,99)</f>
        <v>3634000</v>
      </c>
      <c r="G9" s="50">
        <f>VLOOKUP($A9,'Data shares'!$C:$FA,101)*100</f>
        <v>5.0299999999999994</v>
      </c>
      <c r="H9" s="49">
        <f>VLOOKUP($A9,'Data Vlaue (Cr)'!$C:$FB,99)</f>
        <v>2934</v>
      </c>
      <c r="I9" s="49">
        <f>VLOOKUP($A9,'Data Vlaue (Cr)'!$C:$FB,100)</f>
        <v>2794</v>
      </c>
      <c r="J9" s="49">
        <f>VLOOKUP($A9,'Data Vlaue (Cr)'!$C:$FB,102)*100</f>
        <v>5.0299999999999994</v>
      </c>
    </row>
    <row r="10" spans="1:10" x14ac:dyDescent="0.25">
      <c r="A10" s="101" t="str">
        <f>'NIFTY GRP'!C5</f>
        <v>ASIANPAINT</v>
      </c>
      <c r="B10" s="140">
        <f>VLOOKUP($A10,'Data shares'!$C:$FA,7)</f>
        <v>2354.8000000000002</v>
      </c>
      <c r="C10" s="140">
        <f>VLOOKUP($A10,'Data shares'!$C:$FA,3)</f>
        <v>2366.3000000000002</v>
      </c>
      <c r="D10" s="50">
        <f>VLOOKUP($A10,'Data shares'!$C:$FA,6)*100</f>
        <v>0.19</v>
      </c>
      <c r="E10" s="51">
        <f>VLOOKUP($A10,'Data shares'!$C:$FA,98)</f>
        <v>21679750</v>
      </c>
      <c r="F10" s="51">
        <f>VLOOKUP($A10,'Data shares'!$C:$FA,99)</f>
        <v>21122250</v>
      </c>
      <c r="G10" s="50">
        <f>VLOOKUP($A10,'Data shares'!$C:$FA,101)*100</f>
        <v>2.64</v>
      </c>
      <c r="H10" s="49">
        <f>VLOOKUP($A10,'Data Vlaue (Cr)'!$C:$FB,99)</f>
        <v>5130</v>
      </c>
      <c r="I10" s="49">
        <f>VLOOKUP($A10,'Data Vlaue (Cr)'!$C:$FB,100)</f>
        <v>4998</v>
      </c>
      <c r="J10" s="49">
        <f>VLOOKUP($A10,'Data Vlaue (Cr)'!$C:$FB,102)*100</f>
        <v>2.64</v>
      </c>
    </row>
    <row r="11" spans="1:10" x14ac:dyDescent="0.25">
      <c r="A11" s="101" t="str">
        <f>'NIFTY GRP'!C6</f>
        <v>AXISBANK</v>
      </c>
      <c r="B11" s="140">
        <f>VLOOKUP($A11,'Data shares'!$C:$FA,7)</f>
        <v>1212.8</v>
      </c>
      <c r="C11" s="140">
        <f>VLOOKUP($A11,'Data shares'!$C:$FA,3)</f>
        <v>1216.2</v>
      </c>
      <c r="D11" s="50">
        <f>VLOOKUP($A11,'Data shares'!$C:$FA,6)*100</f>
        <v>2.48</v>
      </c>
      <c r="E11" s="51">
        <f>VLOOKUP($A11,'Data shares'!$C:$FA,98)</f>
        <v>119758750</v>
      </c>
      <c r="F11" s="51">
        <f>VLOOKUP($A11,'Data shares'!$C:$FA,99)</f>
        <v>120534375</v>
      </c>
      <c r="G11" s="50">
        <f>VLOOKUP($A11,'Data shares'!$C:$FA,101)*100</f>
        <v>-0.64</v>
      </c>
      <c r="H11" s="49">
        <f>VLOOKUP($A11,'Data Vlaue (Cr)'!$C:$FB,99)</f>
        <v>14565</v>
      </c>
      <c r="I11" s="49">
        <f>VLOOKUP($A11,'Data Vlaue (Cr)'!$C:$FB,100)</f>
        <v>14659</v>
      </c>
      <c r="J11" s="49">
        <f>VLOOKUP($A11,'Data Vlaue (Cr)'!$C:$FB,102)*100</f>
        <v>-0.64</v>
      </c>
    </row>
    <row r="12" spans="1:10" x14ac:dyDescent="0.25">
      <c r="A12" s="101" t="str">
        <f>'NIFTY GRP'!C7</f>
        <v>BAJAJ-AUTO</v>
      </c>
      <c r="B12" s="140">
        <f>VLOOKUP($A12,'Data shares'!$C:$FA,7)</f>
        <v>8792</v>
      </c>
      <c r="C12" s="140">
        <f>VLOOKUP($A12,'Data shares'!$C:$FA,3)</f>
        <v>8841</v>
      </c>
      <c r="D12" s="50">
        <f>VLOOKUP($A12,'Data shares'!$C:$FA,6)*100</f>
        <v>1.22</v>
      </c>
      <c r="E12" s="51">
        <f>VLOOKUP($A12,'Data shares'!$C:$FA,98)</f>
        <v>5646600</v>
      </c>
      <c r="F12" s="51">
        <f>VLOOKUP($A12,'Data shares'!$C:$FA,99)</f>
        <v>5732925</v>
      </c>
      <c r="G12" s="50">
        <f>VLOOKUP($A12,'Data shares'!$C:$FA,101)*100</f>
        <v>-1.51</v>
      </c>
      <c r="H12" s="49">
        <f>VLOOKUP($A12,'Data Vlaue (Cr)'!$C:$FB,99)</f>
        <v>4992</v>
      </c>
      <c r="I12" s="49">
        <f>VLOOKUP($A12,'Data Vlaue (Cr)'!$C:$FB,100)</f>
        <v>5068</v>
      </c>
      <c r="J12" s="49">
        <f>VLOOKUP($A12,'Data Vlaue (Cr)'!$C:$FB,102)*100</f>
        <v>-1.51</v>
      </c>
    </row>
    <row r="13" spans="1:10" x14ac:dyDescent="0.25">
      <c r="A13" s="101" t="str">
        <f>'NIFTY GRP'!C8</f>
        <v>BAJAJFINSV</v>
      </c>
      <c r="B13" s="140">
        <f>VLOOKUP($A13,'Data shares'!$C:$FA,7)</f>
        <v>2033.2</v>
      </c>
      <c r="C13" s="140">
        <f>VLOOKUP($A13,'Data shares'!$C:$FA,3)</f>
        <v>2042.1</v>
      </c>
      <c r="D13" s="50">
        <f>VLOOKUP($A13,'Data shares'!$C:$FA,6)*100</f>
        <v>1.6400000000000001</v>
      </c>
      <c r="E13" s="51">
        <f>VLOOKUP($A13,'Data shares'!$C:$FA,98)</f>
        <v>23497500</v>
      </c>
      <c r="F13" s="51">
        <f>VLOOKUP($A13,'Data shares'!$C:$FA,99)</f>
        <v>22625500</v>
      </c>
      <c r="G13" s="50">
        <f>VLOOKUP($A13,'Data shares'!$C:$FA,101)*100</f>
        <v>3.85</v>
      </c>
      <c r="H13" s="49">
        <f>VLOOKUP($A13,'Data Vlaue (Cr)'!$C:$FB,99)</f>
        <v>4798</v>
      </c>
      <c r="I13" s="49">
        <f>VLOOKUP($A13,'Data Vlaue (Cr)'!$C:$FB,100)</f>
        <v>4620</v>
      </c>
      <c r="J13" s="49">
        <f>VLOOKUP($A13,'Data Vlaue (Cr)'!$C:$FB,102)*100</f>
        <v>3.85</v>
      </c>
    </row>
    <row r="14" spans="1:10" x14ac:dyDescent="0.25">
      <c r="A14" s="101" t="str">
        <f>'NIFTY GRP'!C9</f>
        <v>BAJFINANCE</v>
      </c>
      <c r="B14" s="140">
        <f>VLOOKUP($A14,'Data shares'!$C:$FA,7)</f>
        <v>1008.9</v>
      </c>
      <c r="C14" s="140">
        <f>VLOOKUP($A14,'Data shares'!$C:$FA,3)</f>
        <v>1014.9</v>
      </c>
      <c r="D14" s="50">
        <f>VLOOKUP($A14,'Data shares'!$C:$FA,6)*100</f>
        <v>2.13</v>
      </c>
      <c r="E14" s="51">
        <f>VLOOKUP($A14,'Data shares'!$C:$FA,98)</f>
        <v>120534750</v>
      </c>
      <c r="F14" s="51">
        <f>VLOOKUP($A14,'Data shares'!$C:$FA,99)</f>
        <v>115238250</v>
      </c>
      <c r="G14" s="50">
        <f>VLOOKUP($A14,'Data shares'!$C:$FA,101)*100</f>
        <v>4.5999999999999996</v>
      </c>
      <c r="H14" s="49">
        <f>VLOOKUP($A14,'Data Vlaue (Cr)'!$C:$FB,99)</f>
        <v>12233</v>
      </c>
      <c r="I14" s="49">
        <f>VLOOKUP($A14,'Data Vlaue (Cr)'!$C:$FB,100)</f>
        <v>11696</v>
      </c>
      <c r="J14" s="49">
        <f>VLOOKUP($A14,'Data Vlaue (Cr)'!$C:$FB,102)*100</f>
        <v>4.5999999999999996</v>
      </c>
    </row>
    <row r="15" spans="1:10" x14ac:dyDescent="0.25">
      <c r="A15" s="101" t="str">
        <f>'NIFTY GRP'!C10</f>
        <v>BEL</v>
      </c>
      <c r="B15" s="140">
        <f>VLOOKUP($A15,'Data shares'!$C:$FA,7)</f>
        <v>413.25</v>
      </c>
      <c r="C15" s="140">
        <f>VLOOKUP($A15,'Data shares'!$C:$FA,3)</f>
        <v>415.55</v>
      </c>
      <c r="D15" s="50">
        <f>VLOOKUP($A15,'Data shares'!$C:$FA,6)*100</f>
        <v>0.1</v>
      </c>
      <c r="E15" s="51">
        <f>VLOOKUP($A15,'Data shares'!$C:$FA,98)</f>
        <v>191445900</v>
      </c>
      <c r="F15" s="51">
        <f>VLOOKUP($A15,'Data shares'!$C:$FA,99)</f>
        <v>186672150</v>
      </c>
      <c r="G15" s="50">
        <f>VLOOKUP($A15,'Data shares'!$C:$FA,101)*100</f>
        <v>2.56</v>
      </c>
      <c r="H15" s="49">
        <f>VLOOKUP($A15,'Data Vlaue (Cr)'!$C:$FB,99)</f>
        <v>7956</v>
      </c>
      <c r="I15" s="49">
        <f>VLOOKUP($A15,'Data Vlaue (Cr)'!$C:$FB,100)</f>
        <v>7757</v>
      </c>
      <c r="J15" s="49">
        <f>VLOOKUP($A15,'Data Vlaue (Cr)'!$C:$FB,102)*100</f>
        <v>2.56</v>
      </c>
    </row>
    <row r="16" spans="1:10" x14ac:dyDescent="0.25">
      <c r="A16" s="101" t="str">
        <f>'NIFTY GRP'!C11</f>
        <v>BHARTIARTL</v>
      </c>
      <c r="B16" s="140">
        <f>VLOOKUP($A16,'Data shares'!$C:$FA,7)</f>
        <v>1903.1</v>
      </c>
      <c r="C16" s="140">
        <f>VLOOKUP($A16,'Data shares'!$C:$FA,3)</f>
        <v>1912.2</v>
      </c>
      <c r="D16" s="50">
        <f>VLOOKUP($A16,'Data shares'!$C:$FA,6)*100</f>
        <v>0.43</v>
      </c>
      <c r="E16" s="51">
        <f>VLOOKUP($A16,'Data shares'!$C:$FA,98)</f>
        <v>62137600</v>
      </c>
      <c r="F16" s="51">
        <f>VLOOKUP($A16,'Data shares'!$C:$FA,99)</f>
        <v>61987975</v>
      </c>
      <c r="G16" s="50">
        <f>VLOOKUP($A16,'Data shares'!$C:$FA,101)*100</f>
        <v>0.24</v>
      </c>
      <c r="H16" s="49">
        <f>VLOOKUP($A16,'Data Vlaue (Cr)'!$C:$FB,99)</f>
        <v>11882</v>
      </c>
      <c r="I16" s="49">
        <f>VLOOKUP($A16,'Data Vlaue (Cr)'!$C:$FB,100)</f>
        <v>11853</v>
      </c>
      <c r="J16" s="49">
        <f>VLOOKUP($A16,'Data Vlaue (Cr)'!$C:$FB,102)*100</f>
        <v>0.24</v>
      </c>
    </row>
    <row r="17" spans="1:10" x14ac:dyDescent="0.25">
      <c r="A17" s="101" t="str">
        <f>'NIFTY GRP'!C12</f>
        <v>CIPLA</v>
      </c>
      <c r="B17" s="140">
        <f>VLOOKUP($A17,'Data shares'!$C:$FA,7)</f>
        <v>1513.1</v>
      </c>
      <c r="C17" s="140">
        <f>VLOOKUP($A17,'Data shares'!$C:$FA,3)</f>
        <v>1522.1</v>
      </c>
      <c r="D17" s="50">
        <f>VLOOKUP($A17,'Data shares'!$C:$FA,6)*100</f>
        <v>-0.11</v>
      </c>
      <c r="E17" s="51">
        <f>VLOOKUP($A17,'Data shares'!$C:$FA,98)</f>
        <v>15394875</v>
      </c>
      <c r="F17" s="51">
        <f>VLOOKUP($A17,'Data shares'!$C:$FA,99)</f>
        <v>14830500</v>
      </c>
      <c r="G17" s="50">
        <f>VLOOKUP($A17,'Data shares'!$C:$FA,101)*100</f>
        <v>3.81</v>
      </c>
      <c r="H17" s="49">
        <f>VLOOKUP($A17,'Data Vlaue (Cr)'!$C:$FB,99)</f>
        <v>2343</v>
      </c>
      <c r="I17" s="49">
        <f>VLOOKUP($A17,'Data Vlaue (Cr)'!$C:$FB,100)</f>
        <v>2257</v>
      </c>
      <c r="J17" s="49">
        <f>VLOOKUP($A17,'Data Vlaue (Cr)'!$C:$FB,102)*100</f>
        <v>3.81</v>
      </c>
    </row>
    <row r="18" spans="1:10" x14ac:dyDescent="0.25">
      <c r="A18" s="101" t="str">
        <f>'NIFTY GRP'!C13</f>
        <v>COALINDIA</v>
      </c>
      <c r="B18" s="140">
        <f>VLOOKUP($A18,'Data shares'!$C:$FA,7)</f>
        <v>381.9</v>
      </c>
      <c r="C18" s="140">
        <f>VLOOKUP($A18,'Data shares'!$C:$FA,3)</f>
        <v>384.2</v>
      </c>
      <c r="D18" s="50">
        <f>VLOOKUP($A18,'Data shares'!$C:$FA,6)*100</f>
        <v>-0.18</v>
      </c>
      <c r="E18" s="51">
        <f>VLOOKUP($A18,'Data shares'!$C:$FA,98)</f>
        <v>112428000</v>
      </c>
      <c r="F18" s="51">
        <f>VLOOKUP($A18,'Data shares'!$C:$FA,99)</f>
        <v>107796150</v>
      </c>
      <c r="G18" s="50">
        <f>VLOOKUP($A18,'Data shares'!$C:$FA,101)*100</f>
        <v>4.3</v>
      </c>
      <c r="H18" s="49">
        <f>VLOOKUP($A18,'Data Vlaue (Cr)'!$C:$FB,99)</f>
        <v>4319</v>
      </c>
      <c r="I18" s="49">
        <f>VLOOKUP($A18,'Data Vlaue (Cr)'!$C:$FB,100)</f>
        <v>4142</v>
      </c>
      <c r="J18" s="49">
        <f>VLOOKUP($A18,'Data Vlaue (Cr)'!$C:$FB,102)*100</f>
        <v>4.3</v>
      </c>
    </row>
    <row r="19" spans="1:10" x14ac:dyDescent="0.25">
      <c r="A19" s="101" t="str">
        <f>'NIFTY GRP'!C14</f>
        <v>DRREDDY</v>
      </c>
      <c r="B19" s="140">
        <f>VLOOKUP($A19,'Data shares'!$C:$FA,7)</f>
        <v>1248.5999999999999</v>
      </c>
      <c r="C19" s="140">
        <f>VLOOKUP($A19,'Data shares'!$C:$FA,3)</f>
        <v>1255</v>
      </c>
      <c r="D19" s="50">
        <f>VLOOKUP($A19,'Data shares'!$C:$FA,6)*100</f>
        <v>0.02</v>
      </c>
      <c r="E19" s="51">
        <f>VLOOKUP($A19,'Data shares'!$C:$FA,98)</f>
        <v>18621250</v>
      </c>
      <c r="F19" s="51">
        <f>VLOOKUP($A19,'Data shares'!$C:$FA,99)</f>
        <v>17700625</v>
      </c>
      <c r="G19" s="50">
        <f>VLOOKUP($A19,'Data shares'!$C:$FA,101)*100</f>
        <v>5.2</v>
      </c>
      <c r="H19" s="49">
        <f>VLOOKUP($A19,'Data Vlaue (Cr)'!$C:$FB,99)</f>
        <v>2337</v>
      </c>
      <c r="I19" s="49">
        <f>VLOOKUP($A19,'Data Vlaue (Cr)'!$C:$FB,100)</f>
        <v>2221</v>
      </c>
      <c r="J19" s="49">
        <f>VLOOKUP($A19,'Data Vlaue (Cr)'!$C:$FB,102)*100</f>
        <v>5.2</v>
      </c>
    </row>
    <row r="20" spans="1:10" x14ac:dyDescent="0.25">
      <c r="A20" s="101" t="str">
        <f>'NIFTY GRP'!C15</f>
        <v>EICHERMOT</v>
      </c>
      <c r="B20" s="140">
        <f>VLOOKUP($A20,'Data shares'!$C:$FA,7)</f>
        <v>6880</v>
      </c>
      <c r="C20" s="140">
        <f>VLOOKUP($A20,'Data shares'!$C:$FA,3)</f>
        <v>6919.5</v>
      </c>
      <c r="D20" s="50">
        <f>VLOOKUP($A20,'Data shares'!$C:$FA,6)*100</f>
        <v>-0.65</v>
      </c>
      <c r="E20" s="51">
        <f>VLOOKUP($A20,'Data shares'!$C:$FA,98)</f>
        <v>6787900</v>
      </c>
      <c r="F20" s="51">
        <f>VLOOKUP($A20,'Data shares'!$C:$FA,99)</f>
        <v>6830775</v>
      </c>
      <c r="G20" s="50">
        <f>VLOOKUP($A20,'Data shares'!$C:$FA,101)*100</f>
        <v>-0.63</v>
      </c>
      <c r="H20" s="49">
        <f>VLOOKUP($A20,'Data Vlaue (Cr)'!$C:$FB,99)</f>
        <v>4697</v>
      </c>
      <c r="I20" s="49">
        <f>VLOOKUP($A20,'Data Vlaue (Cr)'!$C:$FB,100)</f>
        <v>4727</v>
      </c>
      <c r="J20" s="49">
        <f>VLOOKUP($A20,'Data Vlaue (Cr)'!$C:$FB,102)*100</f>
        <v>-0.63</v>
      </c>
    </row>
    <row r="21" spans="1:10" x14ac:dyDescent="0.25">
      <c r="A21" s="101" t="str">
        <f>'NIFTY GRP'!C16</f>
        <v>ETERNAL</v>
      </c>
      <c r="B21" s="140">
        <f>VLOOKUP($A21,'Data shares'!$C:$FA,7)</f>
        <v>335.1</v>
      </c>
      <c r="C21" s="140">
        <f>VLOOKUP($A21,'Data shares'!$C:$FA,3)</f>
        <v>337.15</v>
      </c>
      <c r="D21" s="50">
        <f>VLOOKUP($A21,'Data shares'!$C:$FA,6)*100</f>
        <v>2</v>
      </c>
      <c r="E21" s="51">
        <f>VLOOKUP($A21,'Data shares'!$C:$FA,98)</f>
        <v>337758850</v>
      </c>
      <c r="F21" s="51">
        <f>VLOOKUP($A21,'Data shares'!$C:$FA,99)</f>
        <v>335527850</v>
      </c>
      <c r="G21" s="50">
        <f>VLOOKUP($A21,'Data shares'!$C:$FA,101)*100</f>
        <v>0.66</v>
      </c>
      <c r="H21" s="49">
        <f>VLOOKUP($A21,'Data Vlaue (Cr)'!$C:$FB,99)</f>
        <v>11388</v>
      </c>
      <c r="I21" s="49">
        <f>VLOOKUP($A21,'Data Vlaue (Cr)'!$C:$FB,100)</f>
        <v>11312</v>
      </c>
      <c r="J21" s="49">
        <f>VLOOKUP($A21,'Data Vlaue (Cr)'!$C:$FB,102)*100</f>
        <v>0.66</v>
      </c>
    </row>
    <row r="22" spans="1:10" x14ac:dyDescent="0.25">
      <c r="A22" s="101" t="str">
        <f>'NIFTY GRP'!C17</f>
        <v>GRASIM</v>
      </c>
      <c r="B22" s="140">
        <f>VLOOKUP($A22,'Data shares'!$C:$FA,7)</f>
        <v>2807.4</v>
      </c>
      <c r="C22" s="140">
        <f>VLOOKUP($A22,'Data shares'!$C:$FA,3)</f>
        <v>2823.6</v>
      </c>
      <c r="D22" s="50">
        <f>VLOOKUP($A22,'Data shares'!$C:$FA,6)*100</f>
        <v>0.47000000000000003</v>
      </c>
      <c r="E22" s="51">
        <f>VLOOKUP($A22,'Data shares'!$C:$FA,98)</f>
        <v>16453500</v>
      </c>
      <c r="F22" s="51">
        <f>VLOOKUP($A22,'Data shares'!$C:$FA,99)</f>
        <v>16250750</v>
      </c>
      <c r="G22" s="50">
        <f>VLOOKUP($A22,'Data shares'!$C:$FA,101)*100</f>
        <v>1.25</v>
      </c>
      <c r="H22" s="49">
        <f>VLOOKUP($A22,'Data Vlaue (Cr)'!$C:$FB,99)</f>
        <v>4646</v>
      </c>
      <c r="I22" s="49">
        <f>VLOOKUP($A22,'Data Vlaue (Cr)'!$C:$FB,100)</f>
        <v>4589</v>
      </c>
      <c r="J22" s="49">
        <f>VLOOKUP($A22,'Data Vlaue (Cr)'!$C:$FB,102)*100</f>
        <v>1.25</v>
      </c>
    </row>
    <row r="23" spans="1:10" x14ac:dyDescent="0.25">
      <c r="A23" s="101" t="str">
        <f>'NIFTY GRP'!C18</f>
        <v>HCLTECH</v>
      </c>
      <c r="B23" s="140">
        <f>VLOOKUP($A23,'Data shares'!$C:$FA,7)</f>
        <v>1417.7</v>
      </c>
      <c r="C23" s="140">
        <f>VLOOKUP($A23,'Data shares'!$C:$FA,3)</f>
        <v>1414</v>
      </c>
      <c r="D23" s="50">
        <f>VLOOKUP($A23,'Data shares'!$C:$FA,6)*100</f>
        <v>1.95</v>
      </c>
      <c r="E23" s="51">
        <f>VLOOKUP($A23,'Data shares'!$C:$FA,98)</f>
        <v>29956500</v>
      </c>
      <c r="F23" s="51">
        <f>VLOOKUP($A23,'Data shares'!$C:$FA,99)</f>
        <v>29268750</v>
      </c>
      <c r="G23" s="50">
        <f>VLOOKUP($A23,'Data shares'!$C:$FA,101)*100</f>
        <v>2.35</v>
      </c>
      <c r="H23" s="49">
        <f>VLOOKUP($A23,'Data Vlaue (Cr)'!$C:$FB,99)</f>
        <v>4236</v>
      </c>
      <c r="I23" s="49">
        <f>VLOOKUP($A23,'Data Vlaue (Cr)'!$C:$FB,100)</f>
        <v>4139</v>
      </c>
      <c r="J23" s="49">
        <f>VLOOKUP($A23,'Data Vlaue (Cr)'!$C:$FB,102)*100</f>
        <v>2.35</v>
      </c>
    </row>
    <row r="24" spans="1:10" x14ac:dyDescent="0.25">
      <c r="A24" s="101" t="str">
        <f>'NIFTY GRP'!C19</f>
        <v>HDFCBANK</v>
      </c>
      <c r="B24" s="140">
        <f>VLOOKUP($A24,'Data shares'!$C:$FA,7)</f>
        <v>973.45</v>
      </c>
      <c r="C24" s="140">
        <f>VLOOKUP($A24,'Data shares'!$C:$FA,3)</f>
        <v>976.6</v>
      </c>
      <c r="D24" s="50">
        <f>VLOOKUP($A24,'Data shares'!$C:$FA,6)*100</f>
        <v>0.83</v>
      </c>
      <c r="E24" s="51">
        <f>VLOOKUP($A24,'Data shares'!$C:$FA,98)</f>
        <v>267776300</v>
      </c>
      <c r="F24" s="51">
        <f>VLOOKUP($A24,'Data shares'!$C:$FA,99)</f>
        <v>270602200</v>
      </c>
      <c r="G24" s="50">
        <f>VLOOKUP($A24,'Data shares'!$C:$FA,101)*100</f>
        <v>-1.04</v>
      </c>
      <c r="H24" s="49">
        <f>VLOOKUP($A24,'Data Vlaue (Cr)'!$C:$FB,99)</f>
        <v>26151</v>
      </c>
      <c r="I24" s="49">
        <f>VLOOKUP($A24,'Data Vlaue (Cr)'!$C:$FB,100)</f>
        <v>26427</v>
      </c>
      <c r="J24" s="49">
        <f>VLOOKUP($A24,'Data Vlaue (Cr)'!$C:$FB,102)*100</f>
        <v>-1.04</v>
      </c>
    </row>
    <row r="25" spans="1:10" x14ac:dyDescent="0.25">
      <c r="A25" s="101" t="str">
        <f>'NIFTY GRP'!C20</f>
        <v>HDFCLIFE</v>
      </c>
      <c r="B25" s="140">
        <f>VLOOKUP($A25,'Data shares'!$C:$FA,7)</f>
        <v>763.05</v>
      </c>
      <c r="C25" s="140">
        <f>VLOOKUP($A25,'Data shares'!$C:$FA,3)</f>
        <v>764.35</v>
      </c>
      <c r="D25" s="50">
        <f>VLOOKUP($A25,'Data shares'!$C:$FA,6)*100</f>
        <v>0.26</v>
      </c>
      <c r="E25" s="51">
        <f>VLOOKUP($A25,'Data shares'!$C:$FA,98)</f>
        <v>38756300</v>
      </c>
      <c r="F25" s="51">
        <f>VLOOKUP($A25,'Data shares'!$C:$FA,99)</f>
        <v>37352700</v>
      </c>
      <c r="G25" s="50">
        <f>VLOOKUP($A25,'Data shares'!$C:$FA,101)*100</f>
        <v>3.7600000000000002</v>
      </c>
      <c r="H25" s="49">
        <f>VLOOKUP($A25,'Data Vlaue (Cr)'!$C:$FB,99)</f>
        <v>2962</v>
      </c>
      <c r="I25" s="49">
        <f>VLOOKUP($A25,'Data Vlaue (Cr)'!$C:$FB,100)</f>
        <v>2855</v>
      </c>
      <c r="J25" s="49">
        <f>VLOOKUP($A25,'Data Vlaue (Cr)'!$C:$FB,102)*100</f>
        <v>3.7600000000000002</v>
      </c>
    </row>
    <row r="26" spans="1:10" x14ac:dyDescent="0.25">
      <c r="A26" s="101" t="str">
        <f>'NIFTY GRP'!C21</f>
        <v>HINDALCO</v>
      </c>
      <c r="B26" s="140">
        <f>VLOOKUP($A26,'Data shares'!$C:$FA,7)</f>
        <v>776.7</v>
      </c>
      <c r="C26" s="140">
        <f>VLOOKUP($A26,'Data shares'!$C:$FA,3)</f>
        <v>781.25</v>
      </c>
      <c r="D26" s="50">
        <f>VLOOKUP($A26,'Data shares'!$C:$FA,6)*100</f>
        <v>-0.42</v>
      </c>
      <c r="E26" s="51">
        <f>VLOOKUP($A26,'Data shares'!$C:$FA,98)</f>
        <v>86485000</v>
      </c>
      <c r="F26" s="51">
        <f>VLOOKUP($A26,'Data shares'!$C:$FA,99)</f>
        <v>84966000</v>
      </c>
      <c r="G26" s="50">
        <f>VLOOKUP($A26,'Data shares'!$C:$FA,101)*100</f>
        <v>1.79</v>
      </c>
      <c r="H26" s="49">
        <f>VLOOKUP($A26,'Data Vlaue (Cr)'!$C:$FB,99)</f>
        <v>6757</v>
      </c>
      <c r="I26" s="49">
        <f>VLOOKUP($A26,'Data Vlaue (Cr)'!$C:$FB,100)</f>
        <v>6638</v>
      </c>
      <c r="J26" s="49">
        <f>VLOOKUP($A26,'Data Vlaue (Cr)'!$C:$FB,102)*100</f>
        <v>1.79</v>
      </c>
    </row>
    <row r="27" spans="1:10" x14ac:dyDescent="0.25">
      <c r="A27" s="101" t="str">
        <f>'NIFTY GRP'!C22</f>
        <v>HINDUNILVR</v>
      </c>
      <c r="B27" s="140">
        <f>VLOOKUP($A27,'Data shares'!$C:$FA,7)</f>
        <v>2541.8000000000002</v>
      </c>
      <c r="C27" s="140">
        <f>VLOOKUP($A27,'Data shares'!$C:$FA,3)</f>
        <v>2556.5</v>
      </c>
      <c r="D27" s="50">
        <f>VLOOKUP($A27,'Data shares'!$C:$FA,6)*100</f>
        <v>0.16</v>
      </c>
      <c r="E27" s="51">
        <f>VLOOKUP($A27,'Data shares'!$C:$FA,98)</f>
        <v>20557200</v>
      </c>
      <c r="F27" s="51">
        <f>VLOOKUP($A27,'Data shares'!$C:$FA,99)</f>
        <v>20930700</v>
      </c>
      <c r="G27" s="50">
        <f>VLOOKUP($A27,'Data shares'!$C:$FA,101)*100</f>
        <v>-1.78</v>
      </c>
      <c r="H27" s="49">
        <f>VLOOKUP($A27,'Data Vlaue (Cr)'!$C:$FB,99)</f>
        <v>5255</v>
      </c>
      <c r="I27" s="49">
        <f>VLOOKUP($A27,'Data Vlaue (Cr)'!$C:$FB,100)</f>
        <v>5351</v>
      </c>
      <c r="J27" s="49">
        <f>VLOOKUP($A27,'Data Vlaue (Cr)'!$C:$FB,102)*100</f>
        <v>-1.78</v>
      </c>
    </row>
    <row r="28" spans="1:10" x14ac:dyDescent="0.25">
      <c r="A28" s="101" t="str">
        <f>'NIFTY GRP'!C23</f>
        <v>ICICIBANK</v>
      </c>
      <c r="B28" s="140">
        <f>VLOOKUP($A28,'Data shares'!$C:$FA,7)</f>
        <v>1363.4</v>
      </c>
      <c r="C28" s="140">
        <f>VLOOKUP($A28,'Data shares'!$C:$FA,3)</f>
        <v>1368.3</v>
      </c>
      <c r="D28" s="50">
        <f>VLOOKUP($A28,'Data shares'!$C:$FA,6)*100</f>
        <v>-0.2</v>
      </c>
      <c r="E28" s="51">
        <f>VLOOKUP($A28,'Data shares'!$C:$FA,98)</f>
        <v>159332600</v>
      </c>
      <c r="F28" s="51">
        <f>VLOOKUP($A28,'Data shares'!$C:$FA,99)</f>
        <v>152950700</v>
      </c>
      <c r="G28" s="50">
        <f>VLOOKUP($A28,'Data shares'!$C:$FA,101)*100</f>
        <v>4.17</v>
      </c>
      <c r="H28" s="49">
        <f>VLOOKUP($A28,'Data Vlaue (Cr)'!$C:$FB,99)</f>
        <v>21801</v>
      </c>
      <c r="I28" s="49">
        <f>VLOOKUP($A28,'Data Vlaue (Cr)'!$C:$FB,100)</f>
        <v>20928</v>
      </c>
      <c r="J28" s="49">
        <f>VLOOKUP($A28,'Data Vlaue (Cr)'!$C:$FB,102)*100</f>
        <v>4.17</v>
      </c>
    </row>
    <row r="29" spans="1:10" x14ac:dyDescent="0.25">
      <c r="A29" s="101" t="str">
        <f>'NIFTY GRP'!C24</f>
        <v>INDIGO</v>
      </c>
      <c r="B29" s="140">
        <f>VLOOKUP($A29,'Data shares'!$C:$FA,7)</f>
        <v>5694.5</v>
      </c>
      <c r="C29" s="140">
        <f>VLOOKUP($A29,'Data shares'!$C:$FA,3)</f>
        <v>5715</v>
      </c>
      <c r="D29" s="50">
        <f>VLOOKUP($A29,'Data shares'!$C:$FA,6)*100</f>
        <v>0.54</v>
      </c>
      <c r="E29" s="51">
        <f>VLOOKUP($A29,'Data shares'!$C:$FA,98)</f>
        <v>11128650</v>
      </c>
      <c r="F29" s="51">
        <f>VLOOKUP($A29,'Data shares'!$C:$FA,99)</f>
        <v>11130450</v>
      </c>
      <c r="G29" s="50">
        <f>VLOOKUP($A29,'Data shares'!$C:$FA,101)*100</f>
        <v>-0.02</v>
      </c>
      <c r="H29" s="49">
        <f>VLOOKUP($A29,'Data Vlaue (Cr)'!$C:$FB,99)</f>
        <v>6360</v>
      </c>
      <c r="I29" s="49">
        <f>VLOOKUP($A29,'Data Vlaue (Cr)'!$C:$FB,100)</f>
        <v>6361</v>
      </c>
      <c r="J29" s="49">
        <f>VLOOKUP($A29,'Data Vlaue (Cr)'!$C:$FB,102)*100</f>
        <v>-0.02</v>
      </c>
    </row>
    <row r="30" spans="1:10" x14ac:dyDescent="0.25">
      <c r="A30" s="101" t="str">
        <f>'NIFTY GRP'!C25</f>
        <v>INFY</v>
      </c>
      <c r="B30" s="140">
        <f>VLOOKUP($A30,'Data shares'!$C:$FA,7)</f>
        <v>1476</v>
      </c>
      <c r="C30" s="140">
        <f>VLOOKUP($A30,'Data shares'!$C:$FA,3)</f>
        <v>1471.1</v>
      </c>
      <c r="D30" s="50">
        <f>VLOOKUP($A30,'Data shares'!$C:$FA,6)*100</f>
        <v>2</v>
      </c>
      <c r="E30" s="51">
        <f>VLOOKUP($A30,'Data shares'!$C:$FA,98)</f>
        <v>93449200</v>
      </c>
      <c r="F30" s="51">
        <f>VLOOKUP($A30,'Data shares'!$C:$FA,99)</f>
        <v>93399600</v>
      </c>
      <c r="G30" s="50">
        <f>VLOOKUP($A30,'Data shares'!$C:$FA,101)*100</f>
        <v>0.05</v>
      </c>
      <c r="H30" s="49">
        <f>VLOOKUP($A30,'Data Vlaue (Cr)'!$C:$FB,99)</f>
        <v>13747</v>
      </c>
      <c r="I30" s="49">
        <f>VLOOKUP($A30,'Data Vlaue (Cr)'!$C:$FB,100)</f>
        <v>13740</v>
      </c>
      <c r="J30" s="49">
        <f>VLOOKUP($A30,'Data Vlaue (Cr)'!$C:$FB,102)*100</f>
        <v>0.05</v>
      </c>
    </row>
    <row r="31" spans="1:10" x14ac:dyDescent="0.25">
      <c r="A31" s="101" t="str">
        <f>'NIFTY GRP'!C26</f>
        <v>ITC</v>
      </c>
      <c r="B31" s="140">
        <f>VLOOKUP($A31,'Data shares'!$C:$FA,7)</f>
        <v>400.75</v>
      </c>
      <c r="C31" s="140">
        <f>VLOOKUP($A31,'Data shares'!$C:$FA,3)</f>
        <v>403.15</v>
      </c>
      <c r="D31" s="50">
        <f>VLOOKUP($A31,'Data shares'!$C:$FA,6)*100</f>
        <v>-0.74</v>
      </c>
      <c r="E31" s="51">
        <f>VLOOKUP($A31,'Data shares'!$C:$FA,98)</f>
        <v>183708800</v>
      </c>
      <c r="F31" s="51">
        <f>VLOOKUP($A31,'Data shares'!$C:$FA,99)</f>
        <v>170132800</v>
      </c>
      <c r="G31" s="50">
        <f>VLOOKUP($A31,'Data shares'!$C:$FA,101)*100</f>
        <v>7.9799999999999995</v>
      </c>
      <c r="H31" s="49">
        <f>VLOOKUP($A31,'Data Vlaue (Cr)'!$C:$FB,99)</f>
        <v>7406</v>
      </c>
      <c r="I31" s="49">
        <f>VLOOKUP($A31,'Data Vlaue (Cr)'!$C:$FB,100)</f>
        <v>6859</v>
      </c>
      <c r="J31" s="49">
        <f>VLOOKUP($A31,'Data Vlaue (Cr)'!$C:$FB,102)*100</f>
        <v>7.9799999999999995</v>
      </c>
    </row>
    <row r="32" spans="1:10" x14ac:dyDescent="0.25">
      <c r="A32" s="101" t="str">
        <f>'NIFTY GRP'!C27</f>
        <v>JIOFIN</v>
      </c>
      <c r="B32" s="140">
        <f>VLOOKUP($A32,'Data shares'!$C:$FA,7)</f>
        <v>306.25</v>
      </c>
      <c r="C32" s="140">
        <f>VLOOKUP($A32,'Data shares'!$C:$FA,3)</f>
        <v>308.05</v>
      </c>
      <c r="D32" s="50">
        <f>VLOOKUP($A32,'Data shares'!$C:$FA,6)*100</f>
        <v>1.6</v>
      </c>
      <c r="E32" s="51">
        <f>VLOOKUP($A32,'Data shares'!$C:$FA,98)</f>
        <v>221069200</v>
      </c>
      <c r="F32" s="51">
        <f>VLOOKUP($A32,'Data shares'!$C:$FA,99)</f>
        <v>221532150</v>
      </c>
      <c r="G32" s="50">
        <f>VLOOKUP($A32,'Data shares'!$C:$FA,101)*100</f>
        <v>-0.21</v>
      </c>
      <c r="H32" s="49">
        <f>VLOOKUP($A32,'Data Vlaue (Cr)'!$C:$FB,99)</f>
        <v>6810</v>
      </c>
      <c r="I32" s="49">
        <f>VLOOKUP($A32,'Data Vlaue (Cr)'!$C:$FB,100)</f>
        <v>6824</v>
      </c>
      <c r="J32" s="49">
        <f>VLOOKUP($A32,'Data Vlaue (Cr)'!$C:$FB,102)*100</f>
        <v>-0.21</v>
      </c>
    </row>
    <row r="33" spans="1:10" x14ac:dyDescent="0.25">
      <c r="A33" s="101" t="str">
        <f>'NIFTY GRP'!C28</f>
        <v>JSWSTEEL</v>
      </c>
      <c r="B33" s="140">
        <f>VLOOKUP($A33,'Data shares'!$C:$FA,7)</f>
        <v>1159.9000000000001</v>
      </c>
      <c r="C33" s="140">
        <f>VLOOKUP($A33,'Data shares'!$C:$FA,3)</f>
        <v>1167.5</v>
      </c>
      <c r="D33" s="50">
        <f>VLOOKUP($A33,'Data shares'!$C:$FA,6)*100</f>
        <v>-0.15</v>
      </c>
      <c r="E33" s="51">
        <f>VLOOKUP($A33,'Data shares'!$C:$FA,98)</f>
        <v>52947675</v>
      </c>
      <c r="F33" s="51">
        <f>VLOOKUP($A33,'Data shares'!$C:$FA,99)</f>
        <v>52647300</v>
      </c>
      <c r="G33" s="50">
        <f>VLOOKUP($A33,'Data shares'!$C:$FA,101)*100</f>
        <v>0.57000000000000006</v>
      </c>
      <c r="H33" s="49">
        <f>VLOOKUP($A33,'Data Vlaue (Cr)'!$C:$FB,99)</f>
        <v>6182</v>
      </c>
      <c r="I33" s="49">
        <f>VLOOKUP($A33,'Data Vlaue (Cr)'!$C:$FB,100)</f>
        <v>6147</v>
      </c>
      <c r="J33" s="49">
        <f>VLOOKUP($A33,'Data Vlaue (Cr)'!$C:$FB,102)*100</f>
        <v>0.57000000000000006</v>
      </c>
    </row>
    <row r="34" spans="1:10" x14ac:dyDescent="0.25">
      <c r="A34" s="101" t="str">
        <f>'NIFTY GRP'!C29</f>
        <v>KOTAKBANK</v>
      </c>
      <c r="B34" s="140">
        <f>VLOOKUP($A34,'Data shares'!$C:$FA,7)</f>
        <v>2146</v>
      </c>
      <c r="C34" s="140">
        <f>VLOOKUP($A34,'Data shares'!$C:$FA,3)</f>
        <v>2152.9</v>
      </c>
      <c r="D34" s="50">
        <f>VLOOKUP($A34,'Data shares'!$C:$FA,6)*100</f>
        <v>2.09</v>
      </c>
      <c r="E34" s="51">
        <f>VLOOKUP($A34,'Data shares'!$C:$FA,98)</f>
        <v>52740400</v>
      </c>
      <c r="F34" s="51">
        <f>VLOOKUP($A34,'Data shares'!$C:$FA,99)</f>
        <v>50182800</v>
      </c>
      <c r="G34" s="50">
        <f>VLOOKUP($A34,'Data shares'!$C:$FA,101)*100</f>
        <v>5.0999999999999996</v>
      </c>
      <c r="H34" s="49">
        <f>VLOOKUP($A34,'Data Vlaue (Cr)'!$C:$FB,99)</f>
        <v>11354</v>
      </c>
      <c r="I34" s="49">
        <f>VLOOKUP($A34,'Data Vlaue (Cr)'!$C:$FB,100)</f>
        <v>10804</v>
      </c>
      <c r="J34" s="49">
        <f>VLOOKUP($A34,'Data Vlaue (Cr)'!$C:$FB,102)*100</f>
        <v>5.0999999999999996</v>
      </c>
    </row>
    <row r="35" spans="1:10" x14ac:dyDescent="0.25">
      <c r="A35" s="101" t="str">
        <f>'NIFTY GRP'!C30</f>
        <v>LT</v>
      </c>
      <c r="B35" s="140">
        <f>VLOOKUP($A35,'Data shares'!$C:$FA,7)</f>
        <v>3737</v>
      </c>
      <c r="C35" s="140">
        <f>VLOOKUP($A35,'Data shares'!$C:$FA,3)</f>
        <v>3753.4</v>
      </c>
      <c r="D35" s="50">
        <f>VLOOKUP($A35,'Data shares'!$C:$FA,6)*100</f>
        <v>0.06</v>
      </c>
      <c r="E35" s="51">
        <f>VLOOKUP($A35,'Data shares'!$C:$FA,98)</f>
        <v>24535350</v>
      </c>
      <c r="F35" s="51">
        <f>VLOOKUP($A35,'Data shares'!$C:$FA,99)</f>
        <v>23677325</v>
      </c>
      <c r="G35" s="50">
        <f>VLOOKUP($A35,'Data shares'!$C:$FA,101)*100</f>
        <v>3.62</v>
      </c>
      <c r="H35" s="49">
        <f>VLOOKUP($A35,'Data Vlaue (Cr)'!$C:$FB,99)</f>
        <v>9209</v>
      </c>
      <c r="I35" s="49">
        <f>VLOOKUP($A35,'Data Vlaue (Cr)'!$C:$FB,100)</f>
        <v>8887</v>
      </c>
      <c r="J35" s="49">
        <f>VLOOKUP($A35,'Data Vlaue (Cr)'!$C:$FB,102)*100</f>
        <v>3.62</v>
      </c>
    </row>
    <row r="36" spans="1:10" x14ac:dyDescent="0.25">
      <c r="A36" s="101" t="str">
        <f>'NIFTY GRP'!C31</f>
        <v>M&amp;M</v>
      </c>
      <c r="B36" s="140">
        <f>VLOOKUP($A36,'Data shares'!$C:$FA,7)</f>
        <v>3472</v>
      </c>
      <c r="C36" s="140">
        <f>VLOOKUP($A36,'Data shares'!$C:$FA,3)</f>
        <v>3492.2</v>
      </c>
      <c r="D36" s="50">
        <f>VLOOKUP($A36,'Data shares'!$C:$FA,6)*100</f>
        <v>0.52</v>
      </c>
      <c r="E36" s="51">
        <f>VLOOKUP($A36,'Data shares'!$C:$FA,98)</f>
        <v>27215000</v>
      </c>
      <c r="F36" s="51">
        <f>VLOOKUP($A36,'Data shares'!$C:$FA,99)</f>
        <v>27000400</v>
      </c>
      <c r="G36" s="50">
        <f>VLOOKUP($A36,'Data shares'!$C:$FA,101)*100</f>
        <v>0.79</v>
      </c>
      <c r="H36" s="49">
        <f>VLOOKUP($A36,'Data Vlaue (Cr)'!$C:$FB,99)</f>
        <v>9504</v>
      </c>
      <c r="I36" s="49">
        <f>VLOOKUP($A36,'Data Vlaue (Cr)'!$C:$FB,100)</f>
        <v>9429</v>
      </c>
      <c r="J36" s="49">
        <f>VLOOKUP($A36,'Data Vlaue (Cr)'!$C:$FB,102)*100</f>
        <v>0.79</v>
      </c>
    </row>
    <row r="37" spans="1:10" x14ac:dyDescent="0.25">
      <c r="A37" s="101" t="str">
        <f>'NIFTY GRP'!C32</f>
        <v>MARUTI</v>
      </c>
      <c r="B37" s="140">
        <f>VLOOKUP($A37,'Data shares'!$C:$FA,7)</f>
        <v>15998</v>
      </c>
      <c r="C37" s="140">
        <f>VLOOKUP($A37,'Data shares'!$C:$FA,3)</f>
        <v>16063</v>
      </c>
      <c r="D37" s="50">
        <f>VLOOKUP($A37,'Data shares'!$C:$FA,6)*100</f>
        <v>1</v>
      </c>
      <c r="E37" s="51">
        <f>VLOOKUP($A37,'Data shares'!$C:$FA,98)</f>
        <v>6549000</v>
      </c>
      <c r="F37" s="51">
        <f>VLOOKUP($A37,'Data shares'!$C:$FA,99)</f>
        <v>6440250</v>
      </c>
      <c r="G37" s="50">
        <f>VLOOKUP($A37,'Data shares'!$C:$FA,101)*100</f>
        <v>1.69</v>
      </c>
      <c r="H37" s="49">
        <f>VLOOKUP($A37,'Data Vlaue (Cr)'!$C:$FB,99)</f>
        <v>10520</v>
      </c>
      <c r="I37" s="49">
        <f>VLOOKUP($A37,'Data Vlaue (Cr)'!$C:$FB,100)</f>
        <v>10345</v>
      </c>
      <c r="J37" s="49">
        <f>VLOOKUP($A37,'Data Vlaue (Cr)'!$C:$FB,102)*100</f>
        <v>1.69</v>
      </c>
    </row>
    <row r="38" spans="1:10" x14ac:dyDescent="0.25">
      <c r="A38" s="101" t="str">
        <f>'NIFTY GRP'!C33</f>
        <v>MAXHEALTH</v>
      </c>
      <c r="B38" s="140">
        <f>VLOOKUP($A38,'Data shares'!$C:$FA,7)</f>
        <v>1139.7</v>
      </c>
      <c r="C38" s="140">
        <f>VLOOKUP($A38,'Data shares'!$C:$FA,3)</f>
        <v>1143.2</v>
      </c>
      <c r="D38" s="50">
        <f>VLOOKUP($A38,'Data shares'!$C:$FA,6)*100</f>
        <v>6.49</v>
      </c>
      <c r="E38" s="51">
        <f>VLOOKUP($A38,'Data shares'!$C:$FA,98)</f>
        <v>24500700</v>
      </c>
      <c r="F38" s="51">
        <f>VLOOKUP($A38,'Data shares'!$C:$FA,99)</f>
        <v>26200650</v>
      </c>
      <c r="G38" s="50">
        <f>VLOOKUP($A38,'Data shares'!$C:$FA,101)*100</f>
        <v>-6.49</v>
      </c>
      <c r="H38" s="49">
        <f>VLOOKUP($A38,'Data Vlaue (Cr)'!$C:$FB,99)</f>
        <v>2801</v>
      </c>
      <c r="I38" s="49">
        <f>VLOOKUP($A38,'Data Vlaue (Cr)'!$C:$FB,100)</f>
        <v>2995</v>
      </c>
      <c r="J38" s="49">
        <f>VLOOKUP($A38,'Data Vlaue (Cr)'!$C:$FB,102)*100</f>
        <v>-6.49</v>
      </c>
    </row>
    <row r="39" spans="1:10" x14ac:dyDescent="0.25">
      <c r="A39" s="101" t="str">
        <f>'NIFTY GRP'!C34</f>
        <v>NESTLEIND</v>
      </c>
      <c r="B39" s="140">
        <f>VLOOKUP($A39,'Data shares'!$C:$FA,7)</f>
        <v>1181.7</v>
      </c>
      <c r="C39" s="140">
        <f>VLOOKUP($A39,'Data shares'!$C:$FA,3)</f>
        <v>1185.4000000000001</v>
      </c>
      <c r="D39" s="50">
        <f>VLOOKUP($A39,'Data shares'!$C:$FA,6)*100</f>
        <v>0.95</v>
      </c>
      <c r="E39" s="51">
        <f>VLOOKUP($A39,'Data shares'!$C:$FA,98)</f>
        <v>21848000</v>
      </c>
      <c r="F39" s="51">
        <f>VLOOKUP($A39,'Data shares'!$C:$FA,99)</f>
        <v>21304000</v>
      </c>
      <c r="G39" s="50">
        <f>VLOOKUP($A39,'Data shares'!$C:$FA,101)*100</f>
        <v>2.5499999999999998</v>
      </c>
      <c r="H39" s="49">
        <f>VLOOKUP($A39,'Data Vlaue (Cr)'!$C:$FB,99)</f>
        <v>2590</v>
      </c>
      <c r="I39" s="49">
        <f>VLOOKUP($A39,'Data Vlaue (Cr)'!$C:$FB,100)</f>
        <v>2525</v>
      </c>
      <c r="J39" s="49">
        <f>VLOOKUP($A39,'Data Vlaue (Cr)'!$C:$FB,102)*100</f>
        <v>2.5499999999999998</v>
      </c>
    </row>
    <row r="40" spans="1:10" x14ac:dyDescent="0.25">
      <c r="A40" s="101" t="str">
        <f>'NIFTY GRP'!C35</f>
        <v>NTPC</v>
      </c>
      <c r="B40" s="140">
        <f>VLOOKUP($A40,'Data shares'!$C:$FA,7)</f>
        <v>339.1</v>
      </c>
      <c r="C40" s="140">
        <f>VLOOKUP($A40,'Data shares'!$C:$FA,3)</f>
        <v>341.1</v>
      </c>
      <c r="D40" s="50">
        <f>VLOOKUP($A40,'Data shares'!$C:$FA,6)*100</f>
        <v>-0.89</v>
      </c>
      <c r="E40" s="51">
        <f>VLOOKUP($A40,'Data shares'!$C:$FA,98)</f>
        <v>137667000</v>
      </c>
      <c r="F40" s="51">
        <f>VLOOKUP($A40,'Data shares'!$C:$FA,99)</f>
        <v>132559500</v>
      </c>
      <c r="G40" s="50">
        <f>VLOOKUP($A40,'Data shares'!$C:$FA,101)*100</f>
        <v>3.85</v>
      </c>
      <c r="H40" s="49">
        <f>VLOOKUP($A40,'Data Vlaue (Cr)'!$C:$FB,99)</f>
        <v>4696</v>
      </c>
      <c r="I40" s="49">
        <f>VLOOKUP($A40,'Data Vlaue (Cr)'!$C:$FB,100)</f>
        <v>4522</v>
      </c>
      <c r="J40" s="49">
        <f>VLOOKUP($A40,'Data Vlaue (Cr)'!$C:$FB,102)*100</f>
        <v>3.85</v>
      </c>
    </row>
    <row r="41" spans="1:10" x14ac:dyDescent="0.25">
      <c r="A41" s="101" t="str">
        <f>'NIFTY GRP'!C36</f>
        <v>ONGC</v>
      </c>
      <c r="B41" s="140">
        <f>VLOOKUP($A41,'Data shares'!$C:$FA,7)</f>
        <v>245.86</v>
      </c>
      <c r="C41" s="140">
        <f>VLOOKUP($A41,'Data shares'!$C:$FA,3)</f>
        <v>247.3</v>
      </c>
      <c r="D41" s="50">
        <f>VLOOKUP($A41,'Data shares'!$C:$FA,6)*100</f>
        <v>0.84</v>
      </c>
      <c r="E41" s="51">
        <f>VLOOKUP($A41,'Data shares'!$C:$FA,98)</f>
        <v>152793000</v>
      </c>
      <c r="F41" s="51">
        <f>VLOOKUP($A41,'Data shares'!$C:$FA,99)</f>
        <v>148943250</v>
      </c>
      <c r="G41" s="50">
        <f>VLOOKUP($A41,'Data shares'!$C:$FA,101)*100</f>
        <v>2.58</v>
      </c>
      <c r="H41" s="49">
        <f>VLOOKUP($A41,'Data Vlaue (Cr)'!$C:$FB,99)</f>
        <v>3779</v>
      </c>
      <c r="I41" s="49">
        <f>VLOOKUP($A41,'Data Vlaue (Cr)'!$C:$FB,100)</f>
        <v>3683</v>
      </c>
      <c r="J41" s="49">
        <f>VLOOKUP($A41,'Data Vlaue (Cr)'!$C:$FB,102)*100</f>
        <v>2.58</v>
      </c>
    </row>
    <row r="42" spans="1:10" x14ac:dyDescent="0.25">
      <c r="A42" s="101" t="str">
        <f>'NIFTY GRP'!C37</f>
        <v>POWERGRID</v>
      </c>
      <c r="B42" s="140">
        <f>VLOOKUP($A42,'Data shares'!$C:$FA,7)</f>
        <v>286.89999999999998</v>
      </c>
      <c r="C42" s="140">
        <f>VLOOKUP($A42,'Data shares'!$C:$FA,3)</f>
        <v>287.85000000000002</v>
      </c>
      <c r="D42" s="50">
        <f>VLOOKUP($A42,'Data shares'!$C:$FA,6)*100</f>
        <v>-0.84</v>
      </c>
      <c r="E42" s="51">
        <f>VLOOKUP($A42,'Data shares'!$C:$FA,98)</f>
        <v>112404000</v>
      </c>
      <c r="F42" s="51">
        <f>VLOOKUP($A42,'Data shares'!$C:$FA,99)</f>
        <v>110901100</v>
      </c>
      <c r="G42" s="50">
        <f>VLOOKUP($A42,'Data shares'!$C:$FA,101)*100</f>
        <v>1.3599999999999999</v>
      </c>
      <c r="H42" s="49">
        <f>VLOOKUP($A42,'Data Vlaue (Cr)'!$C:$FB,99)</f>
        <v>3236</v>
      </c>
      <c r="I42" s="49">
        <f>VLOOKUP($A42,'Data Vlaue (Cr)'!$C:$FB,100)</f>
        <v>3192</v>
      </c>
      <c r="J42" s="49">
        <f>VLOOKUP($A42,'Data Vlaue (Cr)'!$C:$FB,102)*100</f>
        <v>1.3599999999999999</v>
      </c>
    </row>
    <row r="43" spans="1:10" x14ac:dyDescent="0.25">
      <c r="A43" s="101" t="str">
        <f>'NIFTY GRP'!C38</f>
        <v>RELIANCE</v>
      </c>
      <c r="B43" s="140">
        <f>VLOOKUP($A43,'Data shares'!$C:$FA,7)</f>
        <v>1375</v>
      </c>
      <c r="C43" s="140">
        <f>VLOOKUP($A43,'Data shares'!$C:$FA,3)</f>
        <v>1383.2</v>
      </c>
      <c r="D43" s="50">
        <f>VLOOKUP($A43,'Data shares'!$C:$FA,6)*100</f>
        <v>0.86999999999999988</v>
      </c>
      <c r="E43" s="51">
        <f>VLOOKUP($A43,'Data shares'!$C:$FA,98)</f>
        <v>212247500</v>
      </c>
      <c r="F43" s="51">
        <f>VLOOKUP($A43,'Data shares'!$C:$FA,99)</f>
        <v>208981500</v>
      </c>
      <c r="G43" s="50">
        <f>VLOOKUP($A43,'Data shares'!$C:$FA,101)*100</f>
        <v>1.5599999999999998</v>
      </c>
      <c r="H43" s="49">
        <f>VLOOKUP($A43,'Data Vlaue (Cr)'!$C:$FB,99)</f>
        <v>29358</v>
      </c>
      <c r="I43" s="49">
        <f>VLOOKUP($A43,'Data Vlaue (Cr)'!$C:$FB,100)</f>
        <v>28906</v>
      </c>
      <c r="J43" s="49">
        <f>VLOOKUP($A43,'Data Vlaue (Cr)'!$C:$FB,102)*100</f>
        <v>1.5599999999999998</v>
      </c>
    </row>
    <row r="44" spans="1:10" x14ac:dyDescent="0.25">
      <c r="A44" s="101" t="str">
        <f>'NIFTY GRP'!C39</f>
        <v>SBILIFE</v>
      </c>
      <c r="B44" s="140">
        <f>VLOOKUP($A44,'Data shares'!$C:$FA,7)</f>
        <v>1770.9</v>
      </c>
      <c r="C44" s="140">
        <f>VLOOKUP($A44,'Data shares'!$C:$FA,3)</f>
        <v>1774.3</v>
      </c>
      <c r="D44" s="50">
        <f>VLOOKUP($A44,'Data shares'!$C:$FA,6)*100</f>
        <v>-0.95</v>
      </c>
      <c r="E44" s="51">
        <f>VLOOKUP($A44,'Data shares'!$C:$FA,98)</f>
        <v>9271875</v>
      </c>
      <c r="F44" s="51">
        <f>VLOOKUP($A44,'Data shares'!$C:$FA,99)</f>
        <v>9151125</v>
      </c>
      <c r="G44" s="50">
        <f>VLOOKUP($A44,'Data shares'!$C:$FA,101)*100</f>
        <v>1.32</v>
      </c>
      <c r="H44" s="49">
        <f>VLOOKUP($A44,'Data Vlaue (Cr)'!$C:$FB,99)</f>
        <v>1645</v>
      </c>
      <c r="I44" s="49">
        <f>VLOOKUP($A44,'Data Vlaue (Cr)'!$C:$FB,100)</f>
        <v>1624</v>
      </c>
      <c r="J44" s="49">
        <f>VLOOKUP($A44,'Data Vlaue (Cr)'!$C:$FB,102)*100</f>
        <v>1.32</v>
      </c>
    </row>
    <row r="45" spans="1:10" x14ac:dyDescent="0.25">
      <c r="A45" s="101" t="str">
        <f>'NIFTY GRP'!C40</f>
        <v>SBIN</v>
      </c>
      <c r="B45" s="140">
        <f>VLOOKUP($A45,'Data shares'!$C:$FA,7)</f>
        <v>874.05</v>
      </c>
      <c r="C45" s="140">
        <f>VLOOKUP($A45,'Data shares'!$C:$FA,3)</f>
        <v>877.75</v>
      </c>
      <c r="D45" s="50">
        <f>VLOOKUP($A45,'Data shares'!$C:$FA,6)*100</f>
        <v>0.55999999999999994</v>
      </c>
      <c r="E45" s="51">
        <f>VLOOKUP($A45,'Data shares'!$C:$FA,98)</f>
        <v>159775500</v>
      </c>
      <c r="F45" s="51">
        <f>VLOOKUP($A45,'Data shares'!$C:$FA,99)</f>
        <v>156439500</v>
      </c>
      <c r="G45" s="50">
        <f>VLOOKUP($A45,'Data shares'!$C:$FA,101)*100</f>
        <v>2.13</v>
      </c>
      <c r="H45" s="49">
        <f>VLOOKUP($A45,'Data Vlaue (Cr)'!$C:$FB,99)</f>
        <v>14024</v>
      </c>
      <c r="I45" s="49">
        <f>VLOOKUP($A45,'Data Vlaue (Cr)'!$C:$FB,100)</f>
        <v>13731</v>
      </c>
      <c r="J45" s="49">
        <f>VLOOKUP($A45,'Data Vlaue (Cr)'!$C:$FB,102)*100</f>
        <v>2.13</v>
      </c>
    </row>
    <row r="46" spans="1:10" x14ac:dyDescent="0.25">
      <c r="A46" s="101" t="str">
        <f>'NIFTY GRP'!C41</f>
        <v>SHRIRAMFIN</v>
      </c>
      <c r="B46" s="140">
        <f>VLOOKUP($A46,'Data shares'!$C:$FA,7)</f>
        <v>671.45</v>
      </c>
      <c r="C46" s="140">
        <f>VLOOKUP($A46,'Data shares'!$C:$FA,3)</f>
        <v>674.7</v>
      </c>
      <c r="D46" s="50">
        <f>VLOOKUP($A46,'Data shares'!$C:$FA,6)*100</f>
        <v>3.74</v>
      </c>
      <c r="E46" s="51">
        <f>VLOOKUP($A46,'Data shares'!$C:$FA,98)</f>
        <v>64137150</v>
      </c>
      <c r="F46" s="51">
        <f>VLOOKUP($A46,'Data shares'!$C:$FA,99)</f>
        <v>60238200</v>
      </c>
      <c r="G46" s="50">
        <f>VLOOKUP($A46,'Data shares'!$C:$FA,101)*100</f>
        <v>6.47</v>
      </c>
      <c r="H46" s="49">
        <f>VLOOKUP($A46,'Data Vlaue (Cr)'!$C:$FB,99)</f>
        <v>4327</v>
      </c>
      <c r="I46" s="49">
        <f>VLOOKUP($A46,'Data Vlaue (Cr)'!$C:$FB,100)</f>
        <v>4064</v>
      </c>
      <c r="J46" s="49">
        <f>VLOOKUP($A46,'Data Vlaue (Cr)'!$C:$FB,102)*100</f>
        <v>6.47</v>
      </c>
    </row>
    <row r="47" spans="1:10" x14ac:dyDescent="0.25">
      <c r="A47" s="101" t="str">
        <f>'NIFTY GRP'!C42</f>
        <v>SUNPHARMA</v>
      </c>
      <c r="B47" s="140">
        <f>VLOOKUP($A47,'Data shares'!$C:$FA,7)</f>
        <v>1654.7</v>
      </c>
      <c r="C47" s="140">
        <f>VLOOKUP($A47,'Data shares'!$C:$FA,3)</f>
        <v>1659.8</v>
      </c>
      <c r="D47" s="50">
        <f>VLOOKUP($A47,'Data shares'!$C:$FA,6)*100</f>
        <v>1.1299999999999999</v>
      </c>
      <c r="E47" s="51">
        <f>VLOOKUP($A47,'Data shares'!$C:$FA,98)</f>
        <v>23096500</v>
      </c>
      <c r="F47" s="51">
        <f>VLOOKUP($A47,'Data shares'!$C:$FA,99)</f>
        <v>22846950</v>
      </c>
      <c r="G47" s="50">
        <f>VLOOKUP($A47,'Data shares'!$C:$FA,101)*100</f>
        <v>1.0900000000000001</v>
      </c>
      <c r="H47" s="49">
        <f>VLOOKUP($A47,'Data Vlaue (Cr)'!$C:$FB,99)</f>
        <v>3834</v>
      </c>
      <c r="I47" s="49">
        <f>VLOOKUP($A47,'Data Vlaue (Cr)'!$C:$FB,100)</f>
        <v>3792</v>
      </c>
      <c r="J47" s="49">
        <f>VLOOKUP($A47,'Data Vlaue (Cr)'!$C:$FB,102)*100</f>
        <v>1.0900000000000001</v>
      </c>
    </row>
    <row r="48" spans="1:10" x14ac:dyDescent="0.25">
      <c r="A48" s="101" t="str">
        <f>'NIFTY GRP'!C43</f>
        <v>TATACONSUM</v>
      </c>
      <c r="B48" s="140">
        <f>VLOOKUP($A48,'Data shares'!$C:$FA,7)</f>
        <v>1142.0999999999999</v>
      </c>
      <c r="C48" s="140">
        <f>VLOOKUP($A48,'Data shares'!$C:$FA,3)</f>
        <v>1148.9000000000001</v>
      </c>
      <c r="D48" s="50">
        <f>VLOOKUP($A48,'Data shares'!$C:$FA,6)*100</f>
        <v>0.32</v>
      </c>
      <c r="E48" s="51">
        <f>VLOOKUP($A48,'Data shares'!$C:$FA,98)</f>
        <v>19367150</v>
      </c>
      <c r="F48" s="51">
        <f>VLOOKUP($A48,'Data shares'!$C:$FA,99)</f>
        <v>19105350</v>
      </c>
      <c r="G48" s="50">
        <f>VLOOKUP($A48,'Data shares'!$C:$FA,101)*100</f>
        <v>1.37</v>
      </c>
      <c r="H48" s="49">
        <f>VLOOKUP($A48,'Data Vlaue (Cr)'!$C:$FB,99)</f>
        <v>2225</v>
      </c>
      <c r="I48" s="49">
        <f>VLOOKUP($A48,'Data Vlaue (Cr)'!$C:$FB,100)</f>
        <v>2195</v>
      </c>
      <c r="J48" s="49">
        <f>VLOOKUP($A48,'Data Vlaue (Cr)'!$C:$FB,102)*100</f>
        <v>1.37</v>
      </c>
    </row>
    <row r="49" spans="1:10" x14ac:dyDescent="0.25">
      <c r="A49" s="101" t="str">
        <f>'NIFTY GRP'!C44</f>
        <v>TATAMOTORS</v>
      </c>
      <c r="B49" s="140">
        <f>VLOOKUP($A49,'Data shares'!$C:$FA,7)</f>
        <v>712.65</v>
      </c>
      <c r="C49" s="140">
        <f>VLOOKUP($A49,'Data shares'!$C:$FA,3)</f>
        <v>714.85</v>
      </c>
      <c r="D49" s="50">
        <f>VLOOKUP($A49,'Data shares'!$C:$FA,6)*100</f>
        <v>-0.64</v>
      </c>
      <c r="E49" s="51">
        <f>VLOOKUP($A49,'Data shares'!$C:$FA,98)</f>
        <v>192417600</v>
      </c>
      <c r="F49" s="51">
        <f>VLOOKUP($A49,'Data shares'!$C:$FA,99)</f>
        <v>180859200</v>
      </c>
      <c r="G49" s="50">
        <f>VLOOKUP($A49,'Data shares'!$C:$FA,101)*100</f>
        <v>6.39</v>
      </c>
      <c r="H49" s="49">
        <f>VLOOKUP($A49,'Data Vlaue (Cr)'!$C:$FB,99)</f>
        <v>13755</v>
      </c>
      <c r="I49" s="49">
        <f>VLOOKUP($A49,'Data Vlaue (Cr)'!$C:$FB,100)</f>
        <v>12929</v>
      </c>
      <c r="J49" s="49">
        <f>VLOOKUP($A49,'Data Vlaue (Cr)'!$C:$FB,102)*100</f>
        <v>6.39</v>
      </c>
    </row>
    <row r="50" spans="1:10" x14ac:dyDescent="0.25">
      <c r="A50" s="101" t="str">
        <f>'NIFTY GRP'!C45</f>
        <v>TATASTEEL</v>
      </c>
      <c r="B50" s="140">
        <f>VLOOKUP($A50,'Data shares'!$C:$FA,7)</f>
        <v>170.06</v>
      </c>
      <c r="C50" s="140">
        <f>VLOOKUP($A50,'Data shares'!$C:$FA,3)</f>
        <v>171.07</v>
      </c>
      <c r="D50" s="50">
        <f>VLOOKUP($A50,'Data shares'!$C:$FA,6)*100</f>
        <v>-1.87</v>
      </c>
      <c r="E50" s="51">
        <f>VLOOKUP($A50,'Data shares'!$C:$FA,98)</f>
        <v>351516000</v>
      </c>
      <c r="F50" s="51">
        <f>VLOOKUP($A50,'Data shares'!$C:$FA,99)</f>
        <v>332645500</v>
      </c>
      <c r="G50" s="50">
        <f>VLOOKUP($A50,'Data shares'!$C:$FA,101)*100</f>
        <v>5.67</v>
      </c>
      <c r="H50" s="49">
        <f>VLOOKUP($A50,'Data Vlaue (Cr)'!$C:$FB,99)</f>
        <v>6013</v>
      </c>
      <c r="I50" s="49">
        <f>VLOOKUP($A50,'Data Vlaue (Cr)'!$C:$FB,100)</f>
        <v>5691</v>
      </c>
      <c r="J50" s="49">
        <f>VLOOKUP($A50,'Data Vlaue (Cr)'!$C:$FB,102)*100</f>
        <v>5.67</v>
      </c>
    </row>
    <row r="51" spans="1:10" x14ac:dyDescent="0.25">
      <c r="A51" s="101" t="str">
        <f>'NIFTY GRP'!C46</f>
        <v>TCS</v>
      </c>
      <c r="B51" s="140">
        <f>VLOOKUP($A51,'Data shares'!$C:$FA,7)</f>
        <v>2988.4</v>
      </c>
      <c r="C51" s="140">
        <f>VLOOKUP($A51,'Data shares'!$C:$FA,3)</f>
        <v>2993</v>
      </c>
      <c r="D51" s="50">
        <f>VLOOKUP($A51,'Data shares'!$C:$FA,6)*100</f>
        <v>2.86</v>
      </c>
      <c r="E51" s="51">
        <f>VLOOKUP($A51,'Data shares'!$C:$FA,98)</f>
        <v>57159375</v>
      </c>
      <c r="F51" s="51">
        <f>VLOOKUP($A51,'Data shares'!$C:$FA,99)</f>
        <v>55346550</v>
      </c>
      <c r="G51" s="50">
        <f>VLOOKUP($A51,'Data shares'!$C:$FA,101)*100</f>
        <v>3.2800000000000002</v>
      </c>
      <c r="H51" s="49">
        <f>VLOOKUP($A51,'Data Vlaue (Cr)'!$C:$FB,99)</f>
        <v>17108</v>
      </c>
      <c r="I51" s="49">
        <f>VLOOKUP($A51,'Data Vlaue (Cr)'!$C:$FB,100)</f>
        <v>16565</v>
      </c>
      <c r="J51" s="49">
        <f>VLOOKUP($A51,'Data Vlaue (Cr)'!$C:$FB,102)*100</f>
        <v>3.2800000000000002</v>
      </c>
    </row>
    <row r="52" spans="1:10" x14ac:dyDescent="0.25">
      <c r="A52" s="101" t="str">
        <f>'NIFTY GRP'!C47</f>
        <v>TECHM</v>
      </c>
      <c r="B52" s="140">
        <f>VLOOKUP($A52,'Data shares'!$C:$FA,7)</f>
        <v>1439.3</v>
      </c>
      <c r="C52" s="140">
        <f>VLOOKUP($A52,'Data shares'!$C:$FA,3)</f>
        <v>1438.8</v>
      </c>
      <c r="D52" s="50">
        <f>VLOOKUP($A52,'Data shares'!$C:$FA,6)*100</f>
        <v>2.79</v>
      </c>
      <c r="E52" s="51">
        <f>VLOOKUP($A52,'Data shares'!$C:$FA,98)</f>
        <v>24659400</v>
      </c>
      <c r="F52" s="51">
        <f>VLOOKUP($A52,'Data shares'!$C:$FA,99)</f>
        <v>23741400</v>
      </c>
      <c r="G52" s="50">
        <f>VLOOKUP($A52,'Data shares'!$C:$FA,101)*100</f>
        <v>3.8699999999999997</v>
      </c>
      <c r="H52" s="49">
        <f>VLOOKUP($A52,'Data Vlaue (Cr)'!$C:$FB,99)</f>
        <v>3548</v>
      </c>
      <c r="I52" s="49">
        <f>VLOOKUP($A52,'Data Vlaue (Cr)'!$C:$FB,100)</f>
        <v>3416</v>
      </c>
      <c r="J52" s="49">
        <f>VLOOKUP($A52,'Data Vlaue (Cr)'!$C:$FB,102)*100</f>
        <v>3.8699999999999997</v>
      </c>
    </row>
    <row r="53" spans="1:10" x14ac:dyDescent="0.25">
      <c r="A53" s="101" t="str">
        <f>'NIFTY GRP'!C48</f>
        <v>TITAN</v>
      </c>
      <c r="B53" s="140">
        <f>VLOOKUP($A53,'Data shares'!$C:$FA,7)</f>
        <v>3425.4</v>
      </c>
      <c r="C53" s="140">
        <f>VLOOKUP($A53,'Data shares'!$C:$FA,3)</f>
        <v>3443.8</v>
      </c>
      <c r="D53" s="50">
        <f>VLOOKUP($A53,'Data shares'!$C:$FA,6)*100</f>
        <v>-0.64</v>
      </c>
      <c r="E53" s="51">
        <f>VLOOKUP($A53,'Data shares'!$C:$FA,98)</f>
        <v>17953600</v>
      </c>
      <c r="F53" s="51">
        <f>VLOOKUP($A53,'Data shares'!$C:$FA,99)</f>
        <v>16970975</v>
      </c>
      <c r="G53" s="50">
        <f>VLOOKUP($A53,'Data shares'!$C:$FA,101)*100</f>
        <v>5.79</v>
      </c>
      <c r="H53" s="49">
        <f>VLOOKUP($A53,'Data Vlaue (Cr)'!$C:$FB,99)</f>
        <v>6183</v>
      </c>
      <c r="I53" s="49">
        <f>VLOOKUP($A53,'Data Vlaue (Cr)'!$C:$FB,100)</f>
        <v>5844</v>
      </c>
      <c r="J53" s="49">
        <f>VLOOKUP($A53,'Data Vlaue (Cr)'!$C:$FB,102)*100</f>
        <v>5.79</v>
      </c>
    </row>
    <row r="54" spans="1:10" x14ac:dyDescent="0.25">
      <c r="A54" s="101" t="str">
        <f>'NIFTY GRP'!C49</f>
        <v>TRENT</v>
      </c>
      <c r="B54" s="140">
        <f>VLOOKUP($A54,'Data shares'!$C:$FA,7)</f>
        <v>4777.3</v>
      </c>
      <c r="C54" s="140">
        <f>VLOOKUP($A54,'Data shares'!$C:$FA,3)</f>
        <v>4817.2</v>
      </c>
      <c r="D54" s="50">
        <f>VLOOKUP($A54,'Data shares'!$C:$FA,6)*100</f>
        <v>-0.61</v>
      </c>
      <c r="E54" s="51">
        <f>VLOOKUP($A54,'Data shares'!$C:$FA,98)</f>
        <v>15807800</v>
      </c>
      <c r="F54" s="51">
        <f>VLOOKUP($A54,'Data shares'!$C:$FA,99)</f>
        <v>13752400</v>
      </c>
      <c r="G54" s="50">
        <f>VLOOKUP($A54,'Data shares'!$C:$FA,101)*100</f>
        <v>14.95</v>
      </c>
      <c r="H54" s="49">
        <f>VLOOKUP($A54,'Data Vlaue (Cr)'!$C:$FB,99)</f>
        <v>7615</v>
      </c>
      <c r="I54" s="49">
        <f>VLOOKUP($A54,'Data Vlaue (Cr)'!$C:$FB,100)</f>
        <v>6625</v>
      </c>
      <c r="J54" s="49">
        <f>VLOOKUP($A54,'Data Vlaue (Cr)'!$C:$FB,102)*100</f>
        <v>14.95</v>
      </c>
    </row>
    <row r="55" spans="1:10" x14ac:dyDescent="0.25">
      <c r="A55" s="101" t="str">
        <f>'NIFTY GRP'!C50</f>
        <v>ULTRACEMCO</v>
      </c>
      <c r="B55" s="140">
        <f>VLOOKUP($A55,'Data shares'!$C:$FA,7)</f>
        <v>12055</v>
      </c>
      <c r="C55" s="140">
        <f>VLOOKUP($A55,'Data shares'!$C:$FA,3)</f>
        <v>12097</v>
      </c>
      <c r="D55" s="50">
        <f>VLOOKUP($A55,'Data shares'!$C:$FA,6)*100</f>
        <v>0.01</v>
      </c>
      <c r="E55" s="51">
        <f>VLOOKUP($A55,'Data shares'!$C:$FA,98)</f>
        <v>3411800</v>
      </c>
      <c r="F55" s="51">
        <f>VLOOKUP($A55,'Data shares'!$C:$FA,99)</f>
        <v>3368100</v>
      </c>
      <c r="G55" s="50">
        <f>VLOOKUP($A55,'Data shares'!$C:$FA,101)*100</f>
        <v>1.3</v>
      </c>
      <c r="H55" s="49">
        <f>VLOOKUP($A55,'Data Vlaue (Cr)'!$C:$FB,99)</f>
        <v>4127</v>
      </c>
      <c r="I55" s="49">
        <f>VLOOKUP($A55,'Data Vlaue (Cr)'!$C:$FB,100)</f>
        <v>4074</v>
      </c>
      <c r="J55" s="49">
        <f>VLOOKUP($A55,'Data Vlaue (Cr)'!$C:$FB,102)*100</f>
        <v>1.3</v>
      </c>
    </row>
    <row r="56" spans="1:10" x14ac:dyDescent="0.25">
      <c r="A56" s="101" t="str">
        <f>'NIFTY GRP'!C51</f>
        <v>WIPRO</v>
      </c>
      <c r="B56" s="140">
        <f>VLOOKUP($A56,'Data shares'!$C:$FA,7)</f>
        <v>242.13</v>
      </c>
      <c r="C56" s="140">
        <f>VLOOKUP($A56,'Data shares'!$C:$FA,3)</f>
        <v>241.76</v>
      </c>
      <c r="D56" s="50">
        <f>VLOOKUP($A56,'Data shares'!$C:$FA,6)*100</f>
        <v>1.1400000000000001</v>
      </c>
      <c r="E56" s="51">
        <f>VLOOKUP($A56,'Data shares'!$C:$FA,98)</f>
        <v>204702000</v>
      </c>
      <c r="F56" s="51">
        <f>VLOOKUP($A56,'Data shares'!$C:$FA,99)</f>
        <v>200043000</v>
      </c>
      <c r="G56" s="50">
        <f>VLOOKUP($A56,'Data shares'!$C:$FA,101)*100</f>
        <v>2.33</v>
      </c>
      <c r="H56" s="49">
        <f>VLOOKUP($A56,'Data Vlaue (Cr)'!$C:$FB,99)</f>
        <v>4949</v>
      </c>
      <c r="I56" s="49">
        <f>VLOOKUP($A56,'Data Vlaue (Cr)'!$C:$FB,100)</f>
        <v>4836</v>
      </c>
      <c r="J56" s="49">
        <f>VLOOKUP($A56,'Data Vlaue (Cr)'!$C:$FB,102)*100</f>
        <v>2.33</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f>SUM(E7:E93)</f>
        <v>4194964850</v>
      </c>
      <c r="F94" s="127">
        <f>SUM(F7:F93)</f>
        <v>4088614700</v>
      </c>
      <c r="G94" s="128">
        <f>(E94-F94)/F94</f>
        <v>2.6011291795238128E-2</v>
      </c>
      <c r="H94" s="127">
        <f>SUM(H7:H93)</f>
        <v>389337</v>
      </c>
      <c r="I94" s="127">
        <f>SUM(I7:I93)</f>
        <v>380427</v>
      </c>
      <c r="J94" s="128">
        <f>(H94-I94)/I94</f>
        <v>2.3421050556348525E-2</v>
      </c>
    </row>
    <row r="95" spans="1:10" s="88" customFormat="1" ht="13.5" customHeight="1" x14ac:dyDescent="0.25">
      <c r="A95" s="126" t="s">
        <v>398</v>
      </c>
      <c r="B95" s="122"/>
      <c r="C95" s="122"/>
      <c r="D95" s="122"/>
      <c r="E95" s="125">
        <f>E94/10000000</f>
        <v>419.49648500000001</v>
      </c>
      <c r="F95" s="125">
        <f>F94/10000000</f>
        <v>408.86147</v>
      </c>
      <c r="G95" s="128">
        <f>(E95-F95)/F95</f>
        <v>2.6011291795238152E-2</v>
      </c>
      <c r="H95" s="129">
        <f>H94/10000000</f>
        <v>3.8933700000000002E-2</v>
      </c>
      <c r="I95" s="129">
        <f>I94/10000000</f>
        <v>3.8042699999999999E-2</v>
      </c>
      <c r="J95" s="128">
        <f>(H95-I95)/I95</f>
        <v>2.3421050556348601E-2</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f>H94</f>
        <v>389337</v>
      </c>
      <c r="B103" s="38">
        <f>I94</f>
        <v>380427</v>
      </c>
      <c r="C103" s="42">
        <f>J94</f>
        <v>2.3421050556348525E-2</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148" activePane="bottomLeft" state="frozen"/>
      <selection pane="bottomLeft" activeCell="A49" sqref="A49:K4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45936</v>
      </c>
      <c r="C6" s="76" t="s">
        <v>328</v>
      </c>
      <c r="D6" s="3">
        <f>B6</f>
        <v>45936</v>
      </c>
      <c r="E6" s="76" t="s">
        <v>322</v>
      </c>
      <c r="F6" s="76" t="s">
        <v>328</v>
      </c>
      <c r="G6" s="3">
        <f>D6</f>
        <v>45936</v>
      </c>
      <c r="H6" s="76" t="s">
        <v>322</v>
      </c>
      <c r="I6" s="76" t="s">
        <v>328</v>
      </c>
      <c r="J6" s="3">
        <f>D6</f>
        <v>45936</v>
      </c>
      <c r="K6" s="76" t="s">
        <v>322</v>
      </c>
      <c r="L6" s="76" t="s">
        <v>328</v>
      </c>
      <c r="M6" s="3">
        <f>D6</f>
        <v>45936</v>
      </c>
      <c r="N6" s="76" t="s">
        <v>322</v>
      </c>
      <c r="O6" s="76" t="s">
        <v>328</v>
      </c>
    </row>
    <row r="7" spans="1:15" x14ac:dyDescent="0.25">
      <c r="A7" s="101" t="str">
        <f>'Data Vlaue (Cr)'!C2</f>
        <v>360ONE</v>
      </c>
      <c r="B7" s="50">
        <f>VLOOKUP($A7,'Data Vlaue (Cr)'!$C:$FB,8)</f>
        <v>1062.4000000000001</v>
      </c>
      <c r="C7" s="50">
        <f>VLOOKUP($A7,'Data Vlaue (Cr)'!$C:$FB,11)*100</f>
        <v>1.26</v>
      </c>
      <c r="D7" s="50">
        <f>VLOOKUP($A7,'Data Vlaue (Cr)'!$C:$FB,143)</f>
        <v>151.63</v>
      </c>
      <c r="E7" s="50">
        <f>VLOOKUP($A7,'Data Vlaue (Cr)'!$C:$FB,144)</f>
        <v>156.61000000000001</v>
      </c>
      <c r="F7" s="50">
        <f>VLOOKUP($A7,'Data Vlaue (Cr)'!$C:$FB,146)*100</f>
        <v>-3.18</v>
      </c>
      <c r="G7" s="49">
        <f>VLOOKUP($A7,'Data Vlaue (Cr)'!$C:$FB,43)</f>
        <v>32</v>
      </c>
      <c r="H7" s="49">
        <f>VLOOKUP($A7,'Data Vlaue (Cr)'!$C:$FB,44)</f>
        <v>46</v>
      </c>
      <c r="I7" s="49">
        <f>VLOOKUP($A7,'Data Vlaue (Cr)'!$C:$FB,46)*100</f>
        <v>-30.64</v>
      </c>
      <c r="J7" s="51">
        <f>VLOOKUP($A7,'Data Vlaue (Cr)'!$C:$FB,59)</f>
        <v>101</v>
      </c>
      <c r="K7" s="51">
        <f>VLOOKUP($A7,'Data Vlaue (Cr)'!$C:$FB,60)</f>
        <v>90</v>
      </c>
      <c r="L7" s="51">
        <f>VLOOKUP($A7,'Data Vlaue (Cr)'!$C:$FB,62)*100</f>
        <v>13.139999999999999</v>
      </c>
      <c r="M7" s="51">
        <f>VLOOKUP($A7,'Data Vlaue (Cr)'!$C:$FB,63)</f>
        <v>16</v>
      </c>
      <c r="N7" s="51">
        <f>VLOOKUP($A7,'Data Vlaue (Cr)'!$C:$FB,64)</f>
        <v>20</v>
      </c>
      <c r="O7" s="51">
        <f>VLOOKUP($A7,'Data Vlaue (Cr)'!$C:$FB,66)*100</f>
        <v>-20.22</v>
      </c>
    </row>
    <row r="8" spans="1:15" x14ac:dyDescent="0.25">
      <c r="A8" s="101" t="str">
        <f>'Data Vlaue (Cr)'!C3</f>
        <v>ABB</v>
      </c>
      <c r="B8" s="50">
        <f>VLOOKUP($A8,'Data Vlaue (Cr)'!$C:$FB,8)</f>
        <v>5218</v>
      </c>
      <c r="C8" s="50">
        <f>VLOOKUP($A8,'Data Vlaue (Cr)'!$C:$FB,11)*100</f>
        <v>0.67</v>
      </c>
      <c r="D8" s="50">
        <f>VLOOKUP($A8,'Data Vlaue (Cr)'!$C:$FB,143)</f>
        <v>1034.03</v>
      </c>
      <c r="E8" s="50">
        <f>VLOOKUP($A8,'Data Vlaue (Cr)'!$C:$FB,144)</f>
        <v>485.89</v>
      </c>
      <c r="F8" s="50">
        <f>VLOOKUP($A8,'Data Vlaue (Cr)'!$C:$FB,146)*100</f>
        <v>112.81000000000002</v>
      </c>
      <c r="G8" s="49">
        <f>VLOOKUP($A8,'Data Vlaue (Cr)'!$C:$FB,43)</f>
        <v>215</v>
      </c>
      <c r="H8" s="49">
        <f>VLOOKUP($A8,'Data Vlaue (Cr)'!$C:$FB,44)</f>
        <v>113</v>
      </c>
      <c r="I8" s="49">
        <f>VLOOKUP($A8,'Data Vlaue (Cr)'!$C:$FB,46)*100</f>
        <v>91.14</v>
      </c>
      <c r="J8" s="51">
        <f>VLOOKUP($A8,'Data Vlaue (Cr)'!$C:$FB,59)</f>
        <v>635</v>
      </c>
      <c r="K8" s="51">
        <f>VLOOKUP($A8,'Data Vlaue (Cr)'!$C:$FB,60)</f>
        <v>241</v>
      </c>
      <c r="L8" s="51">
        <f>VLOOKUP($A8,'Data Vlaue (Cr)'!$C:$FB,62)*100</f>
        <v>163.72999999999999</v>
      </c>
      <c r="M8" s="51">
        <f>VLOOKUP($A8,'Data Vlaue (Cr)'!$C:$FB,63)</f>
        <v>161</v>
      </c>
      <c r="N8" s="51">
        <f>VLOOKUP($A8,'Data Vlaue (Cr)'!$C:$FB,64)</f>
        <v>125</v>
      </c>
      <c r="O8" s="51">
        <f>VLOOKUP($A8,'Data Vlaue (Cr)'!$C:$FB,66)*100</f>
        <v>29.099999999999998</v>
      </c>
    </row>
    <row r="9" spans="1:15" x14ac:dyDescent="0.25">
      <c r="A9" s="101" t="str">
        <f>'Data Vlaue (Cr)'!C4</f>
        <v>ABCAPITAL</v>
      </c>
      <c r="B9" s="50">
        <f>VLOOKUP($A9,'Data Vlaue (Cr)'!$C:$FB,8)</f>
        <v>304.05</v>
      </c>
      <c r="C9" s="50">
        <f>VLOOKUP($A9,'Data Vlaue (Cr)'!$C:$FB,11)*100</f>
        <v>0.03</v>
      </c>
      <c r="D9" s="50">
        <f>VLOOKUP($A9,'Data Vlaue (Cr)'!$C:$FB,143)</f>
        <v>1628.57</v>
      </c>
      <c r="E9" s="50">
        <f>VLOOKUP($A9,'Data Vlaue (Cr)'!$C:$FB,144)</f>
        <v>1980.2</v>
      </c>
      <c r="F9" s="50">
        <f>VLOOKUP($A9,'Data Vlaue (Cr)'!$C:$FB,146)*100</f>
        <v>-17.760000000000002</v>
      </c>
      <c r="G9" s="49">
        <f>VLOOKUP($A9,'Data Vlaue (Cr)'!$C:$FB,43)</f>
        <v>412</v>
      </c>
      <c r="H9" s="49">
        <f>VLOOKUP($A9,'Data Vlaue (Cr)'!$C:$FB,44)</f>
        <v>455</v>
      </c>
      <c r="I9" s="49">
        <f>VLOOKUP($A9,'Data Vlaue (Cr)'!$C:$FB,46)*100</f>
        <v>-9.5699999999999985</v>
      </c>
      <c r="J9" s="51">
        <f>VLOOKUP($A9,'Data Vlaue (Cr)'!$C:$FB,59)</f>
        <v>809</v>
      </c>
      <c r="K9" s="51">
        <f>VLOOKUP($A9,'Data Vlaue (Cr)'!$C:$FB,60)</f>
        <v>1018</v>
      </c>
      <c r="L9" s="51">
        <f>VLOOKUP($A9,'Data Vlaue (Cr)'!$C:$FB,62)*100</f>
        <v>-20.59</v>
      </c>
      <c r="M9" s="51">
        <f>VLOOKUP($A9,'Data Vlaue (Cr)'!$C:$FB,63)</f>
        <v>393</v>
      </c>
      <c r="N9" s="51">
        <f>VLOOKUP($A9,'Data Vlaue (Cr)'!$C:$FB,64)</f>
        <v>493</v>
      </c>
      <c r="O9" s="51">
        <f>VLOOKUP($A9,'Data Vlaue (Cr)'!$C:$FB,66)*100</f>
        <v>-20.369999999999997</v>
      </c>
    </row>
    <row r="10" spans="1:15" x14ac:dyDescent="0.25">
      <c r="A10" s="101" t="str">
        <f>'Data Vlaue (Cr)'!C5</f>
        <v>ADANIENSOL</v>
      </c>
      <c r="B10" s="50">
        <f>VLOOKUP($A10,'Data Vlaue (Cr)'!$C:$FB,8)</f>
        <v>926.65</v>
      </c>
      <c r="C10" s="50">
        <f>VLOOKUP($A10,'Data Vlaue (Cr)'!$C:$FB,11)*100</f>
        <v>1.1199999999999999</v>
      </c>
      <c r="D10" s="50">
        <f>VLOOKUP($A10,'Data Vlaue (Cr)'!$C:$FB,143)</f>
        <v>570.27</v>
      </c>
      <c r="E10" s="50">
        <f>VLOOKUP($A10,'Data Vlaue (Cr)'!$C:$FB,144)</f>
        <v>787.84</v>
      </c>
      <c r="F10" s="50">
        <f>VLOOKUP($A10,'Data Vlaue (Cr)'!$C:$FB,146)*100</f>
        <v>-27.62</v>
      </c>
      <c r="G10" s="49">
        <f>VLOOKUP($A10,'Data Vlaue (Cr)'!$C:$FB,43)</f>
        <v>141</v>
      </c>
      <c r="H10" s="49">
        <f>VLOOKUP($A10,'Data Vlaue (Cr)'!$C:$FB,44)</f>
        <v>198</v>
      </c>
      <c r="I10" s="49">
        <f>VLOOKUP($A10,'Data Vlaue (Cr)'!$C:$FB,46)*100</f>
        <v>-28.79</v>
      </c>
      <c r="J10" s="51">
        <f>VLOOKUP($A10,'Data Vlaue (Cr)'!$C:$FB,59)</f>
        <v>318</v>
      </c>
      <c r="K10" s="51">
        <f>VLOOKUP($A10,'Data Vlaue (Cr)'!$C:$FB,60)</f>
        <v>440</v>
      </c>
      <c r="L10" s="51">
        <f>VLOOKUP($A10,'Data Vlaue (Cr)'!$C:$FB,62)*100</f>
        <v>-27.63</v>
      </c>
      <c r="M10" s="51">
        <f>VLOOKUP($A10,'Data Vlaue (Cr)'!$C:$FB,63)</f>
        <v>99</v>
      </c>
      <c r="N10" s="51">
        <f>VLOOKUP($A10,'Data Vlaue (Cr)'!$C:$FB,64)</f>
        <v>142</v>
      </c>
      <c r="O10" s="51">
        <f>VLOOKUP($A10,'Data Vlaue (Cr)'!$C:$FB,66)*100</f>
        <v>-30.509999999999998</v>
      </c>
    </row>
    <row r="11" spans="1:15" x14ac:dyDescent="0.25">
      <c r="A11" s="101" t="str">
        <f>'Data Vlaue (Cr)'!C6</f>
        <v>ADANIENT</v>
      </c>
      <c r="B11" s="50">
        <f>VLOOKUP($A11,'Data Vlaue (Cr)'!$C:$FB,8)</f>
        <v>2573.5</v>
      </c>
      <c r="C11" s="50">
        <f>VLOOKUP($A11,'Data Vlaue (Cr)'!$C:$FB,11)*100</f>
        <v>-0.63</v>
      </c>
      <c r="D11" s="50">
        <f>VLOOKUP($A11,'Data Vlaue (Cr)'!$C:$FB,143)</f>
        <v>2247.88</v>
      </c>
      <c r="E11" s="50">
        <f>VLOOKUP($A11,'Data Vlaue (Cr)'!$C:$FB,144)</f>
        <v>3804.59</v>
      </c>
      <c r="F11" s="50">
        <f>VLOOKUP($A11,'Data Vlaue (Cr)'!$C:$FB,146)*100</f>
        <v>-40.92</v>
      </c>
      <c r="G11" s="49">
        <f>VLOOKUP($A11,'Data Vlaue (Cr)'!$C:$FB,43)</f>
        <v>418</v>
      </c>
      <c r="H11" s="49">
        <f>VLOOKUP($A11,'Data Vlaue (Cr)'!$C:$FB,44)</f>
        <v>562</v>
      </c>
      <c r="I11" s="49">
        <f>VLOOKUP($A11,'Data Vlaue (Cr)'!$C:$FB,46)*100</f>
        <v>-25.629999999999995</v>
      </c>
      <c r="J11" s="51">
        <f>VLOOKUP($A11,'Data Vlaue (Cr)'!$C:$FB,59)</f>
        <v>1261</v>
      </c>
      <c r="K11" s="51">
        <f>VLOOKUP($A11,'Data Vlaue (Cr)'!$C:$FB,60)</f>
        <v>2151</v>
      </c>
      <c r="L11" s="51">
        <f>VLOOKUP($A11,'Data Vlaue (Cr)'!$C:$FB,62)*100</f>
        <v>-41.4</v>
      </c>
      <c r="M11" s="51">
        <f>VLOOKUP($A11,'Data Vlaue (Cr)'!$C:$FB,63)</f>
        <v>498</v>
      </c>
      <c r="N11" s="51">
        <f>VLOOKUP($A11,'Data Vlaue (Cr)'!$C:$FB,64)</f>
        <v>959</v>
      </c>
      <c r="O11" s="51">
        <f>VLOOKUP($A11,'Data Vlaue (Cr)'!$C:$FB,66)*100</f>
        <v>-48.1</v>
      </c>
    </row>
    <row r="12" spans="1:15" x14ac:dyDescent="0.25">
      <c r="A12" s="101" t="str">
        <f>'Data Vlaue (Cr)'!C7</f>
        <v>ADANIGREEN</v>
      </c>
      <c r="B12" s="50">
        <f>VLOOKUP($A12,'Data Vlaue (Cr)'!$C:$FB,8)</f>
        <v>1059.4000000000001</v>
      </c>
      <c r="C12" s="50">
        <f>VLOOKUP($A12,'Data Vlaue (Cr)'!$C:$FB,11)*100</f>
        <v>-1.02</v>
      </c>
      <c r="D12" s="50">
        <f>VLOOKUP($A12,'Data Vlaue (Cr)'!$C:$FB,143)</f>
        <v>1336.64</v>
      </c>
      <c r="E12" s="50">
        <f>VLOOKUP($A12,'Data Vlaue (Cr)'!$C:$FB,144)</f>
        <v>2392.75</v>
      </c>
      <c r="F12" s="50">
        <f>VLOOKUP($A12,'Data Vlaue (Cr)'!$C:$FB,146)*100</f>
        <v>-44.14</v>
      </c>
      <c r="G12" s="49">
        <f>VLOOKUP($A12,'Data Vlaue (Cr)'!$C:$FB,43)</f>
        <v>206</v>
      </c>
      <c r="H12" s="49">
        <f>VLOOKUP($A12,'Data Vlaue (Cr)'!$C:$FB,44)</f>
        <v>294</v>
      </c>
      <c r="I12" s="49">
        <f>VLOOKUP($A12,'Data Vlaue (Cr)'!$C:$FB,46)*100</f>
        <v>-29.84</v>
      </c>
      <c r="J12" s="51">
        <f>VLOOKUP($A12,'Data Vlaue (Cr)'!$C:$FB,59)</f>
        <v>793</v>
      </c>
      <c r="K12" s="51">
        <f>VLOOKUP($A12,'Data Vlaue (Cr)'!$C:$FB,60)</f>
        <v>1459</v>
      </c>
      <c r="L12" s="51">
        <f>VLOOKUP($A12,'Data Vlaue (Cr)'!$C:$FB,62)*100</f>
        <v>-45.61</v>
      </c>
      <c r="M12" s="51">
        <f>VLOOKUP($A12,'Data Vlaue (Cr)'!$C:$FB,63)</f>
        <v>275</v>
      </c>
      <c r="N12" s="51">
        <f>VLOOKUP($A12,'Data Vlaue (Cr)'!$C:$FB,64)</f>
        <v>528</v>
      </c>
      <c r="O12" s="51">
        <f>VLOOKUP($A12,'Data Vlaue (Cr)'!$C:$FB,66)*100</f>
        <v>-47.94</v>
      </c>
    </row>
    <row r="13" spans="1:15" x14ac:dyDescent="0.25">
      <c r="A13" s="101" t="str">
        <f>'Data Vlaue (Cr)'!C8</f>
        <v>ADANIPORTS</v>
      </c>
      <c r="B13" s="50">
        <f>VLOOKUP($A13,'Data Vlaue (Cr)'!$C:$FB,8)</f>
        <v>1400.5</v>
      </c>
      <c r="C13" s="50">
        <f>VLOOKUP($A13,'Data Vlaue (Cr)'!$C:$FB,11)*100</f>
        <v>-1.31</v>
      </c>
      <c r="D13" s="50">
        <f>VLOOKUP($A13,'Data Vlaue (Cr)'!$C:$FB,143)</f>
        <v>2310.14</v>
      </c>
      <c r="E13" s="50">
        <f>VLOOKUP($A13,'Data Vlaue (Cr)'!$C:$FB,144)</f>
        <v>1907.65</v>
      </c>
      <c r="F13" s="50">
        <f>VLOOKUP($A13,'Data Vlaue (Cr)'!$C:$FB,146)*100</f>
        <v>21.099999999999998</v>
      </c>
      <c r="G13" s="49">
        <f>VLOOKUP($A13,'Data Vlaue (Cr)'!$C:$FB,43)</f>
        <v>394</v>
      </c>
      <c r="H13" s="49">
        <f>VLOOKUP($A13,'Data Vlaue (Cr)'!$C:$FB,44)</f>
        <v>320</v>
      </c>
      <c r="I13" s="49">
        <f>VLOOKUP($A13,'Data Vlaue (Cr)'!$C:$FB,46)*100</f>
        <v>23.22</v>
      </c>
      <c r="J13" s="51">
        <f>VLOOKUP($A13,'Data Vlaue (Cr)'!$C:$FB,59)</f>
        <v>1227</v>
      </c>
      <c r="K13" s="51">
        <f>VLOOKUP($A13,'Data Vlaue (Cr)'!$C:$FB,60)</f>
        <v>1105</v>
      </c>
      <c r="L13" s="51">
        <f>VLOOKUP($A13,'Data Vlaue (Cr)'!$C:$FB,62)*100</f>
        <v>11.05</v>
      </c>
      <c r="M13" s="51">
        <f>VLOOKUP($A13,'Data Vlaue (Cr)'!$C:$FB,63)</f>
        <v>639</v>
      </c>
      <c r="N13" s="51">
        <f>VLOOKUP($A13,'Data Vlaue (Cr)'!$C:$FB,64)</f>
        <v>412</v>
      </c>
      <c r="O13" s="51">
        <f>VLOOKUP($A13,'Data Vlaue (Cr)'!$C:$FB,66)*100</f>
        <v>55.120000000000005</v>
      </c>
    </row>
    <row r="14" spans="1:15" x14ac:dyDescent="0.25">
      <c r="A14" s="101" t="str">
        <f>'Data Vlaue (Cr)'!C9</f>
        <v>ALKEM</v>
      </c>
      <c r="B14" s="50">
        <f>VLOOKUP($A14,'Data Vlaue (Cr)'!$C:$FB,8)</f>
        <v>5494</v>
      </c>
      <c r="C14" s="50">
        <f>VLOOKUP($A14,'Data Vlaue (Cr)'!$C:$FB,11)*100</f>
        <v>0.96</v>
      </c>
      <c r="D14" s="50">
        <f>VLOOKUP($A14,'Data Vlaue (Cr)'!$C:$FB,143)</f>
        <v>286.75</v>
      </c>
      <c r="E14" s="50">
        <f>VLOOKUP($A14,'Data Vlaue (Cr)'!$C:$FB,144)</f>
        <v>270.54000000000002</v>
      </c>
      <c r="F14" s="50">
        <f>VLOOKUP($A14,'Data Vlaue (Cr)'!$C:$FB,146)*100</f>
        <v>5.99</v>
      </c>
      <c r="G14" s="49">
        <f>VLOOKUP($A14,'Data Vlaue (Cr)'!$C:$FB,43)</f>
        <v>77</v>
      </c>
      <c r="H14" s="49">
        <f>VLOOKUP($A14,'Data Vlaue (Cr)'!$C:$FB,44)</f>
        <v>48</v>
      </c>
      <c r="I14" s="49">
        <f>VLOOKUP($A14,'Data Vlaue (Cr)'!$C:$FB,46)*100</f>
        <v>60.78</v>
      </c>
      <c r="J14" s="51">
        <f>VLOOKUP($A14,'Data Vlaue (Cr)'!$C:$FB,59)</f>
        <v>153</v>
      </c>
      <c r="K14" s="51">
        <f>VLOOKUP($A14,'Data Vlaue (Cr)'!$C:$FB,60)</f>
        <v>182</v>
      </c>
      <c r="L14" s="51">
        <f>VLOOKUP($A14,'Data Vlaue (Cr)'!$C:$FB,62)*100</f>
        <v>-15.82</v>
      </c>
      <c r="M14" s="51">
        <f>VLOOKUP($A14,'Data Vlaue (Cr)'!$C:$FB,63)</f>
        <v>55</v>
      </c>
      <c r="N14" s="51">
        <f>VLOOKUP($A14,'Data Vlaue (Cr)'!$C:$FB,64)</f>
        <v>36</v>
      </c>
      <c r="O14" s="51">
        <f>VLOOKUP($A14,'Data Vlaue (Cr)'!$C:$FB,66)*100</f>
        <v>50.28</v>
      </c>
    </row>
    <row r="15" spans="1:15" x14ac:dyDescent="0.25">
      <c r="A15" s="101" t="str">
        <f>'Data Vlaue (Cr)'!C10</f>
        <v>AMBER</v>
      </c>
      <c r="B15" s="50">
        <f>VLOOKUP($A15,'Data Vlaue (Cr)'!$C:$FB,8)</f>
        <v>8174.5</v>
      </c>
      <c r="C15" s="50">
        <f>VLOOKUP($A15,'Data Vlaue (Cr)'!$C:$FB,11)*100</f>
        <v>-0.49</v>
      </c>
      <c r="D15" s="50">
        <f>VLOOKUP($A15,'Data Vlaue (Cr)'!$C:$FB,143)</f>
        <v>474.06</v>
      </c>
      <c r="E15" s="50">
        <f>VLOOKUP($A15,'Data Vlaue (Cr)'!$C:$FB,144)</f>
        <v>306.70999999999998</v>
      </c>
      <c r="F15" s="50">
        <f>VLOOKUP($A15,'Data Vlaue (Cr)'!$C:$FB,146)*100</f>
        <v>54.569999999999993</v>
      </c>
      <c r="G15" s="49">
        <f>VLOOKUP($A15,'Data Vlaue (Cr)'!$C:$FB,43)</f>
        <v>106</v>
      </c>
      <c r="H15" s="49">
        <f>VLOOKUP($A15,'Data Vlaue (Cr)'!$C:$FB,44)</f>
        <v>67</v>
      </c>
      <c r="I15" s="49">
        <f>VLOOKUP($A15,'Data Vlaue (Cr)'!$C:$FB,46)*100</f>
        <v>56.97</v>
      </c>
      <c r="J15" s="51">
        <f>VLOOKUP($A15,'Data Vlaue (Cr)'!$C:$FB,59)</f>
        <v>277</v>
      </c>
      <c r="K15" s="51">
        <f>VLOOKUP($A15,'Data Vlaue (Cr)'!$C:$FB,60)</f>
        <v>172</v>
      </c>
      <c r="L15" s="51">
        <f>VLOOKUP($A15,'Data Vlaue (Cr)'!$C:$FB,62)*100</f>
        <v>61.59</v>
      </c>
      <c r="M15" s="51">
        <f>VLOOKUP($A15,'Data Vlaue (Cr)'!$C:$FB,63)</f>
        <v>78</v>
      </c>
      <c r="N15" s="51">
        <f>VLOOKUP($A15,'Data Vlaue (Cr)'!$C:$FB,64)</f>
        <v>59</v>
      </c>
      <c r="O15" s="51">
        <f>VLOOKUP($A15,'Data Vlaue (Cr)'!$C:$FB,66)*100</f>
        <v>33.43</v>
      </c>
    </row>
    <row r="16" spans="1:15" x14ac:dyDescent="0.25">
      <c r="A16" s="101" t="str">
        <f>'Data Vlaue (Cr)'!C11</f>
        <v>AMBUJACEM</v>
      </c>
      <c r="B16" s="50">
        <f>VLOOKUP($A16,'Data Vlaue (Cr)'!$C:$FB,8)</f>
        <v>573.79999999999995</v>
      </c>
      <c r="C16" s="50">
        <f>VLOOKUP($A16,'Data Vlaue (Cr)'!$C:$FB,11)*100</f>
        <v>-0.41000000000000003</v>
      </c>
      <c r="D16" s="50">
        <f>VLOOKUP($A16,'Data Vlaue (Cr)'!$C:$FB,143)</f>
        <v>466.19</v>
      </c>
      <c r="E16" s="50">
        <f>VLOOKUP($A16,'Data Vlaue (Cr)'!$C:$FB,144)</f>
        <v>910.11</v>
      </c>
      <c r="F16" s="50">
        <f>VLOOKUP($A16,'Data Vlaue (Cr)'!$C:$FB,146)*100</f>
        <v>-48.78</v>
      </c>
      <c r="G16" s="49">
        <f>VLOOKUP($A16,'Data Vlaue (Cr)'!$C:$FB,43)</f>
        <v>114</v>
      </c>
      <c r="H16" s="49">
        <f>VLOOKUP($A16,'Data Vlaue (Cr)'!$C:$FB,44)</f>
        <v>254</v>
      </c>
      <c r="I16" s="49">
        <f>VLOOKUP($A16,'Data Vlaue (Cr)'!$C:$FB,46)*100</f>
        <v>-55.089999999999996</v>
      </c>
      <c r="J16" s="51">
        <f>VLOOKUP($A16,'Data Vlaue (Cr)'!$C:$FB,59)</f>
        <v>242</v>
      </c>
      <c r="K16" s="51">
        <f>VLOOKUP($A16,'Data Vlaue (Cr)'!$C:$FB,60)</f>
        <v>453</v>
      </c>
      <c r="L16" s="51">
        <f>VLOOKUP($A16,'Data Vlaue (Cr)'!$C:$FB,62)*100</f>
        <v>-46.72</v>
      </c>
      <c r="M16" s="51">
        <f>VLOOKUP($A16,'Data Vlaue (Cr)'!$C:$FB,63)</f>
        <v>100</v>
      </c>
      <c r="N16" s="51">
        <f>VLOOKUP($A16,'Data Vlaue (Cr)'!$C:$FB,64)</f>
        <v>181</v>
      </c>
      <c r="O16" s="51">
        <f>VLOOKUP($A16,'Data Vlaue (Cr)'!$C:$FB,66)*100</f>
        <v>-44.690000000000005</v>
      </c>
    </row>
    <row r="17" spans="1:15" x14ac:dyDescent="0.25">
      <c r="A17" s="101" t="str">
        <f>'Data Vlaue (Cr)'!C12</f>
        <v>ANGELONE</v>
      </c>
      <c r="B17" s="50">
        <f>VLOOKUP($A17,'Data Vlaue (Cr)'!$C:$FB,8)</f>
        <v>2265.1999999999998</v>
      </c>
      <c r="C17" s="50">
        <f>VLOOKUP($A17,'Data Vlaue (Cr)'!$C:$FB,11)*100</f>
        <v>2.9000000000000004</v>
      </c>
      <c r="D17" s="50">
        <f>VLOOKUP($A17,'Data Vlaue (Cr)'!$C:$FB,143)</f>
        <v>2294.9299999999998</v>
      </c>
      <c r="E17" s="50">
        <f>VLOOKUP($A17,'Data Vlaue (Cr)'!$C:$FB,144)</f>
        <v>914.94</v>
      </c>
      <c r="F17" s="50">
        <f>VLOOKUP($A17,'Data Vlaue (Cr)'!$C:$FB,146)*100</f>
        <v>150.82999999999998</v>
      </c>
      <c r="G17" s="49">
        <f>VLOOKUP($A17,'Data Vlaue (Cr)'!$C:$FB,43)</f>
        <v>470</v>
      </c>
      <c r="H17" s="49">
        <f>VLOOKUP($A17,'Data Vlaue (Cr)'!$C:$FB,44)</f>
        <v>174</v>
      </c>
      <c r="I17" s="49">
        <f>VLOOKUP($A17,'Data Vlaue (Cr)'!$C:$FB,46)*100</f>
        <v>170.93</v>
      </c>
      <c r="J17" s="51">
        <f>VLOOKUP($A17,'Data Vlaue (Cr)'!$C:$FB,59)</f>
        <v>1245</v>
      </c>
      <c r="K17" s="51">
        <f>VLOOKUP($A17,'Data Vlaue (Cr)'!$C:$FB,60)</f>
        <v>514</v>
      </c>
      <c r="L17" s="51">
        <f>VLOOKUP($A17,'Data Vlaue (Cr)'!$C:$FB,62)*100</f>
        <v>142.32</v>
      </c>
      <c r="M17" s="51">
        <f>VLOOKUP($A17,'Data Vlaue (Cr)'!$C:$FB,63)</f>
        <v>538</v>
      </c>
      <c r="N17" s="51">
        <f>VLOOKUP($A17,'Data Vlaue (Cr)'!$C:$FB,64)</f>
        <v>226</v>
      </c>
      <c r="O17" s="51">
        <f>VLOOKUP($A17,'Data Vlaue (Cr)'!$C:$FB,66)*100</f>
        <v>138.32</v>
      </c>
    </row>
    <row r="18" spans="1:15" x14ac:dyDescent="0.25">
      <c r="A18" s="101" t="str">
        <f>'Data Vlaue (Cr)'!C13</f>
        <v>APLAPOLLO</v>
      </c>
      <c r="B18" s="50">
        <f>VLOOKUP($A18,'Data Vlaue (Cr)'!$C:$FB,8)</f>
        <v>1742</v>
      </c>
      <c r="C18" s="50">
        <f>VLOOKUP($A18,'Data Vlaue (Cr)'!$C:$FB,11)*100</f>
        <v>0.22</v>
      </c>
      <c r="D18" s="50">
        <f>VLOOKUP($A18,'Data Vlaue (Cr)'!$C:$FB,143)</f>
        <v>308.37</v>
      </c>
      <c r="E18" s="50">
        <f>VLOOKUP($A18,'Data Vlaue (Cr)'!$C:$FB,144)</f>
        <v>531.83000000000004</v>
      </c>
      <c r="F18" s="50">
        <f>VLOOKUP($A18,'Data Vlaue (Cr)'!$C:$FB,146)*100</f>
        <v>-42.02</v>
      </c>
      <c r="G18" s="49">
        <f>VLOOKUP($A18,'Data Vlaue (Cr)'!$C:$FB,43)</f>
        <v>99</v>
      </c>
      <c r="H18" s="49">
        <f>VLOOKUP($A18,'Data Vlaue (Cr)'!$C:$FB,44)</f>
        <v>187</v>
      </c>
      <c r="I18" s="49">
        <f>VLOOKUP($A18,'Data Vlaue (Cr)'!$C:$FB,46)*100</f>
        <v>-47.17</v>
      </c>
      <c r="J18" s="51">
        <f>VLOOKUP($A18,'Data Vlaue (Cr)'!$C:$FB,59)</f>
        <v>149</v>
      </c>
      <c r="K18" s="51">
        <f>VLOOKUP($A18,'Data Vlaue (Cr)'!$C:$FB,60)</f>
        <v>252</v>
      </c>
      <c r="L18" s="51">
        <f>VLOOKUP($A18,'Data Vlaue (Cr)'!$C:$FB,62)*100</f>
        <v>-40.6</v>
      </c>
      <c r="M18" s="51">
        <f>VLOOKUP($A18,'Data Vlaue (Cr)'!$C:$FB,63)</f>
        <v>57</v>
      </c>
      <c r="N18" s="51">
        <f>VLOOKUP($A18,'Data Vlaue (Cr)'!$C:$FB,64)</f>
        <v>86</v>
      </c>
      <c r="O18" s="51">
        <f>VLOOKUP($A18,'Data Vlaue (Cr)'!$C:$FB,66)*100</f>
        <v>-33.86</v>
      </c>
    </row>
    <row r="19" spans="1:15" x14ac:dyDescent="0.25">
      <c r="A19" s="101" t="str">
        <f>'Data Vlaue (Cr)'!C14</f>
        <v>APOLLOHOSP</v>
      </c>
      <c r="B19" s="50">
        <f>VLOOKUP($A19,'Data Vlaue (Cr)'!$C:$FB,8)</f>
        <v>7662</v>
      </c>
      <c r="C19" s="50">
        <f>VLOOKUP($A19,'Data Vlaue (Cr)'!$C:$FB,11)*100</f>
        <v>2.85</v>
      </c>
      <c r="D19" s="50">
        <f>VLOOKUP($A19,'Data Vlaue (Cr)'!$C:$FB,143)</f>
        <v>4237.8999999999996</v>
      </c>
      <c r="E19" s="50">
        <f>VLOOKUP($A19,'Data Vlaue (Cr)'!$C:$FB,144)</f>
        <v>840.42</v>
      </c>
      <c r="F19" s="50">
        <f>VLOOKUP($A19,'Data Vlaue (Cr)'!$C:$FB,146)*100</f>
        <v>404.26</v>
      </c>
      <c r="G19" s="49">
        <f>VLOOKUP($A19,'Data Vlaue (Cr)'!$C:$FB,43)</f>
        <v>454</v>
      </c>
      <c r="H19" s="49">
        <f>VLOOKUP($A19,'Data Vlaue (Cr)'!$C:$FB,44)</f>
        <v>198</v>
      </c>
      <c r="I19" s="49">
        <f>VLOOKUP($A19,'Data Vlaue (Cr)'!$C:$FB,46)*100</f>
        <v>129.96</v>
      </c>
      <c r="J19" s="51">
        <f>VLOOKUP($A19,'Data Vlaue (Cr)'!$C:$FB,59)</f>
        <v>2741</v>
      </c>
      <c r="K19" s="51">
        <f>VLOOKUP($A19,'Data Vlaue (Cr)'!$C:$FB,60)</f>
        <v>499</v>
      </c>
      <c r="L19" s="51">
        <f>VLOOKUP($A19,'Data Vlaue (Cr)'!$C:$FB,62)*100</f>
        <v>449.44</v>
      </c>
      <c r="M19" s="51">
        <f>VLOOKUP($A19,'Data Vlaue (Cr)'!$C:$FB,63)</f>
        <v>997</v>
      </c>
      <c r="N19" s="51">
        <f>VLOOKUP($A19,'Data Vlaue (Cr)'!$C:$FB,64)</f>
        <v>153</v>
      </c>
      <c r="O19" s="51">
        <f>VLOOKUP($A19,'Data Vlaue (Cr)'!$C:$FB,66)*100</f>
        <v>551.04</v>
      </c>
    </row>
    <row r="20" spans="1:15" x14ac:dyDescent="0.25">
      <c r="A20" s="101" t="str">
        <f>'Data Vlaue (Cr)'!C15</f>
        <v>ASHOKLEY</v>
      </c>
      <c r="B20" s="50">
        <f>VLOOKUP($A20,'Data Vlaue (Cr)'!$C:$FB,8)</f>
        <v>137.78</v>
      </c>
      <c r="C20" s="50">
        <f>VLOOKUP($A20,'Data Vlaue (Cr)'!$C:$FB,11)*100</f>
        <v>-1.44</v>
      </c>
      <c r="D20" s="50">
        <f>VLOOKUP($A20,'Data Vlaue (Cr)'!$C:$FB,143)</f>
        <v>1359.19</v>
      </c>
      <c r="E20" s="50">
        <f>VLOOKUP($A20,'Data Vlaue (Cr)'!$C:$FB,144)</f>
        <v>1756.68</v>
      </c>
      <c r="F20" s="50">
        <f>VLOOKUP($A20,'Data Vlaue (Cr)'!$C:$FB,146)*100</f>
        <v>-22.63</v>
      </c>
      <c r="G20" s="49">
        <f>VLOOKUP($A20,'Data Vlaue (Cr)'!$C:$FB,43)</f>
        <v>301</v>
      </c>
      <c r="H20" s="49">
        <f>VLOOKUP($A20,'Data Vlaue (Cr)'!$C:$FB,44)</f>
        <v>367</v>
      </c>
      <c r="I20" s="49">
        <f>VLOOKUP($A20,'Data Vlaue (Cr)'!$C:$FB,46)*100</f>
        <v>-17.78</v>
      </c>
      <c r="J20" s="51">
        <f>VLOOKUP($A20,'Data Vlaue (Cr)'!$C:$FB,59)</f>
        <v>768</v>
      </c>
      <c r="K20" s="51">
        <f>VLOOKUP($A20,'Data Vlaue (Cr)'!$C:$FB,60)</f>
        <v>994</v>
      </c>
      <c r="L20" s="51">
        <f>VLOOKUP($A20,'Data Vlaue (Cr)'!$C:$FB,62)*100</f>
        <v>-22.770000000000003</v>
      </c>
      <c r="M20" s="51">
        <f>VLOOKUP($A20,'Data Vlaue (Cr)'!$C:$FB,63)</f>
        <v>237</v>
      </c>
      <c r="N20" s="51">
        <f>VLOOKUP($A20,'Data Vlaue (Cr)'!$C:$FB,64)</f>
        <v>323</v>
      </c>
      <c r="O20" s="51">
        <f>VLOOKUP($A20,'Data Vlaue (Cr)'!$C:$FB,66)*100</f>
        <v>-26.619999999999997</v>
      </c>
    </row>
    <row r="21" spans="1:15" x14ac:dyDescent="0.25">
      <c r="A21" s="101" t="str">
        <f>'Data Vlaue (Cr)'!C16</f>
        <v>ASIANPAINT</v>
      </c>
      <c r="B21" s="50">
        <f>VLOOKUP($A21,'Data Vlaue (Cr)'!$C:$FB,8)</f>
        <v>2354.8000000000002</v>
      </c>
      <c r="C21" s="50">
        <f>VLOOKUP($A21,'Data Vlaue (Cr)'!$C:$FB,11)*100</f>
        <v>-0.13</v>
      </c>
      <c r="D21" s="50">
        <f>VLOOKUP($A21,'Data Vlaue (Cr)'!$C:$FB,143)</f>
        <v>1975.39</v>
      </c>
      <c r="E21" s="50">
        <f>VLOOKUP($A21,'Data Vlaue (Cr)'!$C:$FB,144)</f>
        <v>1808.27</v>
      </c>
      <c r="F21" s="50">
        <f>VLOOKUP($A21,'Data Vlaue (Cr)'!$C:$FB,146)*100</f>
        <v>9.24</v>
      </c>
      <c r="G21" s="49">
        <f>VLOOKUP($A21,'Data Vlaue (Cr)'!$C:$FB,43)</f>
        <v>200</v>
      </c>
      <c r="H21" s="49">
        <f>VLOOKUP($A21,'Data Vlaue (Cr)'!$C:$FB,44)</f>
        <v>215</v>
      </c>
      <c r="I21" s="49">
        <f>VLOOKUP($A21,'Data Vlaue (Cr)'!$C:$FB,46)*100</f>
        <v>-7.1400000000000006</v>
      </c>
      <c r="J21" s="51">
        <f>VLOOKUP($A21,'Data Vlaue (Cr)'!$C:$FB,59)</f>
        <v>1252</v>
      </c>
      <c r="K21" s="51">
        <f>VLOOKUP($A21,'Data Vlaue (Cr)'!$C:$FB,60)</f>
        <v>1159</v>
      </c>
      <c r="L21" s="51">
        <f>VLOOKUP($A21,'Data Vlaue (Cr)'!$C:$FB,62)*100</f>
        <v>8.06</v>
      </c>
      <c r="M21" s="51">
        <f>VLOOKUP($A21,'Data Vlaue (Cr)'!$C:$FB,63)</f>
        <v>479</v>
      </c>
      <c r="N21" s="51">
        <f>VLOOKUP($A21,'Data Vlaue (Cr)'!$C:$FB,64)</f>
        <v>396</v>
      </c>
      <c r="O21" s="51">
        <f>VLOOKUP($A21,'Data Vlaue (Cr)'!$C:$FB,66)*100</f>
        <v>21.029999999999998</v>
      </c>
    </row>
    <row r="22" spans="1:15" x14ac:dyDescent="0.25">
      <c r="A22" s="101" t="str">
        <f>'Data Vlaue (Cr)'!C17</f>
        <v>ASTRAL</v>
      </c>
      <c r="B22" s="50">
        <f>VLOOKUP($A22,'Data Vlaue (Cr)'!$C:$FB,8)</f>
        <v>1383.6</v>
      </c>
      <c r="C22" s="50">
        <f>VLOOKUP($A22,'Data Vlaue (Cr)'!$C:$FB,11)*100</f>
        <v>0</v>
      </c>
      <c r="D22" s="50">
        <f>VLOOKUP($A22,'Data Vlaue (Cr)'!$C:$FB,143)</f>
        <v>419.12</v>
      </c>
      <c r="E22" s="50">
        <f>VLOOKUP($A22,'Data Vlaue (Cr)'!$C:$FB,144)</f>
        <v>418.51</v>
      </c>
      <c r="F22" s="50">
        <f>VLOOKUP($A22,'Data Vlaue (Cr)'!$C:$FB,146)*100</f>
        <v>0.15</v>
      </c>
      <c r="G22" s="49">
        <f>VLOOKUP($A22,'Data Vlaue (Cr)'!$C:$FB,43)</f>
        <v>134</v>
      </c>
      <c r="H22" s="49">
        <f>VLOOKUP($A22,'Data Vlaue (Cr)'!$C:$FB,44)</f>
        <v>104</v>
      </c>
      <c r="I22" s="49">
        <f>VLOOKUP($A22,'Data Vlaue (Cr)'!$C:$FB,46)*100</f>
        <v>28.860000000000003</v>
      </c>
      <c r="J22" s="51">
        <f>VLOOKUP($A22,'Data Vlaue (Cr)'!$C:$FB,59)</f>
        <v>191</v>
      </c>
      <c r="K22" s="51">
        <f>VLOOKUP($A22,'Data Vlaue (Cr)'!$C:$FB,60)</f>
        <v>195</v>
      </c>
      <c r="L22" s="51">
        <f>VLOOKUP($A22,'Data Vlaue (Cr)'!$C:$FB,62)*100</f>
        <v>-2.0299999999999998</v>
      </c>
      <c r="M22" s="51">
        <f>VLOOKUP($A22,'Data Vlaue (Cr)'!$C:$FB,63)</f>
        <v>88</v>
      </c>
      <c r="N22" s="51">
        <f>VLOOKUP($A22,'Data Vlaue (Cr)'!$C:$FB,64)</f>
        <v>115</v>
      </c>
      <c r="O22" s="51">
        <f>VLOOKUP($A22,'Data Vlaue (Cr)'!$C:$FB,66)*100</f>
        <v>-23.01</v>
      </c>
    </row>
    <row r="23" spans="1:15" x14ac:dyDescent="0.25">
      <c r="A23" s="101" t="str">
        <f>'Data Vlaue (Cr)'!C18</f>
        <v>AUBANK</v>
      </c>
      <c r="B23" s="50">
        <f>VLOOKUP($A23,'Data Vlaue (Cr)'!$C:$FB,8)</f>
        <v>762.95</v>
      </c>
      <c r="C23" s="50">
        <f>VLOOKUP($A23,'Data Vlaue (Cr)'!$C:$FB,11)*100</f>
        <v>2.8400000000000003</v>
      </c>
      <c r="D23" s="50">
        <f>VLOOKUP($A23,'Data Vlaue (Cr)'!$C:$FB,143)</f>
        <v>2266.86</v>
      </c>
      <c r="E23" s="50">
        <f>VLOOKUP($A23,'Data Vlaue (Cr)'!$C:$FB,144)</f>
        <v>1277.93</v>
      </c>
      <c r="F23" s="50">
        <f>VLOOKUP($A23,'Data Vlaue (Cr)'!$C:$FB,146)*100</f>
        <v>77.39</v>
      </c>
      <c r="G23" s="49">
        <f>VLOOKUP($A23,'Data Vlaue (Cr)'!$C:$FB,43)</f>
        <v>547</v>
      </c>
      <c r="H23" s="49">
        <f>VLOOKUP($A23,'Data Vlaue (Cr)'!$C:$FB,44)</f>
        <v>336</v>
      </c>
      <c r="I23" s="49">
        <f>VLOOKUP($A23,'Data Vlaue (Cr)'!$C:$FB,46)*100</f>
        <v>62.71</v>
      </c>
      <c r="J23" s="51">
        <f>VLOOKUP($A23,'Data Vlaue (Cr)'!$C:$FB,59)</f>
        <v>1196</v>
      </c>
      <c r="K23" s="51">
        <f>VLOOKUP($A23,'Data Vlaue (Cr)'!$C:$FB,60)</f>
        <v>679</v>
      </c>
      <c r="L23" s="51">
        <f>VLOOKUP($A23,'Data Vlaue (Cr)'!$C:$FB,62)*100</f>
        <v>76.039999999999992</v>
      </c>
      <c r="M23" s="51">
        <f>VLOOKUP($A23,'Data Vlaue (Cr)'!$C:$FB,63)</f>
        <v>497</v>
      </c>
      <c r="N23" s="51">
        <f>VLOOKUP($A23,'Data Vlaue (Cr)'!$C:$FB,64)</f>
        <v>274</v>
      </c>
      <c r="O23" s="51">
        <f>VLOOKUP($A23,'Data Vlaue (Cr)'!$C:$FB,66)*100</f>
        <v>81.06</v>
      </c>
    </row>
    <row r="24" spans="1:15" x14ac:dyDescent="0.25">
      <c r="A24" s="101" t="str">
        <f>'Data Vlaue (Cr)'!C19</f>
        <v>AUROPHARMA</v>
      </c>
      <c r="B24" s="50">
        <f>VLOOKUP($A24,'Data Vlaue (Cr)'!$C:$FB,8)</f>
        <v>1096.5</v>
      </c>
      <c r="C24" s="50">
        <f>VLOOKUP($A24,'Data Vlaue (Cr)'!$C:$FB,11)*100</f>
        <v>0.28999999999999998</v>
      </c>
      <c r="D24" s="50">
        <f>VLOOKUP($A24,'Data Vlaue (Cr)'!$C:$FB,143)</f>
        <v>486.92</v>
      </c>
      <c r="E24" s="50">
        <f>VLOOKUP($A24,'Data Vlaue (Cr)'!$C:$FB,144)</f>
        <v>510.72</v>
      </c>
      <c r="F24" s="50">
        <f>VLOOKUP($A24,'Data Vlaue (Cr)'!$C:$FB,146)*100</f>
        <v>-4.66</v>
      </c>
      <c r="G24" s="49">
        <f>VLOOKUP($A24,'Data Vlaue (Cr)'!$C:$FB,43)</f>
        <v>137</v>
      </c>
      <c r="H24" s="49">
        <f>VLOOKUP($A24,'Data Vlaue (Cr)'!$C:$FB,44)</f>
        <v>109</v>
      </c>
      <c r="I24" s="49">
        <f>VLOOKUP($A24,'Data Vlaue (Cr)'!$C:$FB,46)*100</f>
        <v>25.71</v>
      </c>
      <c r="J24" s="51">
        <f>VLOOKUP($A24,'Data Vlaue (Cr)'!$C:$FB,59)</f>
        <v>232</v>
      </c>
      <c r="K24" s="51">
        <f>VLOOKUP($A24,'Data Vlaue (Cr)'!$C:$FB,60)</f>
        <v>248</v>
      </c>
      <c r="L24" s="51">
        <f>VLOOKUP($A24,'Data Vlaue (Cr)'!$C:$FB,62)*100</f>
        <v>-6.2</v>
      </c>
      <c r="M24" s="51">
        <f>VLOOKUP($A24,'Data Vlaue (Cr)'!$C:$FB,63)</f>
        <v>112</v>
      </c>
      <c r="N24" s="51">
        <f>VLOOKUP($A24,'Data Vlaue (Cr)'!$C:$FB,64)</f>
        <v>146</v>
      </c>
      <c r="O24" s="51">
        <f>VLOOKUP($A24,'Data Vlaue (Cr)'!$C:$FB,66)*100</f>
        <v>-23.03</v>
      </c>
    </row>
    <row r="25" spans="1:15" x14ac:dyDescent="0.25">
      <c r="A25" s="101" t="str">
        <f>'Data Vlaue (Cr)'!C20</f>
        <v>AXISBANK</v>
      </c>
      <c r="B25" s="50">
        <f>VLOOKUP($A25,'Data Vlaue (Cr)'!$C:$FB,8)</f>
        <v>1212.8</v>
      </c>
      <c r="C25" s="50">
        <f>VLOOKUP($A25,'Data Vlaue (Cr)'!$C:$FB,11)*100</f>
        <v>2.69</v>
      </c>
      <c r="D25" s="50">
        <f>VLOOKUP($A25,'Data Vlaue (Cr)'!$C:$FB,143)</f>
        <v>12472.78</v>
      </c>
      <c r="E25" s="50">
        <f>VLOOKUP($A25,'Data Vlaue (Cr)'!$C:$FB,144)</f>
        <v>8491.84</v>
      </c>
      <c r="F25" s="50">
        <f>VLOOKUP($A25,'Data Vlaue (Cr)'!$C:$FB,146)*100</f>
        <v>46.88</v>
      </c>
      <c r="G25" s="49">
        <f>VLOOKUP($A25,'Data Vlaue (Cr)'!$C:$FB,43)</f>
        <v>2829</v>
      </c>
      <c r="H25" s="49">
        <f>VLOOKUP($A25,'Data Vlaue (Cr)'!$C:$FB,44)</f>
        <v>1552</v>
      </c>
      <c r="I25" s="49">
        <f>VLOOKUP($A25,'Data Vlaue (Cr)'!$C:$FB,46)*100</f>
        <v>82.28</v>
      </c>
      <c r="J25" s="51">
        <f>VLOOKUP($A25,'Data Vlaue (Cr)'!$C:$FB,59)</f>
        <v>5726</v>
      </c>
      <c r="K25" s="51">
        <f>VLOOKUP($A25,'Data Vlaue (Cr)'!$C:$FB,60)</f>
        <v>4443</v>
      </c>
      <c r="L25" s="51">
        <f>VLOOKUP($A25,'Data Vlaue (Cr)'!$C:$FB,62)*100</f>
        <v>28.88</v>
      </c>
      <c r="M25" s="51">
        <f>VLOOKUP($A25,'Data Vlaue (Cr)'!$C:$FB,63)</f>
        <v>3875</v>
      </c>
      <c r="N25" s="51">
        <f>VLOOKUP($A25,'Data Vlaue (Cr)'!$C:$FB,64)</f>
        <v>2594</v>
      </c>
      <c r="O25" s="51">
        <f>VLOOKUP($A25,'Data Vlaue (Cr)'!$C:$FB,66)*100</f>
        <v>49.419999999999995</v>
      </c>
    </row>
    <row r="26" spans="1:15" x14ac:dyDescent="0.25">
      <c r="A26" s="101" t="str">
        <f>'Data Vlaue (Cr)'!C21</f>
        <v>BAJAJ-AUTO</v>
      </c>
      <c r="B26" s="50">
        <f>VLOOKUP($A26,'Data Vlaue (Cr)'!$C:$FB,8)</f>
        <v>8792</v>
      </c>
      <c r="C26" s="50">
        <f>VLOOKUP($A26,'Data Vlaue (Cr)'!$C:$FB,11)*100</f>
        <v>1.3</v>
      </c>
      <c r="D26" s="50">
        <f>VLOOKUP($A26,'Data Vlaue (Cr)'!$C:$FB,143)</f>
        <v>3477.4</v>
      </c>
      <c r="E26" s="50">
        <f>VLOOKUP($A26,'Data Vlaue (Cr)'!$C:$FB,144)</f>
        <v>7069.09</v>
      </c>
      <c r="F26" s="50">
        <f>VLOOKUP($A26,'Data Vlaue (Cr)'!$C:$FB,146)*100</f>
        <v>-50.81</v>
      </c>
      <c r="G26" s="49">
        <f>VLOOKUP($A26,'Data Vlaue (Cr)'!$C:$FB,43)</f>
        <v>445</v>
      </c>
      <c r="H26" s="49">
        <f>VLOOKUP($A26,'Data Vlaue (Cr)'!$C:$FB,44)</f>
        <v>829</v>
      </c>
      <c r="I26" s="49">
        <f>VLOOKUP($A26,'Data Vlaue (Cr)'!$C:$FB,46)*100</f>
        <v>-46.29</v>
      </c>
      <c r="J26" s="51">
        <f>VLOOKUP($A26,'Data Vlaue (Cr)'!$C:$FB,59)</f>
        <v>2133</v>
      </c>
      <c r="K26" s="51">
        <f>VLOOKUP($A26,'Data Vlaue (Cr)'!$C:$FB,60)</f>
        <v>4591</v>
      </c>
      <c r="L26" s="51">
        <f>VLOOKUP($A26,'Data Vlaue (Cr)'!$C:$FB,62)*100</f>
        <v>-53.54</v>
      </c>
      <c r="M26" s="51">
        <f>VLOOKUP($A26,'Data Vlaue (Cr)'!$C:$FB,63)</f>
        <v>859</v>
      </c>
      <c r="N26" s="51">
        <f>VLOOKUP($A26,'Data Vlaue (Cr)'!$C:$FB,64)</f>
        <v>1585</v>
      </c>
      <c r="O26" s="51">
        <f>VLOOKUP($A26,'Data Vlaue (Cr)'!$C:$FB,66)*100</f>
        <v>-45.78</v>
      </c>
    </row>
    <row r="27" spans="1:15" x14ac:dyDescent="0.25">
      <c r="A27" s="101" t="str">
        <f>'Data Vlaue (Cr)'!C22</f>
        <v>BAJAJFINSV</v>
      </c>
      <c r="B27" s="50">
        <f>VLOOKUP($A27,'Data Vlaue (Cr)'!$C:$FB,8)</f>
        <v>2033.2</v>
      </c>
      <c r="C27" s="50">
        <f>VLOOKUP($A27,'Data Vlaue (Cr)'!$C:$FB,11)*100</f>
        <v>1.6099999999999999</v>
      </c>
      <c r="D27" s="50">
        <f>VLOOKUP($A27,'Data Vlaue (Cr)'!$C:$FB,143)</f>
        <v>3067.12</v>
      </c>
      <c r="E27" s="50">
        <f>VLOOKUP($A27,'Data Vlaue (Cr)'!$C:$FB,144)</f>
        <v>1919.39</v>
      </c>
      <c r="F27" s="50">
        <f>VLOOKUP($A27,'Data Vlaue (Cr)'!$C:$FB,146)*100</f>
        <v>59.8</v>
      </c>
      <c r="G27" s="49">
        <f>VLOOKUP($A27,'Data Vlaue (Cr)'!$C:$FB,43)</f>
        <v>356</v>
      </c>
      <c r="H27" s="49">
        <f>VLOOKUP($A27,'Data Vlaue (Cr)'!$C:$FB,44)</f>
        <v>283</v>
      </c>
      <c r="I27" s="49">
        <f>VLOOKUP($A27,'Data Vlaue (Cr)'!$C:$FB,46)*100</f>
        <v>25.779999999999998</v>
      </c>
      <c r="J27" s="51">
        <f>VLOOKUP($A27,'Data Vlaue (Cr)'!$C:$FB,59)</f>
        <v>1943</v>
      </c>
      <c r="K27" s="51">
        <f>VLOOKUP($A27,'Data Vlaue (Cr)'!$C:$FB,60)</f>
        <v>1040</v>
      </c>
      <c r="L27" s="51">
        <f>VLOOKUP($A27,'Data Vlaue (Cr)'!$C:$FB,62)*100</f>
        <v>86.77</v>
      </c>
      <c r="M27" s="51">
        <f>VLOOKUP($A27,'Data Vlaue (Cr)'!$C:$FB,63)</f>
        <v>721</v>
      </c>
      <c r="N27" s="51">
        <f>VLOOKUP($A27,'Data Vlaue (Cr)'!$C:$FB,64)</f>
        <v>605</v>
      </c>
      <c r="O27" s="51">
        <f>VLOOKUP($A27,'Data Vlaue (Cr)'!$C:$FB,66)*100</f>
        <v>19.239999999999998</v>
      </c>
    </row>
    <row r="28" spans="1:15" x14ac:dyDescent="0.25">
      <c r="A28" s="101" t="str">
        <f>'Data Vlaue (Cr)'!C23</f>
        <v>BAJFINANCE</v>
      </c>
      <c r="B28" s="50">
        <f>VLOOKUP($A28,'Data Vlaue (Cr)'!$C:$FB,8)</f>
        <v>1008.9</v>
      </c>
      <c r="C28" s="50">
        <f>VLOOKUP($A28,'Data Vlaue (Cr)'!$C:$FB,11)*100</f>
        <v>1.9300000000000002</v>
      </c>
      <c r="D28" s="50">
        <f>VLOOKUP($A28,'Data Vlaue (Cr)'!$C:$FB,143)</f>
        <v>11145.16</v>
      </c>
      <c r="E28" s="50">
        <f>VLOOKUP($A28,'Data Vlaue (Cr)'!$C:$FB,144)</f>
        <v>3775.5</v>
      </c>
      <c r="F28" s="50">
        <f>VLOOKUP($A28,'Data Vlaue (Cr)'!$C:$FB,146)*100</f>
        <v>195.2</v>
      </c>
      <c r="G28" s="49">
        <f>VLOOKUP($A28,'Data Vlaue (Cr)'!$C:$FB,43)</f>
        <v>1610</v>
      </c>
      <c r="H28" s="49">
        <f>VLOOKUP($A28,'Data Vlaue (Cr)'!$C:$FB,44)</f>
        <v>754</v>
      </c>
      <c r="I28" s="49">
        <f>VLOOKUP($A28,'Data Vlaue (Cr)'!$C:$FB,46)*100</f>
        <v>113.44000000000001</v>
      </c>
      <c r="J28" s="51">
        <f>VLOOKUP($A28,'Data Vlaue (Cr)'!$C:$FB,59)</f>
        <v>6721</v>
      </c>
      <c r="K28" s="51">
        <f>VLOOKUP($A28,'Data Vlaue (Cr)'!$C:$FB,60)</f>
        <v>2029</v>
      </c>
      <c r="L28" s="51">
        <f>VLOOKUP($A28,'Data Vlaue (Cr)'!$C:$FB,62)*100</f>
        <v>231.23999999999998</v>
      </c>
      <c r="M28" s="51">
        <f>VLOOKUP($A28,'Data Vlaue (Cr)'!$C:$FB,63)</f>
        <v>2606</v>
      </c>
      <c r="N28" s="51">
        <f>VLOOKUP($A28,'Data Vlaue (Cr)'!$C:$FB,64)</f>
        <v>1002</v>
      </c>
      <c r="O28" s="51">
        <f>VLOOKUP($A28,'Data Vlaue (Cr)'!$C:$FB,66)*100</f>
        <v>160.03</v>
      </c>
    </row>
    <row r="29" spans="1:15" x14ac:dyDescent="0.25">
      <c r="A29" s="101" t="str">
        <f>'Data Vlaue (Cr)'!C24</f>
        <v>BANDHANBNK</v>
      </c>
      <c r="B29" s="50">
        <f>VLOOKUP($A29,'Data Vlaue (Cr)'!$C:$FB,8)</f>
        <v>164.79</v>
      </c>
      <c r="C29" s="50">
        <f>VLOOKUP($A29,'Data Vlaue (Cr)'!$C:$FB,11)*100</f>
        <v>-0.70000000000000007</v>
      </c>
      <c r="D29" s="50">
        <f>VLOOKUP($A29,'Data Vlaue (Cr)'!$C:$FB,143)</f>
        <v>715.69</v>
      </c>
      <c r="E29" s="50">
        <f>VLOOKUP($A29,'Data Vlaue (Cr)'!$C:$FB,144)</f>
        <v>1364.76</v>
      </c>
      <c r="F29" s="50">
        <f>VLOOKUP($A29,'Data Vlaue (Cr)'!$C:$FB,146)*100</f>
        <v>-47.56</v>
      </c>
      <c r="G29" s="49">
        <f>VLOOKUP($A29,'Data Vlaue (Cr)'!$C:$FB,43)</f>
        <v>232</v>
      </c>
      <c r="H29" s="49">
        <f>VLOOKUP($A29,'Data Vlaue (Cr)'!$C:$FB,44)</f>
        <v>407</v>
      </c>
      <c r="I29" s="49">
        <f>VLOOKUP($A29,'Data Vlaue (Cr)'!$C:$FB,46)*100</f>
        <v>-42.92</v>
      </c>
      <c r="J29" s="51">
        <f>VLOOKUP($A29,'Data Vlaue (Cr)'!$C:$FB,59)</f>
        <v>326</v>
      </c>
      <c r="K29" s="51">
        <f>VLOOKUP($A29,'Data Vlaue (Cr)'!$C:$FB,60)</f>
        <v>619</v>
      </c>
      <c r="L29" s="51">
        <f>VLOOKUP($A29,'Data Vlaue (Cr)'!$C:$FB,62)*100</f>
        <v>-47.32</v>
      </c>
      <c r="M29" s="51">
        <f>VLOOKUP($A29,'Data Vlaue (Cr)'!$C:$FB,63)</f>
        <v>138</v>
      </c>
      <c r="N29" s="51">
        <f>VLOOKUP($A29,'Data Vlaue (Cr)'!$C:$FB,64)</f>
        <v>315</v>
      </c>
      <c r="O29" s="51">
        <f>VLOOKUP($A29,'Data Vlaue (Cr)'!$C:$FB,66)*100</f>
        <v>-56.089999999999996</v>
      </c>
    </row>
    <row r="30" spans="1:15" x14ac:dyDescent="0.25">
      <c r="A30" s="101" t="str">
        <f>'Data Vlaue (Cr)'!C25</f>
        <v>BANKBARODA</v>
      </c>
      <c r="B30" s="50">
        <f>VLOOKUP($A30,'Data Vlaue (Cr)'!$C:$FB,8)</f>
        <v>266.60000000000002</v>
      </c>
      <c r="C30" s="50">
        <f>VLOOKUP($A30,'Data Vlaue (Cr)'!$C:$FB,11)*100</f>
        <v>1</v>
      </c>
      <c r="D30" s="50">
        <f>VLOOKUP($A30,'Data Vlaue (Cr)'!$C:$FB,143)</f>
        <v>4555.8599999999997</v>
      </c>
      <c r="E30" s="50">
        <f>VLOOKUP($A30,'Data Vlaue (Cr)'!$C:$FB,144)</f>
        <v>3957.56</v>
      </c>
      <c r="F30" s="50">
        <f>VLOOKUP($A30,'Data Vlaue (Cr)'!$C:$FB,146)*100</f>
        <v>15.120000000000001</v>
      </c>
      <c r="G30" s="49">
        <f>VLOOKUP($A30,'Data Vlaue (Cr)'!$C:$FB,43)</f>
        <v>900</v>
      </c>
      <c r="H30" s="49">
        <f>VLOOKUP($A30,'Data Vlaue (Cr)'!$C:$FB,44)</f>
        <v>771</v>
      </c>
      <c r="I30" s="49">
        <f>VLOOKUP($A30,'Data Vlaue (Cr)'!$C:$FB,46)*100</f>
        <v>16.669999999999998</v>
      </c>
      <c r="J30" s="51">
        <f>VLOOKUP($A30,'Data Vlaue (Cr)'!$C:$FB,59)</f>
        <v>2277</v>
      </c>
      <c r="K30" s="51">
        <f>VLOOKUP($A30,'Data Vlaue (Cr)'!$C:$FB,60)</f>
        <v>1971</v>
      </c>
      <c r="L30" s="51">
        <f>VLOOKUP($A30,'Data Vlaue (Cr)'!$C:$FB,62)*100</f>
        <v>15.52</v>
      </c>
      <c r="M30" s="51">
        <f>VLOOKUP($A30,'Data Vlaue (Cr)'!$C:$FB,63)</f>
        <v>1295</v>
      </c>
      <c r="N30" s="51">
        <f>VLOOKUP($A30,'Data Vlaue (Cr)'!$C:$FB,64)</f>
        <v>1206</v>
      </c>
      <c r="O30" s="51">
        <f>VLOOKUP($A30,'Data Vlaue (Cr)'!$C:$FB,66)*100</f>
        <v>7.3800000000000008</v>
      </c>
    </row>
    <row r="31" spans="1:15" x14ac:dyDescent="0.25">
      <c r="A31" s="101" t="str">
        <f>'Data Vlaue (Cr)'!C26</f>
        <v>BANKINDIA</v>
      </c>
      <c r="B31" s="50">
        <f>VLOOKUP($A31,'Data Vlaue (Cr)'!$C:$FB,8)</f>
        <v>126.04</v>
      </c>
      <c r="C31" s="50">
        <f>VLOOKUP($A31,'Data Vlaue (Cr)'!$C:$FB,11)*100</f>
        <v>0.41000000000000003</v>
      </c>
      <c r="D31" s="50">
        <f>VLOOKUP($A31,'Data Vlaue (Cr)'!$C:$FB,143)</f>
        <v>506.88</v>
      </c>
      <c r="E31" s="50">
        <f>VLOOKUP($A31,'Data Vlaue (Cr)'!$C:$FB,144)</f>
        <v>607.4</v>
      </c>
      <c r="F31" s="50">
        <f>VLOOKUP($A31,'Data Vlaue (Cr)'!$C:$FB,146)*100</f>
        <v>-16.55</v>
      </c>
      <c r="G31" s="49">
        <f>VLOOKUP($A31,'Data Vlaue (Cr)'!$C:$FB,43)</f>
        <v>187</v>
      </c>
      <c r="H31" s="49">
        <f>VLOOKUP($A31,'Data Vlaue (Cr)'!$C:$FB,44)</f>
        <v>202</v>
      </c>
      <c r="I31" s="49">
        <f>VLOOKUP($A31,'Data Vlaue (Cr)'!$C:$FB,46)*100</f>
        <v>-7.64</v>
      </c>
      <c r="J31" s="51">
        <f>VLOOKUP($A31,'Data Vlaue (Cr)'!$C:$FB,59)</f>
        <v>218</v>
      </c>
      <c r="K31" s="51">
        <f>VLOOKUP($A31,'Data Vlaue (Cr)'!$C:$FB,60)</f>
        <v>275</v>
      </c>
      <c r="L31" s="51">
        <f>VLOOKUP($A31,'Data Vlaue (Cr)'!$C:$FB,62)*100</f>
        <v>-20.64</v>
      </c>
      <c r="M31" s="51">
        <f>VLOOKUP($A31,'Data Vlaue (Cr)'!$C:$FB,63)</f>
        <v>96</v>
      </c>
      <c r="N31" s="51">
        <f>VLOOKUP($A31,'Data Vlaue (Cr)'!$C:$FB,64)</f>
        <v>127</v>
      </c>
      <c r="O31" s="51">
        <f>VLOOKUP($A31,'Data Vlaue (Cr)'!$C:$FB,66)*100</f>
        <v>-24.51</v>
      </c>
    </row>
    <row r="32" spans="1:15" x14ac:dyDescent="0.25">
      <c r="A32" s="101" t="str">
        <f>'Data Vlaue (Cr)'!C27</f>
        <v>BANKNIFTY</v>
      </c>
      <c r="B32" s="50">
        <f>VLOOKUP($A32,'Data Vlaue (Cr)'!$C:$FB,8)</f>
        <v>56104.85</v>
      </c>
      <c r="C32" s="50">
        <f>VLOOKUP($A32,'Data Vlaue (Cr)'!$C:$FB,11)*100</f>
        <v>0.92999999999999994</v>
      </c>
      <c r="D32" s="50">
        <f>VLOOKUP($A32,'Data Vlaue (Cr)'!$C:$FB,143)</f>
        <v>529896.22</v>
      </c>
      <c r="E32" s="50">
        <f>VLOOKUP($A32,'Data Vlaue (Cr)'!$C:$FB,144)</f>
        <v>456373.82</v>
      </c>
      <c r="F32" s="50">
        <f>VLOOKUP($A32,'Data Vlaue (Cr)'!$C:$FB,146)*100</f>
        <v>16.11</v>
      </c>
      <c r="G32" s="49">
        <f>VLOOKUP($A32,'Data Vlaue (Cr)'!$C:$FB,43)</f>
        <v>5312</v>
      </c>
      <c r="H32" s="49">
        <f>VLOOKUP($A32,'Data Vlaue (Cr)'!$C:$FB,44)</f>
        <v>4089</v>
      </c>
      <c r="I32" s="49">
        <f>VLOOKUP($A32,'Data Vlaue (Cr)'!$C:$FB,46)*100</f>
        <v>29.89</v>
      </c>
      <c r="J32" s="51">
        <f>VLOOKUP($A32,'Data Vlaue (Cr)'!$C:$FB,59)</f>
        <v>278719</v>
      </c>
      <c r="K32" s="51">
        <f>VLOOKUP($A32,'Data Vlaue (Cr)'!$C:$FB,60)</f>
        <v>239031</v>
      </c>
      <c r="L32" s="51">
        <f>VLOOKUP($A32,'Data Vlaue (Cr)'!$C:$FB,62)*100</f>
        <v>16.600000000000001</v>
      </c>
      <c r="M32" s="51">
        <f>VLOOKUP($A32,'Data Vlaue (Cr)'!$C:$FB,63)</f>
        <v>246303</v>
      </c>
      <c r="N32" s="51">
        <f>VLOOKUP($A32,'Data Vlaue (Cr)'!$C:$FB,64)</f>
        <v>216825</v>
      </c>
      <c r="O32" s="51">
        <f>VLOOKUP($A32,'Data Vlaue (Cr)'!$C:$FB,66)*100</f>
        <v>13.600000000000001</v>
      </c>
    </row>
    <row r="33" spans="1:15" x14ac:dyDescent="0.25">
      <c r="A33" s="101" t="str">
        <f>'Data Vlaue (Cr)'!C28</f>
        <v>BDL</v>
      </c>
      <c r="B33" s="50">
        <f>VLOOKUP($A33,'Data Vlaue (Cr)'!$C:$FB,8)</f>
        <v>1559.1</v>
      </c>
      <c r="C33" s="50">
        <f>VLOOKUP($A33,'Data Vlaue (Cr)'!$C:$FB,11)*100</f>
        <v>-0.12</v>
      </c>
      <c r="D33" s="50">
        <f>VLOOKUP($A33,'Data Vlaue (Cr)'!$C:$FB,143)</f>
        <v>693.8</v>
      </c>
      <c r="E33" s="50">
        <f>VLOOKUP($A33,'Data Vlaue (Cr)'!$C:$FB,144)</f>
        <v>1756.9</v>
      </c>
      <c r="F33" s="50">
        <f>VLOOKUP($A33,'Data Vlaue (Cr)'!$C:$FB,146)*100</f>
        <v>-60.51</v>
      </c>
      <c r="G33" s="49">
        <f>VLOOKUP($A33,'Data Vlaue (Cr)'!$C:$FB,43)</f>
        <v>136</v>
      </c>
      <c r="H33" s="49">
        <f>VLOOKUP($A33,'Data Vlaue (Cr)'!$C:$FB,44)</f>
        <v>323</v>
      </c>
      <c r="I33" s="49">
        <f>VLOOKUP($A33,'Data Vlaue (Cr)'!$C:$FB,46)*100</f>
        <v>-57.8</v>
      </c>
      <c r="J33" s="51">
        <f>VLOOKUP($A33,'Data Vlaue (Cr)'!$C:$FB,59)</f>
        <v>401</v>
      </c>
      <c r="K33" s="51">
        <f>VLOOKUP($A33,'Data Vlaue (Cr)'!$C:$FB,60)</f>
        <v>1024</v>
      </c>
      <c r="L33" s="51">
        <f>VLOOKUP($A33,'Data Vlaue (Cr)'!$C:$FB,62)*100</f>
        <v>-60.89</v>
      </c>
      <c r="M33" s="51">
        <f>VLOOKUP($A33,'Data Vlaue (Cr)'!$C:$FB,63)</f>
        <v>140</v>
      </c>
      <c r="N33" s="51">
        <f>VLOOKUP($A33,'Data Vlaue (Cr)'!$C:$FB,64)</f>
        <v>357</v>
      </c>
      <c r="O33" s="51">
        <f>VLOOKUP($A33,'Data Vlaue (Cr)'!$C:$FB,66)*100</f>
        <v>-60.819999999999993</v>
      </c>
    </row>
    <row r="34" spans="1:15" x14ac:dyDescent="0.25">
      <c r="A34" s="101" t="str">
        <f>'Data Vlaue (Cr)'!C29</f>
        <v>BEL</v>
      </c>
      <c r="B34" s="50">
        <f>VLOOKUP($A34,'Data Vlaue (Cr)'!$C:$FB,8)</f>
        <v>413.25</v>
      </c>
      <c r="C34" s="50">
        <f>VLOOKUP($A34,'Data Vlaue (Cr)'!$C:$FB,11)*100</f>
        <v>0.15</v>
      </c>
      <c r="D34" s="50">
        <f>VLOOKUP($A34,'Data Vlaue (Cr)'!$C:$FB,143)</f>
        <v>5535.37</v>
      </c>
      <c r="E34" s="50">
        <f>VLOOKUP($A34,'Data Vlaue (Cr)'!$C:$FB,144)</f>
        <v>7399.95</v>
      </c>
      <c r="F34" s="50">
        <f>VLOOKUP($A34,'Data Vlaue (Cr)'!$C:$FB,146)*100</f>
        <v>-25.2</v>
      </c>
      <c r="G34" s="49">
        <f>VLOOKUP($A34,'Data Vlaue (Cr)'!$C:$FB,43)</f>
        <v>937</v>
      </c>
      <c r="H34" s="49">
        <f>VLOOKUP($A34,'Data Vlaue (Cr)'!$C:$FB,44)</f>
        <v>1083</v>
      </c>
      <c r="I34" s="49">
        <f>VLOOKUP($A34,'Data Vlaue (Cr)'!$C:$FB,46)*100</f>
        <v>-13.48</v>
      </c>
      <c r="J34" s="51">
        <f>VLOOKUP($A34,'Data Vlaue (Cr)'!$C:$FB,59)</f>
        <v>3012</v>
      </c>
      <c r="K34" s="51">
        <f>VLOOKUP($A34,'Data Vlaue (Cr)'!$C:$FB,60)</f>
        <v>4231</v>
      </c>
      <c r="L34" s="51">
        <f>VLOOKUP($A34,'Data Vlaue (Cr)'!$C:$FB,62)*100</f>
        <v>-28.799999999999997</v>
      </c>
      <c r="M34" s="51">
        <f>VLOOKUP($A34,'Data Vlaue (Cr)'!$C:$FB,63)</f>
        <v>1515</v>
      </c>
      <c r="N34" s="51">
        <f>VLOOKUP($A34,'Data Vlaue (Cr)'!$C:$FB,64)</f>
        <v>1972</v>
      </c>
      <c r="O34" s="51">
        <f>VLOOKUP($A34,'Data Vlaue (Cr)'!$C:$FB,66)*100</f>
        <v>-23.14</v>
      </c>
    </row>
    <row r="35" spans="1:15" x14ac:dyDescent="0.25">
      <c r="A35" s="101" t="str">
        <f>'Data Vlaue (Cr)'!C30</f>
        <v>BHARATFORG</v>
      </c>
      <c r="B35" s="50">
        <f>VLOOKUP($A35,'Data Vlaue (Cr)'!$C:$FB,8)</f>
        <v>1234.5999999999999</v>
      </c>
      <c r="C35" s="50">
        <f>VLOOKUP($A35,'Data Vlaue (Cr)'!$C:$FB,11)*100</f>
        <v>1.18</v>
      </c>
      <c r="D35" s="50">
        <f>VLOOKUP($A35,'Data Vlaue (Cr)'!$C:$FB,143)</f>
        <v>776.58</v>
      </c>
      <c r="E35" s="50">
        <f>VLOOKUP($A35,'Data Vlaue (Cr)'!$C:$FB,144)</f>
        <v>571.84</v>
      </c>
      <c r="F35" s="50">
        <f>VLOOKUP($A35,'Data Vlaue (Cr)'!$C:$FB,146)*100</f>
        <v>35.799999999999997</v>
      </c>
      <c r="G35" s="49">
        <f>VLOOKUP($A35,'Data Vlaue (Cr)'!$C:$FB,43)</f>
        <v>192</v>
      </c>
      <c r="H35" s="49">
        <f>VLOOKUP($A35,'Data Vlaue (Cr)'!$C:$FB,44)</f>
        <v>141</v>
      </c>
      <c r="I35" s="49">
        <f>VLOOKUP($A35,'Data Vlaue (Cr)'!$C:$FB,46)*100</f>
        <v>35.799999999999997</v>
      </c>
      <c r="J35" s="51">
        <f>VLOOKUP($A35,'Data Vlaue (Cr)'!$C:$FB,59)</f>
        <v>437</v>
      </c>
      <c r="K35" s="51">
        <f>VLOOKUP($A35,'Data Vlaue (Cr)'!$C:$FB,60)</f>
        <v>317</v>
      </c>
      <c r="L35" s="51">
        <f>VLOOKUP($A35,'Data Vlaue (Cr)'!$C:$FB,62)*100</f>
        <v>37.730000000000004</v>
      </c>
      <c r="M35" s="51">
        <f>VLOOKUP($A35,'Data Vlaue (Cr)'!$C:$FB,63)</f>
        <v>132</v>
      </c>
      <c r="N35" s="51">
        <f>VLOOKUP($A35,'Data Vlaue (Cr)'!$C:$FB,64)</f>
        <v>106</v>
      </c>
      <c r="O35" s="51">
        <f>VLOOKUP($A35,'Data Vlaue (Cr)'!$C:$FB,66)*100</f>
        <v>24.36</v>
      </c>
    </row>
    <row r="36" spans="1:15" x14ac:dyDescent="0.25">
      <c r="A36" s="101" t="str">
        <f>'Data Vlaue (Cr)'!C31</f>
        <v>BHARTIARTL</v>
      </c>
      <c r="B36" s="50">
        <f>VLOOKUP($A36,'Data Vlaue (Cr)'!$C:$FB,8)</f>
        <v>1903.1</v>
      </c>
      <c r="C36" s="50">
        <f>VLOOKUP($A36,'Data Vlaue (Cr)'!$C:$FB,11)*100</f>
        <v>0.33999999999999997</v>
      </c>
      <c r="D36" s="50">
        <f>VLOOKUP($A36,'Data Vlaue (Cr)'!$C:$FB,143)</f>
        <v>4463.53</v>
      </c>
      <c r="E36" s="50">
        <f>VLOOKUP($A36,'Data Vlaue (Cr)'!$C:$FB,144)</f>
        <v>8548.92</v>
      </c>
      <c r="F36" s="50">
        <f>VLOOKUP($A36,'Data Vlaue (Cr)'!$C:$FB,146)*100</f>
        <v>-47.79</v>
      </c>
      <c r="G36" s="49">
        <f>VLOOKUP($A36,'Data Vlaue (Cr)'!$C:$FB,43)</f>
        <v>704</v>
      </c>
      <c r="H36" s="49">
        <f>VLOOKUP($A36,'Data Vlaue (Cr)'!$C:$FB,44)</f>
        <v>1980</v>
      </c>
      <c r="I36" s="49">
        <f>VLOOKUP($A36,'Data Vlaue (Cr)'!$C:$FB,46)*100</f>
        <v>-64.42</v>
      </c>
      <c r="J36" s="51">
        <f>VLOOKUP($A36,'Data Vlaue (Cr)'!$C:$FB,59)</f>
        <v>2611</v>
      </c>
      <c r="K36" s="51">
        <f>VLOOKUP($A36,'Data Vlaue (Cr)'!$C:$FB,60)</f>
        <v>4589</v>
      </c>
      <c r="L36" s="51">
        <f>VLOOKUP($A36,'Data Vlaue (Cr)'!$C:$FB,62)*100</f>
        <v>-43.09</v>
      </c>
      <c r="M36" s="51">
        <f>VLOOKUP($A36,'Data Vlaue (Cr)'!$C:$FB,63)</f>
        <v>1098</v>
      </c>
      <c r="N36" s="51">
        <f>VLOOKUP($A36,'Data Vlaue (Cr)'!$C:$FB,64)</f>
        <v>1942</v>
      </c>
      <c r="O36" s="51">
        <f>VLOOKUP($A36,'Data Vlaue (Cr)'!$C:$FB,66)*100</f>
        <v>-43.45</v>
      </c>
    </row>
    <row r="37" spans="1:15" x14ac:dyDescent="0.25">
      <c r="A37" s="101" t="str">
        <f>'Data Vlaue (Cr)'!C32</f>
        <v>BHEL</v>
      </c>
      <c r="B37" s="50">
        <f>VLOOKUP($A37,'Data Vlaue (Cr)'!$C:$FB,8)</f>
        <v>245.31</v>
      </c>
      <c r="C37" s="50">
        <f>VLOOKUP($A37,'Data Vlaue (Cr)'!$C:$FB,11)*100</f>
        <v>0.12</v>
      </c>
      <c r="D37" s="50">
        <f>VLOOKUP($A37,'Data Vlaue (Cr)'!$C:$FB,143)</f>
        <v>1134.8599999999999</v>
      </c>
      <c r="E37" s="50">
        <f>VLOOKUP($A37,'Data Vlaue (Cr)'!$C:$FB,144)</f>
        <v>1907.09</v>
      </c>
      <c r="F37" s="50">
        <f>VLOOKUP($A37,'Data Vlaue (Cr)'!$C:$FB,146)*100</f>
        <v>-40.489999999999995</v>
      </c>
      <c r="G37" s="49">
        <f>VLOOKUP($A37,'Data Vlaue (Cr)'!$C:$FB,43)</f>
        <v>200</v>
      </c>
      <c r="H37" s="49">
        <f>VLOOKUP($A37,'Data Vlaue (Cr)'!$C:$FB,44)</f>
        <v>340</v>
      </c>
      <c r="I37" s="49">
        <f>VLOOKUP($A37,'Data Vlaue (Cr)'!$C:$FB,46)*100</f>
        <v>-41.099999999999994</v>
      </c>
      <c r="J37" s="51">
        <f>VLOOKUP($A37,'Data Vlaue (Cr)'!$C:$FB,59)</f>
        <v>593</v>
      </c>
      <c r="K37" s="51">
        <f>VLOOKUP($A37,'Data Vlaue (Cr)'!$C:$FB,60)</f>
        <v>1087</v>
      </c>
      <c r="L37" s="51">
        <f>VLOOKUP($A37,'Data Vlaue (Cr)'!$C:$FB,62)*100</f>
        <v>-45.379999999999995</v>
      </c>
      <c r="M37" s="51">
        <f>VLOOKUP($A37,'Data Vlaue (Cr)'!$C:$FB,63)</f>
        <v>317</v>
      </c>
      <c r="N37" s="51">
        <f>VLOOKUP($A37,'Data Vlaue (Cr)'!$C:$FB,64)</f>
        <v>440</v>
      </c>
      <c r="O37" s="51">
        <f>VLOOKUP($A37,'Data Vlaue (Cr)'!$C:$FB,66)*100</f>
        <v>-28.050000000000004</v>
      </c>
    </row>
    <row r="38" spans="1:15" x14ac:dyDescent="0.25">
      <c r="A38" s="101" t="str">
        <f>'Data Vlaue (Cr)'!C33</f>
        <v>BIOCON</v>
      </c>
      <c r="B38" s="50">
        <f>VLOOKUP($A38,'Data Vlaue (Cr)'!$C:$FB,8)</f>
        <v>347.75</v>
      </c>
      <c r="C38" s="50">
        <f>VLOOKUP($A38,'Data Vlaue (Cr)'!$C:$FB,11)*100</f>
        <v>-1.28</v>
      </c>
      <c r="D38" s="50">
        <f>VLOOKUP($A38,'Data Vlaue (Cr)'!$C:$FB,143)</f>
        <v>877.25</v>
      </c>
      <c r="E38" s="50">
        <f>VLOOKUP($A38,'Data Vlaue (Cr)'!$C:$FB,144)</f>
        <v>791.15</v>
      </c>
      <c r="F38" s="50">
        <f>VLOOKUP($A38,'Data Vlaue (Cr)'!$C:$FB,146)*100</f>
        <v>10.879999999999999</v>
      </c>
      <c r="G38" s="49">
        <f>VLOOKUP($A38,'Data Vlaue (Cr)'!$C:$FB,43)</f>
        <v>172</v>
      </c>
      <c r="H38" s="49">
        <f>VLOOKUP($A38,'Data Vlaue (Cr)'!$C:$FB,44)</f>
        <v>166</v>
      </c>
      <c r="I38" s="49">
        <f>VLOOKUP($A38,'Data Vlaue (Cr)'!$C:$FB,46)*100</f>
        <v>3.3099999999999996</v>
      </c>
      <c r="J38" s="51">
        <f>VLOOKUP($A38,'Data Vlaue (Cr)'!$C:$FB,59)</f>
        <v>512</v>
      </c>
      <c r="K38" s="51">
        <f>VLOOKUP($A38,'Data Vlaue (Cr)'!$C:$FB,60)</f>
        <v>430</v>
      </c>
      <c r="L38" s="51">
        <f>VLOOKUP($A38,'Data Vlaue (Cr)'!$C:$FB,62)*100</f>
        <v>19.07</v>
      </c>
      <c r="M38" s="51">
        <f>VLOOKUP($A38,'Data Vlaue (Cr)'!$C:$FB,63)</f>
        <v>166</v>
      </c>
      <c r="N38" s="51">
        <f>VLOOKUP($A38,'Data Vlaue (Cr)'!$C:$FB,64)</f>
        <v>174</v>
      </c>
      <c r="O38" s="51">
        <f>VLOOKUP($A38,'Data Vlaue (Cr)'!$C:$FB,66)*100</f>
        <v>-4.46</v>
      </c>
    </row>
    <row r="39" spans="1:15" x14ac:dyDescent="0.25">
      <c r="A39" s="101" t="str">
        <f>'Data Vlaue (Cr)'!C34</f>
        <v>BLUESTARCO</v>
      </c>
      <c r="B39" s="50">
        <f>VLOOKUP($A39,'Data Vlaue (Cr)'!$C:$FB,8)</f>
        <v>1892.8</v>
      </c>
      <c r="C39" s="50">
        <f>VLOOKUP($A39,'Data Vlaue (Cr)'!$C:$FB,11)*100</f>
        <v>-0.33999999999999997</v>
      </c>
      <c r="D39" s="50">
        <f>VLOOKUP($A39,'Data Vlaue (Cr)'!$C:$FB,143)</f>
        <v>109.27</v>
      </c>
      <c r="E39" s="50">
        <f>VLOOKUP($A39,'Data Vlaue (Cr)'!$C:$FB,144)</f>
        <v>107.98</v>
      </c>
      <c r="F39" s="50">
        <f>VLOOKUP($A39,'Data Vlaue (Cr)'!$C:$FB,146)*100</f>
        <v>1.1900000000000002</v>
      </c>
      <c r="G39" s="49">
        <f>VLOOKUP($A39,'Data Vlaue (Cr)'!$C:$FB,43)</f>
        <v>54</v>
      </c>
      <c r="H39" s="49">
        <f>VLOOKUP($A39,'Data Vlaue (Cr)'!$C:$FB,44)</f>
        <v>47</v>
      </c>
      <c r="I39" s="49">
        <f>VLOOKUP($A39,'Data Vlaue (Cr)'!$C:$FB,46)*100</f>
        <v>15.49</v>
      </c>
      <c r="J39" s="51">
        <f>VLOOKUP($A39,'Data Vlaue (Cr)'!$C:$FB,59)</f>
        <v>35</v>
      </c>
      <c r="K39" s="51">
        <f>VLOOKUP($A39,'Data Vlaue (Cr)'!$C:$FB,60)</f>
        <v>41</v>
      </c>
      <c r="L39" s="51">
        <f>VLOOKUP($A39,'Data Vlaue (Cr)'!$C:$FB,62)*100</f>
        <v>-14.09</v>
      </c>
      <c r="M39" s="51">
        <f>VLOOKUP($A39,'Data Vlaue (Cr)'!$C:$FB,63)</f>
        <v>18</v>
      </c>
      <c r="N39" s="51">
        <f>VLOOKUP($A39,'Data Vlaue (Cr)'!$C:$FB,64)</f>
        <v>18</v>
      </c>
      <c r="O39" s="51">
        <f>VLOOKUP($A39,'Data Vlaue (Cr)'!$C:$FB,66)*100</f>
        <v>3.5000000000000004</v>
      </c>
    </row>
    <row r="40" spans="1:15" x14ac:dyDescent="0.25">
      <c r="A40" s="101" t="str">
        <f>'Data Vlaue (Cr)'!C35</f>
        <v>BOSCHLTD</v>
      </c>
      <c r="B40" s="50">
        <f>VLOOKUP($A40,'Data Vlaue (Cr)'!$C:$FB,8)</f>
        <v>38800</v>
      </c>
      <c r="C40" s="50">
        <f>VLOOKUP($A40,'Data Vlaue (Cr)'!$C:$FB,11)*100</f>
        <v>0.44</v>
      </c>
      <c r="D40" s="50">
        <f>VLOOKUP($A40,'Data Vlaue (Cr)'!$C:$FB,143)</f>
        <v>560.77</v>
      </c>
      <c r="E40" s="50">
        <f>VLOOKUP($A40,'Data Vlaue (Cr)'!$C:$FB,144)</f>
        <v>523.94000000000005</v>
      </c>
      <c r="F40" s="50">
        <f>VLOOKUP($A40,'Data Vlaue (Cr)'!$C:$FB,146)*100</f>
        <v>7.03</v>
      </c>
      <c r="G40" s="49">
        <f>VLOOKUP($A40,'Data Vlaue (Cr)'!$C:$FB,43)</f>
        <v>109</v>
      </c>
      <c r="H40" s="49">
        <f>VLOOKUP($A40,'Data Vlaue (Cr)'!$C:$FB,44)</f>
        <v>106</v>
      </c>
      <c r="I40" s="49">
        <f>VLOOKUP($A40,'Data Vlaue (Cr)'!$C:$FB,46)*100</f>
        <v>3.32</v>
      </c>
      <c r="J40" s="51">
        <f>VLOOKUP($A40,'Data Vlaue (Cr)'!$C:$FB,59)</f>
        <v>346</v>
      </c>
      <c r="K40" s="51">
        <f>VLOOKUP($A40,'Data Vlaue (Cr)'!$C:$FB,60)</f>
        <v>312</v>
      </c>
      <c r="L40" s="51">
        <f>VLOOKUP($A40,'Data Vlaue (Cr)'!$C:$FB,62)*100</f>
        <v>10.86</v>
      </c>
      <c r="M40" s="51">
        <f>VLOOKUP($A40,'Data Vlaue (Cr)'!$C:$FB,63)</f>
        <v>95</v>
      </c>
      <c r="N40" s="51">
        <f>VLOOKUP($A40,'Data Vlaue (Cr)'!$C:$FB,64)</f>
        <v>98</v>
      </c>
      <c r="O40" s="51">
        <f>VLOOKUP($A40,'Data Vlaue (Cr)'!$C:$FB,66)*100</f>
        <v>-2.8899999999999997</v>
      </c>
    </row>
    <row r="41" spans="1:15" x14ac:dyDescent="0.25">
      <c r="A41" s="101" t="str">
        <f>'Data Vlaue (Cr)'!C36</f>
        <v>BPCL</v>
      </c>
      <c r="B41" s="50">
        <f>VLOOKUP($A41,'Data Vlaue (Cr)'!$C:$FB,8)</f>
        <v>343.6</v>
      </c>
      <c r="C41" s="50">
        <f>VLOOKUP($A41,'Data Vlaue (Cr)'!$C:$FB,11)*100</f>
        <v>0.6</v>
      </c>
      <c r="D41" s="50">
        <f>VLOOKUP($A41,'Data Vlaue (Cr)'!$C:$FB,143)</f>
        <v>2357.54</v>
      </c>
      <c r="E41" s="50">
        <f>VLOOKUP($A41,'Data Vlaue (Cr)'!$C:$FB,144)</f>
        <v>1220.23</v>
      </c>
      <c r="F41" s="50">
        <f>VLOOKUP($A41,'Data Vlaue (Cr)'!$C:$FB,146)*100</f>
        <v>93.2</v>
      </c>
      <c r="G41" s="49">
        <f>VLOOKUP($A41,'Data Vlaue (Cr)'!$C:$FB,43)</f>
        <v>313</v>
      </c>
      <c r="H41" s="49">
        <f>VLOOKUP($A41,'Data Vlaue (Cr)'!$C:$FB,44)</f>
        <v>215</v>
      </c>
      <c r="I41" s="49">
        <f>VLOOKUP($A41,'Data Vlaue (Cr)'!$C:$FB,46)*100</f>
        <v>45.129999999999995</v>
      </c>
      <c r="J41" s="51">
        <f>VLOOKUP($A41,'Data Vlaue (Cr)'!$C:$FB,59)</f>
        <v>1174</v>
      </c>
      <c r="K41" s="51">
        <f>VLOOKUP($A41,'Data Vlaue (Cr)'!$C:$FB,60)</f>
        <v>677</v>
      </c>
      <c r="L41" s="51">
        <f>VLOOKUP($A41,'Data Vlaue (Cr)'!$C:$FB,62)*100</f>
        <v>73.39</v>
      </c>
      <c r="M41" s="51">
        <f>VLOOKUP($A41,'Data Vlaue (Cr)'!$C:$FB,63)</f>
        <v>840</v>
      </c>
      <c r="N41" s="51">
        <f>VLOOKUP($A41,'Data Vlaue (Cr)'!$C:$FB,64)</f>
        <v>316</v>
      </c>
      <c r="O41" s="51">
        <f>VLOOKUP($A41,'Data Vlaue (Cr)'!$C:$FB,66)*100</f>
        <v>165.79999999999998</v>
      </c>
    </row>
    <row r="42" spans="1:15" x14ac:dyDescent="0.25">
      <c r="A42" s="101" t="str">
        <f>'Data Vlaue (Cr)'!C37</f>
        <v>BRITANNIA</v>
      </c>
      <c r="B42" s="50">
        <f>VLOOKUP($A42,'Data Vlaue (Cr)'!$C:$FB,8)</f>
        <v>6011</v>
      </c>
      <c r="C42" s="50">
        <f>VLOOKUP($A42,'Data Vlaue (Cr)'!$C:$FB,11)*100</f>
        <v>0.31</v>
      </c>
      <c r="D42" s="50">
        <f>VLOOKUP($A42,'Data Vlaue (Cr)'!$C:$FB,143)</f>
        <v>752.32</v>
      </c>
      <c r="E42" s="50">
        <f>VLOOKUP($A42,'Data Vlaue (Cr)'!$C:$FB,144)</f>
        <v>640.89</v>
      </c>
      <c r="F42" s="50">
        <f>VLOOKUP($A42,'Data Vlaue (Cr)'!$C:$FB,146)*100</f>
        <v>17.39</v>
      </c>
      <c r="G42" s="49">
        <f>VLOOKUP($A42,'Data Vlaue (Cr)'!$C:$FB,43)</f>
        <v>131</v>
      </c>
      <c r="H42" s="49">
        <f>VLOOKUP($A42,'Data Vlaue (Cr)'!$C:$FB,44)</f>
        <v>122</v>
      </c>
      <c r="I42" s="49">
        <f>VLOOKUP($A42,'Data Vlaue (Cr)'!$C:$FB,46)*100</f>
        <v>8.19</v>
      </c>
      <c r="J42" s="51">
        <f>VLOOKUP($A42,'Data Vlaue (Cr)'!$C:$FB,59)</f>
        <v>469</v>
      </c>
      <c r="K42" s="51">
        <f>VLOOKUP($A42,'Data Vlaue (Cr)'!$C:$FB,60)</f>
        <v>408</v>
      </c>
      <c r="L42" s="51">
        <f>VLOOKUP($A42,'Data Vlaue (Cr)'!$C:$FB,62)*100</f>
        <v>14.940000000000001</v>
      </c>
      <c r="M42" s="51">
        <f>VLOOKUP($A42,'Data Vlaue (Cr)'!$C:$FB,63)</f>
        <v>140</v>
      </c>
      <c r="N42" s="51">
        <f>VLOOKUP($A42,'Data Vlaue (Cr)'!$C:$FB,64)</f>
        <v>98</v>
      </c>
      <c r="O42" s="51">
        <f>VLOOKUP($A42,'Data Vlaue (Cr)'!$C:$FB,66)*100</f>
        <v>42.38</v>
      </c>
    </row>
    <row r="43" spans="1:15" x14ac:dyDescent="0.25">
      <c r="A43" s="101" t="str">
        <f>'Data Vlaue (Cr)'!C38</f>
        <v>BSE</v>
      </c>
      <c r="B43" s="50">
        <f>VLOOKUP($A43,'Data Vlaue (Cr)'!$C:$FB,8)</f>
        <v>2217.9</v>
      </c>
      <c r="C43" s="50">
        <f>VLOOKUP($A43,'Data Vlaue (Cr)'!$C:$FB,11)*100</f>
        <v>5.9499999999999993</v>
      </c>
      <c r="D43" s="50">
        <f>VLOOKUP($A43,'Data Vlaue (Cr)'!$C:$FB,143)</f>
        <v>14554.13</v>
      </c>
      <c r="E43" s="50">
        <f>VLOOKUP($A43,'Data Vlaue (Cr)'!$C:$FB,144)</f>
        <v>3694.25</v>
      </c>
      <c r="F43" s="50">
        <f>VLOOKUP($A43,'Data Vlaue (Cr)'!$C:$FB,146)*100</f>
        <v>293.97000000000003</v>
      </c>
      <c r="G43" s="49">
        <f>VLOOKUP($A43,'Data Vlaue (Cr)'!$C:$FB,43)</f>
        <v>1735</v>
      </c>
      <c r="H43" s="49">
        <f>VLOOKUP($A43,'Data Vlaue (Cr)'!$C:$FB,44)</f>
        <v>556</v>
      </c>
      <c r="I43" s="49">
        <f>VLOOKUP($A43,'Data Vlaue (Cr)'!$C:$FB,46)*100</f>
        <v>211.77</v>
      </c>
      <c r="J43" s="51">
        <f>VLOOKUP($A43,'Data Vlaue (Cr)'!$C:$FB,59)</f>
        <v>8460</v>
      </c>
      <c r="K43" s="51">
        <f>VLOOKUP($A43,'Data Vlaue (Cr)'!$C:$FB,60)</f>
        <v>2019</v>
      </c>
      <c r="L43" s="51">
        <f>VLOOKUP($A43,'Data Vlaue (Cr)'!$C:$FB,62)*100</f>
        <v>318.92</v>
      </c>
      <c r="M43" s="51">
        <f>VLOOKUP($A43,'Data Vlaue (Cr)'!$C:$FB,63)</f>
        <v>4077</v>
      </c>
      <c r="N43" s="51">
        <f>VLOOKUP($A43,'Data Vlaue (Cr)'!$C:$FB,64)</f>
        <v>1224</v>
      </c>
      <c r="O43" s="51">
        <f>VLOOKUP($A43,'Data Vlaue (Cr)'!$C:$FB,66)*100</f>
        <v>233.13000000000002</v>
      </c>
    </row>
    <row r="44" spans="1:15" x14ac:dyDescent="0.25">
      <c r="A44" s="101" t="str">
        <f>'Data Vlaue (Cr)'!C39</f>
        <v>CAMS</v>
      </c>
      <c r="B44" s="50">
        <f>VLOOKUP($A44,'Data Vlaue (Cr)'!$C:$FB,8)</f>
        <v>3825.5</v>
      </c>
      <c r="C44" s="50">
        <f>VLOOKUP($A44,'Data Vlaue (Cr)'!$C:$FB,11)*100</f>
        <v>0.37</v>
      </c>
      <c r="D44" s="50">
        <f>VLOOKUP($A44,'Data Vlaue (Cr)'!$C:$FB,143)</f>
        <v>569.21</v>
      </c>
      <c r="E44" s="50">
        <f>VLOOKUP($A44,'Data Vlaue (Cr)'!$C:$FB,144)</f>
        <v>496.64</v>
      </c>
      <c r="F44" s="50">
        <f>VLOOKUP($A44,'Data Vlaue (Cr)'!$C:$FB,146)*100</f>
        <v>14.610000000000001</v>
      </c>
      <c r="G44" s="49">
        <f>VLOOKUP($A44,'Data Vlaue (Cr)'!$C:$FB,43)</f>
        <v>126</v>
      </c>
      <c r="H44" s="49">
        <f>VLOOKUP($A44,'Data Vlaue (Cr)'!$C:$FB,44)</f>
        <v>97</v>
      </c>
      <c r="I44" s="49">
        <f>VLOOKUP($A44,'Data Vlaue (Cr)'!$C:$FB,46)*100</f>
        <v>30.819999999999997</v>
      </c>
      <c r="J44" s="51">
        <f>VLOOKUP($A44,'Data Vlaue (Cr)'!$C:$FB,59)</f>
        <v>311</v>
      </c>
      <c r="K44" s="51">
        <f>VLOOKUP($A44,'Data Vlaue (Cr)'!$C:$FB,60)</f>
        <v>287</v>
      </c>
      <c r="L44" s="51">
        <f>VLOOKUP($A44,'Data Vlaue (Cr)'!$C:$FB,62)*100</f>
        <v>8.2600000000000016</v>
      </c>
      <c r="M44" s="51">
        <f>VLOOKUP($A44,'Data Vlaue (Cr)'!$C:$FB,63)</f>
        <v>120</v>
      </c>
      <c r="N44" s="51">
        <f>VLOOKUP($A44,'Data Vlaue (Cr)'!$C:$FB,64)</f>
        <v>100</v>
      </c>
      <c r="O44" s="51">
        <f>VLOOKUP($A44,'Data Vlaue (Cr)'!$C:$FB,66)*100</f>
        <v>19.350000000000001</v>
      </c>
    </row>
    <row r="45" spans="1:15" x14ac:dyDescent="0.25">
      <c r="A45" s="101" t="str">
        <f>'Data Vlaue (Cr)'!C40</f>
        <v>CANBK</v>
      </c>
      <c r="B45" s="50">
        <f>VLOOKUP($A45,'Data Vlaue (Cr)'!$C:$FB,8)</f>
        <v>126.76</v>
      </c>
      <c r="C45" s="50">
        <f>VLOOKUP($A45,'Data Vlaue (Cr)'!$C:$FB,11)*100</f>
        <v>0.67999999999999994</v>
      </c>
      <c r="D45" s="50">
        <f>VLOOKUP($A45,'Data Vlaue (Cr)'!$C:$FB,143)</f>
        <v>3606.36</v>
      </c>
      <c r="E45" s="50">
        <f>VLOOKUP($A45,'Data Vlaue (Cr)'!$C:$FB,144)</f>
        <v>4572.0200000000004</v>
      </c>
      <c r="F45" s="50">
        <f>VLOOKUP($A45,'Data Vlaue (Cr)'!$C:$FB,146)*100</f>
        <v>-21.12</v>
      </c>
      <c r="G45" s="49">
        <f>VLOOKUP($A45,'Data Vlaue (Cr)'!$C:$FB,43)</f>
        <v>660</v>
      </c>
      <c r="H45" s="49">
        <f>VLOOKUP($A45,'Data Vlaue (Cr)'!$C:$FB,44)</f>
        <v>795</v>
      </c>
      <c r="I45" s="49">
        <f>VLOOKUP($A45,'Data Vlaue (Cr)'!$C:$FB,46)*100</f>
        <v>-16.96</v>
      </c>
      <c r="J45" s="51">
        <f>VLOOKUP($A45,'Data Vlaue (Cr)'!$C:$FB,59)</f>
        <v>1918</v>
      </c>
      <c r="K45" s="51">
        <f>VLOOKUP($A45,'Data Vlaue (Cr)'!$C:$FB,60)</f>
        <v>2457</v>
      </c>
      <c r="L45" s="51">
        <f>VLOOKUP($A45,'Data Vlaue (Cr)'!$C:$FB,62)*100</f>
        <v>-21.94</v>
      </c>
      <c r="M45" s="51">
        <f>VLOOKUP($A45,'Data Vlaue (Cr)'!$C:$FB,63)</f>
        <v>978</v>
      </c>
      <c r="N45" s="51">
        <f>VLOOKUP($A45,'Data Vlaue (Cr)'!$C:$FB,64)</f>
        <v>1301</v>
      </c>
      <c r="O45" s="51">
        <f>VLOOKUP($A45,'Data Vlaue (Cr)'!$C:$FB,66)*100</f>
        <v>-24.81</v>
      </c>
    </row>
    <row r="46" spans="1:15" x14ac:dyDescent="0.25">
      <c r="A46" s="101" t="str">
        <f>'Data Vlaue (Cr)'!C41</f>
        <v>CDSL</v>
      </c>
      <c r="B46" s="50">
        <f>VLOOKUP($A46,'Data Vlaue (Cr)'!$C:$FB,8)</f>
        <v>1524.9</v>
      </c>
      <c r="C46" s="50">
        <f>VLOOKUP($A46,'Data Vlaue (Cr)'!$C:$FB,11)*100</f>
        <v>2.34</v>
      </c>
      <c r="D46" s="50">
        <f>VLOOKUP($A46,'Data Vlaue (Cr)'!$C:$FB,143)</f>
        <v>2857.7</v>
      </c>
      <c r="E46" s="50">
        <f>VLOOKUP($A46,'Data Vlaue (Cr)'!$C:$FB,144)</f>
        <v>1207.44</v>
      </c>
      <c r="F46" s="50">
        <f>VLOOKUP($A46,'Data Vlaue (Cr)'!$C:$FB,146)*100</f>
        <v>136.67000000000002</v>
      </c>
      <c r="G46" s="49">
        <f>VLOOKUP($A46,'Data Vlaue (Cr)'!$C:$FB,43)</f>
        <v>418</v>
      </c>
      <c r="H46" s="49">
        <f>VLOOKUP($A46,'Data Vlaue (Cr)'!$C:$FB,44)</f>
        <v>178</v>
      </c>
      <c r="I46" s="49">
        <f>VLOOKUP($A46,'Data Vlaue (Cr)'!$C:$FB,46)*100</f>
        <v>135.30000000000001</v>
      </c>
      <c r="J46" s="51">
        <f>VLOOKUP($A46,'Data Vlaue (Cr)'!$C:$FB,59)</f>
        <v>1790</v>
      </c>
      <c r="K46" s="51">
        <f>VLOOKUP($A46,'Data Vlaue (Cr)'!$C:$FB,60)</f>
        <v>728</v>
      </c>
      <c r="L46" s="51">
        <f>VLOOKUP($A46,'Data Vlaue (Cr)'!$C:$FB,62)*100</f>
        <v>146.04</v>
      </c>
      <c r="M46" s="51">
        <f>VLOOKUP($A46,'Data Vlaue (Cr)'!$C:$FB,63)</f>
        <v>602</v>
      </c>
      <c r="N46" s="51">
        <f>VLOOKUP($A46,'Data Vlaue (Cr)'!$C:$FB,64)</f>
        <v>300</v>
      </c>
      <c r="O46" s="51">
        <f>VLOOKUP($A46,'Data Vlaue (Cr)'!$C:$FB,66)*100</f>
        <v>100.41</v>
      </c>
    </row>
    <row r="47" spans="1:15" x14ac:dyDescent="0.25">
      <c r="A47" s="101" t="str">
        <f>'Data Vlaue (Cr)'!C42</f>
        <v>CGPOWER</v>
      </c>
      <c r="B47" s="50">
        <f>VLOOKUP($A47,'Data Vlaue (Cr)'!$C:$FB,8)</f>
        <v>745.4</v>
      </c>
      <c r="C47" s="50">
        <f>VLOOKUP($A47,'Data Vlaue (Cr)'!$C:$FB,11)*100</f>
        <v>-0.27999999999999997</v>
      </c>
      <c r="D47" s="50">
        <f>VLOOKUP($A47,'Data Vlaue (Cr)'!$C:$FB,143)</f>
        <v>416.24</v>
      </c>
      <c r="E47" s="50">
        <f>VLOOKUP($A47,'Data Vlaue (Cr)'!$C:$FB,144)</f>
        <v>482.26</v>
      </c>
      <c r="F47" s="50">
        <f>VLOOKUP($A47,'Data Vlaue (Cr)'!$C:$FB,146)*100</f>
        <v>-13.69</v>
      </c>
      <c r="G47" s="49">
        <f>VLOOKUP($A47,'Data Vlaue (Cr)'!$C:$FB,43)</f>
        <v>122</v>
      </c>
      <c r="H47" s="49">
        <f>VLOOKUP($A47,'Data Vlaue (Cr)'!$C:$FB,44)</f>
        <v>124</v>
      </c>
      <c r="I47" s="49">
        <f>VLOOKUP($A47,'Data Vlaue (Cr)'!$C:$FB,46)*100</f>
        <v>-1.7999999999999998</v>
      </c>
      <c r="J47" s="51">
        <f>VLOOKUP($A47,'Data Vlaue (Cr)'!$C:$FB,59)</f>
        <v>234</v>
      </c>
      <c r="K47" s="51">
        <f>VLOOKUP($A47,'Data Vlaue (Cr)'!$C:$FB,60)</f>
        <v>279</v>
      </c>
      <c r="L47" s="51">
        <f>VLOOKUP($A47,'Data Vlaue (Cr)'!$C:$FB,62)*100</f>
        <v>-16.100000000000001</v>
      </c>
      <c r="M47" s="51">
        <f>VLOOKUP($A47,'Data Vlaue (Cr)'!$C:$FB,63)</f>
        <v>48</v>
      </c>
      <c r="N47" s="51">
        <f>VLOOKUP($A47,'Data Vlaue (Cr)'!$C:$FB,64)</f>
        <v>64</v>
      </c>
      <c r="O47" s="51">
        <f>VLOOKUP($A47,'Data Vlaue (Cr)'!$C:$FB,66)*100</f>
        <v>-25.869999999999997</v>
      </c>
    </row>
    <row r="48" spans="1:15" x14ac:dyDescent="0.25">
      <c r="A48" s="101" t="str">
        <f>'Data Vlaue (Cr)'!C43</f>
        <v>CHOLAFIN</v>
      </c>
      <c r="B48" s="50">
        <f>VLOOKUP($A48,'Data Vlaue (Cr)'!$C:$FB,8)</f>
        <v>1634.1</v>
      </c>
      <c r="C48" s="50">
        <f>VLOOKUP($A48,'Data Vlaue (Cr)'!$C:$FB,11)*100</f>
        <v>4.0199999999999996</v>
      </c>
      <c r="D48" s="50">
        <f>VLOOKUP($A48,'Data Vlaue (Cr)'!$C:$FB,143)</f>
        <v>2394.87</v>
      </c>
      <c r="E48" s="50">
        <f>VLOOKUP($A48,'Data Vlaue (Cr)'!$C:$FB,144)</f>
        <v>1518.35</v>
      </c>
      <c r="F48" s="50">
        <f>VLOOKUP($A48,'Data Vlaue (Cr)'!$C:$FB,146)*100</f>
        <v>57.730000000000004</v>
      </c>
      <c r="G48" s="49">
        <f>VLOOKUP($A48,'Data Vlaue (Cr)'!$C:$FB,43)</f>
        <v>551</v>
      </c>
      <c r="H48" s="49">
        <f>VLOOKUP($A48,'Data Vlaue (Cr)'!$C:$FB,44)</f>
        <v>406</v>
      </c>
      <c r="I48" s="49">
        <f>VLOOKUP($A48,'Data Vlaue (Cr)'!$C:$FB,46)*100</f>
        <v>35.589999999999996</v>
      </c>
      <c r="J48" s="51">
        <f>VLOOKUP($A48,'Data Vlaue (Cr)'!$C:$FB,59)</f>
        <v>1289</v>
      </c>
      <c r="K48" s="51">
        <f>VLOOKUP($A48,'Data Vlaue (Cr)'!$C:$FB,60)</f>
        <v>714</v>
      </c>
      <c r="L48" s="51">
        <f>VLOOKUP($A48,'Data Vlaue (Cr)'!$C:$FB,62)*100</f>
        <v>80.39</v>
      </c>
      <c r="M48" s="51">
        <f>VLOOKUP($A48,'Data Vlaue (Cr)'!$C:$FB,63)</f>
        <v>545</v>
      </c>
      <c r="N48" s="51">
        <f>VLOOKUP($A48,'Data Vlaue (Cr)'!$C:$FB,64)</f>
        <v>422</v>
      </c>
      <c r="O48" s="51">
        <f>VLOOKUP($A48,'Data Vlaue (Cr)'!$C:$FB,66)*100</f>
        <v>29.34</v>
      </c>
    </row>
    <row r="49" spans="1:15" x14ac:dyDescent="0.25">
      <c r="A49" s="101" t="str">
        <f>'Data Vlaue (Cr)'!C44</f>
        <v>CIPLA</v>
      </c>
      <c r="B49" s="50">
        <f>VLOOKUP($A49,'Data Vlaue (Cr)'!$C:$FB,8)</f>
        <v>1513.1</v>
      </c>
      <c r="C49" s="50">
        <f>VLOOKUP($A49,'Data Vlaue (Cr)'!$C:$FB,11)*100</f>
        <v>-0.3</v>
      </c>
      <c r="D49" s="50">
        <f>VLOOKUP($A49,'Data Vlaue (Cr)'!$C:$FB,143)</f>
        <v>763.15</v>
      </c>
      <c r="E49" s="50">
        <f>VLOOKUP($A49,'Data Vlaue (Cr)'!$C:$FB,144)</f>
        <v>705.52</v>
      </c>
      <c r="F49" s="50">
        <f>VLOOKUP($A49,'Data Vlaue (Cr)'!$C:$FB,146)*100</f>
        <v>8.17</v>
      </c>
      <c r="G49" s="49">
        <f>VLOOKUP($A49,'Data Vlaue (Cr)'!$C:$FB,43)</f>
        <v>128</v>
      </c>
      <c r="H49" s="49">
        <f>VLOOKUP($A49,'Data Vlaue (Cr)'!$C:$FB,44)</f>
        <v>127</v>
      </c>
      <c r="I49" s="49">
        <f>VLOOKUP($A49,'Data Vlaue (Cr)'!$C:$FB,46)*100</f>
        <v>0.9900000000000001</v>
      </c>
      <c r="J49" s="51">
        <f>VLOOKUP($A49,'Data Vlaue (Cr)'!$C:$FB,59)</f>
        <v>387</v>
      </c>
      <c r="K49" s="51">
        <f>VLOOKUP($A49,'Data Vlaue (Cr)'!$C:$FB,60)</f>
        <v>356</v>
      </c>
      <c r="L49" s="51">
        <f>VLOOKUP($A49,'Data Vlaue (Cr)'!$C:$FB,62)*100</f>
        <v>8.68</v>
      </c>
      <c r="M49" s="51">
        <f>VLOOKUP($A49,'Data Vlaue (Cr)'!$C:$FB,63)</f>
        <v>237</v>
      </c>
      <c r="N49" s="51">
        <f>VLOOKUP($A49,'Data Vlaue (Cr)'!$C:$FB,64)</f>
        <v>215</v>
      </c>
      <c r="O49" s="51">
        <f>VLOOKUP($A49,'Data Vlaue (Cr)'!$C:$FB,66)*100</f>
        <v>10.32</v>
      </c>
    </row>
    <row r="50" spans="1:15" x14ac:dyDescent="0.25">
      <c r="A50" s="101" t="str">
        <f>'Data Vlaue (Cr)'!C45</f>
        <v>COALINDIA</v>
      </c>
      <c r="B50" s="50">
        <f>VLOOKUP($A50,'Data Vlaue (Cr)'!$C:$FB,8)</f>
        <v>381.9</v>
      </c>
      <c r="C50" s="50">
        <f>VLOOKUP($A50,'Data Vlaue (Cr)'!$C:$FB,11)*100</f>
        <v>-0.38</v>
      </c>
      <c r="D50" s="50">
        <f>VLOOKUP($A50,'Data Vlaue (Cr)'!$C:$FB,143)</f>
        <v>1361.05</v>
      </c>
      <c r="E50" s="50">
        <f>VLOOKUP($A50,'Data Vlaue (Cr)'!$C:$FB,144)</f>
        <v>2390.69</v>
      </c>
      <c r="F50" s="50">
        <f>VLOOKUP($A50,'Data Vlaue (Cr)'!$C:$FB,146)*100</f>
        <v>-43.07</v>
      </c>
      <c r="G50" s="49">
        <f>VLOOKUP($A50,'Data Vlaue (Cr)'!$C:$FB,43)</f>
        <v>291</v>
      </c>
      <c r="H50" s="49">
        <f>VLOOKUP($A50,'Data Vlaue (Cr)'!$C:$FB,44)</f>
        <v>377</v>
      </c>
      <c r="I50" s="49">
        <f>VLOOKUP($A50,'Data Vlaue (Cr)'!$C:$FB,46)*100</f>
        <v>-23.04</v>
      </c>
      <c r="J50" s="51">
        <f>VLOOKUP($A50,'Data Vlaue (Cr)'!$C:$FB,59)</f>
        <v>752</v>
      </c>
      <c r="K50" s="51">
        <f>VLOOKUP($A50,'Data Vlaue (Cr)'!$C:$FB,60)</f>
        <v>1317</v>
      </c>
      <c r="L50" s="51">
        <f>VLOOKUP($A50,'Data Vlaue (Cr)'!$C:$FB,62)*100</f>
        <v>-42.870000000000005</v>
      </c>
      <c r="M50" s="51">
        <f>VLOOKUP($A50,'Data Vlaue (Cr)'!$C:$FB,63)</f>
        <v>289</v>
      </c>
      <c r="N50" s="51">
        <f>VLOOKUP($A50,'Data Vlaue (Cr)'!$C:$FB,64)</f>
        <v>638</v>
      </c>
      <c r="O50" s="51">
        <f>VLOOKUP($A50,'Data Vlaue (Cr)'!$C:$FB,66)*100</f>
        <v>-54.63</v>
      </c>
    </row>
    <row r="51" spans="1:15" x14ac:dyDescent="0.25">
      <c r="A51" s="101" t="str">
        <f>'Data Vlaue (Cr)'!C46</f>
        <v>COFORGE</v>
      </c>
      <c r="B51" s="50">
        <f>VLOOKUP($A51,'Data Vlaue (Cr)'!$C:$FB,8)</f>
        <v>1662.4</v>
      </c>
      <c r="C51" s="50">
        <f>VLOOKUP($A51,'Data Vlaue (Cr)'!$C:$FB,11)*100</f>
        <v>3.06</v>
      </c>
      <c r="D51" s="50">
        <f>VLOOKUP($A51,'Data Vlaue (Cr)'!$C:$FB,143)</f>
        <v>2572.56</v>
      </c>
      <c r="E51" s="50">
        <f>VLOOKUP($A51,'Data Vlaue (Cr)'!$C:$FB,144)</f>
        <v>1193.8399999999999</v>
      </c>
      <c r="F51" s="50">
        <f>VLOOKUP($A51,'Data Vlaue (Cr)'!$C:$FB,146)*100</f>
        <v>115.49000000000001</v>
      </c>
      <c r="G51" s="49">
        <f>VLOOKUP($A51,'Data Vlaue (Cr)'!$C:$FB,43)</f>
        <v>491</v>
      </c>
      <c r="H51" s="49">
        <f>VLOOKUP($A51,'Data Vlaue (Cr)'!$C:$FB,44)</f>
        <v>298</v>
      </c>
      <c r="I51" s="49">
        <f>VLOOKUP($A51,'Data Vlaue (Cr)'!$C:$FB,46)*100</f>
        <v>64.36</v>
      </c>
      <c r="J51" s="51">
        <f>VLOOKUP($A51,'Data Vlaue (Cr)'!$C:$FB,59)</f>
        <v>1457</v>
      </c>
      <c r="K51" s="51">
        <f>VLOOKUP($A51,'Data Vlaue (Cr)'!$C:$FB,60)</f>
        <v>621</v>
      </c>
      <c r="L51" s="51">
        <f>VLOOKUP($A51,'Data Vlaue (Cr)'!$C:$FB,62)*100</f>
        <v>134.54</v>
      </c>
      <c r="M51" s="51">
        <f>VLOOKUP($A51,'Data Vlaue (Cr)'!$C:$FB,63)</f>
        <v>590</v>
      </c>
      <c r="N51" s="51">
        <f>VLOOKUP($A51,'Data Vlaue (Cr)'!$C:$FB,64)</f>
        <v>277</v>
      </c>
      <c r="O51" s="51">
        <f>VLOOKUP($A51,'Data Vlaue (Cr)'!$C:$FB,66)*100</f>
        <v>112.97</v>
      </c>
    </row>
    <row r="52" spans="1:15" x14ac:dyDescent="0.25">
      <c r="A52" s="101" t="str">
        <f>'Data Vlaue (Cr)'!C47</f>
        <v>COLPAL</v>
      </c>
      <c r="B52" s="50">
        <f>VLOOKUP($A52,'Data Vlaue (Cr)'!$C:$FB,8)</f>
        <v>2228.8000000000002</v>
      </c>
      <c r="C52" s="50">
        <f>VLOOKUP($A52,'Data Vlaue (Cr)'!$C:$FB,11)*100</f>
        <v>0.67</v>
      </c>
      <c r="D52" s="50">
        <f>VLOOKUP($A52,'Data Vlaue (Cr)'!$C:$FB,143)</f>
        <v>557.78</v>
      </c>
      <c r="E52" s="50">
        <f>VLOOKUP($A52,'Data Vlaue (Cr)'!$C:$FB,144)</f>
        <v>634.88</v>
      </c>
      <c r="F52" s="50">
        <f>VLOOKUP($A52,'Data Vlaue (Cr)'!$C:$FB,146)*100</f>
        <v>-12.139999999999999</v>
      </c>
      <c r="G52" s="49">
        <f>VLOOKUP($A52,'Data Vlaue (Cr)'!$C:$FB,43)</f>
        <v>162</v>
      </c>
      <c r="H52" s="49">
        <f>VLOOKUP($A52,'Data Vlaue (Cr)'!$C:$FB,44)</f>
        <v>203</v>
      </c>
      <c r="I52" s="49">
        <f>VLOOKUP($A52,'Data Vlaue (Cr)'!$C:$FB,46)*100</f>
        <v>-20.119999999999997</v>
      </c>
      <c r="J52" s="51">
        <f>VLOOKUP($A52,'Data Vlaue (Cr)'!$C:$FB,59)</f>
        <v>320</v>
      </c>
      <c r="K52" s="51">
        <f>VLOOKUP($A52,'Data Vlaue (Cr)'!$C:$FB,60)</f>
        <v>313</v>
      </c>
      <c r="L52" s="51">
        <f>VLOOKUP($A52,'Data Vlaue (Cr)'!$C:$FB,62)*100</f>
        <v>2.31</v>
      </c>
      <c r="M52" s="51">
        <f>VLOOKUP($A52,'Data Vlaue (Cr)'!$C:$FB,63)</f>
        <v>64</v>
      </c>
      <c r="N52" s="51">
        <f>VLOOKUP($A52,'Data Vlaue (Cr)'!$C:$FB,64)</f>
        <v>111</v>
      </c>
      <c r="O52" s="51">
        <f>VLOOKUP($A52,'Data Vlaue (Cr)'!$C:$FB,66)*100</f>
        <v>-42.4</v>
      </c>
    </row>
    <row r="53" spans="1:15" x14ac:dyDescent="0.25">
      <c r="A53" s="101" t="str">
        <f>'Data Vlaue (Cr)'!C48</f>
        <v>CONCOR</v>
      </c>
      <c r="B53" s="50">
        <f>VLOOKUP($A53,'Data Vlaue (Cr)'!$C:$FB,8)</f>
        <v>532.15</v>
      </c>
      <c r="C53" s="50">
        <f>VLOOKUP($A53,'Data Vlaue (Cr)'!$C:$FB,11)*100</f>
        <v>-0.25</v>
      </c>
      <c r="D53" s="50">
        <f>VLOOKUP($A53,'Data Vlaue (Cr)'!$C:$FB,143)</f>
        <v>491.89</v>
      </c>
      <c r="E53" s="50">
        <f>VLOOKUP($A53,'Data Vlaue (Cr)'!$C:$FB,144)</f>
        <v>716.18</v>
      </c>
      <c r="F53" s="50">
        <f>VLOOKUP($A53,'Data Vlaue (Cr)'!$C:$FB,146)*100</f>
        <v>-31.319999999999997</v>
      </c>
      <c r="G53" s="49">
        <f>VLOOKUP($A53,'Data Vlaue (Cr)'!$C:$FB,43)</f>
        <v>136</v>
      </c>
      <c r="H53" s="49">
        <f>VLOOKUP($A53,'Data Vlaue (Cr)'!$C:$FB,44)</f>
        <v>173</v>
      </c>
      <c r="I53" s="49">
        <f>VLOOKUP($A53,'Data Vlaue (Cr)'!$C:$FB,46)*100</f>
        <v>-21.47</v>
      </c>
      <c r="J53" s="51">
        <f>VLOOKUP($A53,'Data Vlaue (Cr)'!$C:$FB,59)</f>
        <v>254</v>
      </c>
      <c r="K53" s="51">
        <f>VLOOKUP($A53,'Data Vlaue (Cr)'!$C:$FB,60)</f>
        <v>389</v>
      </c>
      <c r="L53" s="51">
        <f>VLOOKUP($A53,'Data Vlaue (Cr)'!$C:$FB,62)*100</f>
        <v>-34.880000000000003</v>
      </c>
      <c r="M53" s="51">
        <f>VLOOKUP($A53,'Data Vlaue (Cr)'!$C:$FB,63)</f>
        <v>93</v>
      </c>
      <c r="N53" s="51">
        <f>VLOOKUP($A53,'Data Vlaue (Cr)'!$C:$FB,64)</f>
        <v>140</v>
      </c>
      <c r="O53" s="51">
        <f>VLOOKUP($A53,'Data Vlaue (Cr)'!$C:$FB,66)*100</f>
        <v>-33.51</v>
      </c>
    </row>
    <row r="54" spans="1:15" x14ac:dyDescent="0.25">
      <c r="A54" s="101" t="str">
        <f>'Data Vlaue (Cr)'!C49</f>
        <v>CROMPTON</v>
      </c>
      <c r="B54" s="50">
        <f>VLOOKUP($A54,'Data Vlaue (Cr)'!$C:$FB,8)</f>
        <v>289.05</v>
      </c>
      <c r="C54" s="50">
        <f>VLOOKUP($A54,'Data Vlaue (Cr)'!$C:$FB,11)*100</f>
        <v>-2.08</v>
      </c>
      <c r="D54" s="50">
        <f>VLOOKUP($A54,'Data Vlaue (Cr)'!$C:$FB,143)</f>
        <v>652.6</v>
      </c>
      <c r="E54" s="50">
        <f>VLOOKUP($A54,'Data Vlaue (Cr)'!$C:$FB,144)</f>
        <v>292.63</v>
      </c>
      <c r="F54" s="50">
        <f>VLOOKUP($A54,'Data Vlaue (Cr)'!$C:$FB,146)*100</f>
        <v>123.00999999999999</v>
      </c>
      <c r="G54" s="49">
        <f>VLOOKUP($A54,'Data Vlaue (Cr)'!$C:$FB,43)</f>
        <v>185</v>
      </c>
      <c r="H54" s="49">
        <f>VLOOKUP($A54,'Data Vlaue (Cr)'!$C:$FB,44)</f>
        <v>93</v>
      </c>
      <c r="I54" s="49">
        <f>VLOOKUP($A54,'Data Vlaue (Cr)'!$C:$FB,46)*100</f>
        <v>98.1</v>
      </c>
      <c r="J54" s="51">
        <f>VLOOKUP($A54,'Data Vlaue (Cr)'!$C:$FB,59)</f>
        <v>327</v>
      </c>
      <c r="K54" s="51">
        <f>VLOOKUP($A54,'Data Vlaue (Cr)'!$C:$FB,60)</f>
        <v>135</v>
      </c>
      <c r="L54" s="51">
        <f>VLOOKUP($A54,'Data Vlaue (Cr)'!$C:$FB,62)*100</f>
        <v>143.16</v>
      </c>
      <c r="M54" s="51">
        <f>VLOOKUP($A54,'Data Vlaue (Cr)'!$C:$FB,63)</f>
        <v>116</v>
      </c>
      <c r="N54" s="51">
        <f>VLOOKUP($A54,'Data Vlaue (Cr)'!$C:$FB,64)</f>
        <v>52</v>
      </c>
      <c r="O54" s="51">
        <f>VLOOKUP($A54,'Data Vlaue (Cr)'!$C:$FB,66)*100</f>
        <v>123.46</v>
      </c>
    </row>
    <row r="55" spans="1:15" x14ac:dyDescent="0.25">
      <c r="A55" s="101" t="str">
        <f>'Data Vlaue (Cr)'!C50</f>
        <v>CUMMINSIND</v>
      </c>
      <c r="B55" s="50">
        <f>VLOOKUP($A55,'Data Vlaue (Cr)'!$C:$FB,8)</f>
        <v>3943</v>
      </c>
      <c r="C55" s="50">
        <f>VLOOKUP($A55,'Data Vlaue (Cr)'!$C:$FB,11)*100</f>
        <v>0.26</v>
      </c>
      <c r="D55" s="50">
        <f>VLOOKUP($A55,'Data Vlaue (Cr)'!$C:$FB,143)</f>
        <v>607.14</v>
      </c>
      <c r="E55" s="50">
        <f>VLOOKUP($A55,'Data Vlaue (Cr)'!$C:$FB,144)</f>
        <v>778.61</v>
      </c>
      <c r="F55" s="50">
        <f>VLOOKUP($A55,'Data Vlaue (Cr)'!$C:$FB,146)*100</f>
        <v>-22.02</v>
      </c>
      <c r="G55" s="49">
        <f>VLOOKUP($A55,'Data Vlaue (Cr)'!$C:$FB,43)</f>
        <v>191</v>
      </c>
      <c r="H55" s="49">
        <f>VLOOKUP($A55,'Data Vlaue (Cr)'!$C:$FB,44)</f>
        <v>195</v>
      </c>
      <c r="I55" s="49">
        <f>VLOOKUP($A55,'Data Vlaue (Cr)'!$C:$FB,46)*100</f>
        <v>-1.9900000000000002</v>
      </c>
      <c r="J55" s="51">
        <f>VLOOKUP($A55,'Data Vlaue (Cr)'!$C:$FB,59)</f>
        <v>305</v>
      </c>
      <c r="K55" s="51">
        <f>VLOOKUP($A55,'Data Vlaue (Cr)'!$C:$FB,60)</f>
        <v>432</v>
      </c>
      <c r="L55" s="51">
        <f>VLOOKUP($A55,'Data Vlaue (Cr)'!$C:$FB,62)*100</f>
        <v>-29.5</v>
      </c>
      <c r="M55" s="51">
        <f>VLOOKUP($A55,'Data Vlaue (Cr)'!$C:$FB,63)</f>
        <v>102</v>
      </c>
      <c r="N55" s="51">
        <f>VLOOKUP($A55,'Data Vlaue (Cr)'!$C:$FB,64)</f>
        <v>143</v>
      </c>
      <c r="O55" s="51">
        <f>VLOOKUP($A55,'Data Vlaue (Cr)'!$C:$FB,66)*100</f>
        <v>-28.67</v>
      </c>
    </row>
    <row r="56" spans="1:15" x14ac:dyDescent="0.25">
      <c r="A56" s="101" t="str">
        <f>'Data Vlaue (Cr)'!C51</f>
        <v>CYIENT</v>
      </c>
      <c r="B56" s="50">
        <f>VLOOKUP($A56,'Data Vlaue (Cr)'!$C:$FB,8)</f>
        <v>1180.5999999999999</v>
      </c>
      <c r="C56" s="50">
        <f>VLOOKUP($A56,'Data Vlaue (Cr)'!$C:$FB,11)*100</f>
        <v>0.88</v>
      </c>
      <c r="D56" s="50">
        <f>VLOOKUP($A56,'Data Vlaue (Cr)'!$C:$FB,143)</f>
        <v>483.61</v>
      </c>
      <c r="E56" s="50">
        <f>VLOOKUP($A56,'Data Vlaue (Cr)'!$C:$FB,144)</f>
        <v>246.66</v>
      </c>
      <c r="F56" s="50">
        <f>VLOOKUP($A56,'Data Vlaue (Cr)'!$C:$FB,146)*100</f>
        <v>96.06</v>
      </c>
      <c r="G56" s="49">
        <f>VLOOKUP($A56,'Data Vlaue (Cr)'!$C:$FB,43)</f>
        <v>139</v>
      </c>
      <c r="H56" s="49">
        <f>VLOOKUP($A56,'Data Vlaue (Cr)'!$C:$FB,44)</f>
        <v>60</v>
      </c>
      <c r="I56" s="49">
        <f>VLOOKUP($A56,'Data Vlaue (Cr)'!$C:$FB,46)*100</f>
        <v>131.51999999999998</v>
      </c>
      <c r="J56" s="51">
        <f>VLOOKUP($A56,'Data Vlaue (Cr)'!$C:$FB,59)</f>
        <v>272</v>
      </c>
      <c r="K56" s="51">
        <f>VLOOKUP($A56,'Data Vlaue (Cr)'!$C:$FB,60)</f>
        <v>146</v>
      </c>
      <c r="L56" s="51">
        <f>VLOOKUP($A56,'Data Vlaue (Cr)'!$C:$FB,62)*100</f>
        <v>87.12</v>
      </c>
      <c r="M56" s="51">
        <f>VLOOKUP($A56,'Data Vlaue (Cr)'!$C:$FB,63)</f>
        <v>58</v>
      </c>
      <c r="N56" s="51">
        <f>VLOOKUP($A56,'Data Vlaue (Cr)'!$C:$FB,64)</f>
        <v>33</v>
      </c>
      <c r="O56" s="51">
        <f>VLOOKUP($A56,'Data Vlaue (Cr)'!$C:$FB,66)*100</f>
        <v>73.37</v>
      </c>
    </row>
    <row r="57" spans="1:15" x14ac:dyDescent="0.25">
      <c r="A57" s="101" t="str">
        <f>'Data Vlaue (Cr)'!C52</f>
        <v>DABUR</v>
      </c>
      <c r="B57" s="50">
        <f>VLOOKUP($A57,'Data Vlaue (Cr)'!$C:$FB,8)</f>
        <v>493.35</v>
      </c>
      <c r="C57" s="50">
        <f>VLOOKUP($A57,'Data Vlaue (Cr)'!$C:$FB,11)*100</f>
        <v>-0.55999999999999994</v>
      </c>
      <c r="D57" s="50">
        <f>VLOOKUP($A57,'Data Vlaue (Cr)'!$C:$FB,143)</f>
        <v>671.16</v>
      </c>
      <c r="E57" s="50">
        <f>VLOOKUP($A57,'Data Vlaue (Cr)'!$C:$FB,144)</f>
        <v>800.07</v>
      </c>
      <c r="F57" s="50">
        <f>VLOOKUP($A57,'Data Vlaue (Cr)'!$C:$FB,146)*100</f>
        <v>-16.11</v>
      </c>
      <c r="G57" s="49">
        <f>VLOOKUP($A57,'Data Vlaue (Cr)'!$C:$FB,43)</f>
        <v>184</v>
      </c>
      <c r="H57" s="49">
        <f>VLOOKUP($A57,'Data Vlaue (Cr)'!$C:$FB,44)</f>
        <v>166</v>
      </c>
      <c r="I57" s="49">
        <f>VLOOKUP($A57,'Data Vlaue (Cr)'!$C:$FB,46)*100</f>
        <v>10.83</v>
      </c>
      <c r="J57" s="51">
        <f>VLOOKUP($A57,'Data Vlaue (Cr)'!$C:$FB,59)</f>
        <v>338</v>
      </c>
      <c r="K57" s="51">
        <f>VLOOKUP($A57,'Data Vlaue (Cr)'!$C:$FB,60)</f>
        <v>461</v>
      </c>
      <c r="L57" s="51">
        <f>VLOOKUP($A57,'Data Vlaue (Cr)'!$C:$FB,62)*100</f>
        <v>-26.71</v>
      </c>
      <c r="M57" s="51">
        <f>VLOOKUP($A57,'Data Vlaue (Cr)'!$C:$FB,63)</f>
        <v>132</v>
      </c>
      <c r="N57" s="51">
        <f>VLOOKUP($A57,'Data Vlaue (Cr)'!$C:$FB,64)</f>
        <v>148</v>
      </c>
      <c r="O57" s="51">
        <f>VLOOKUP($A57,'Data Vlaue (Cr)'!$C:$FB,66)*100</f>
        <v>-10.37</v>
      </c>
    </row>
    <row r="58" spans="1:15" x14ac:dyDescent="0.25">
      <c r="A58" s="101" t="str">
        <f>'Data Vlaue (Cr)'!C53</f>
        <v>DALBHARAT</v>
      </c>
      <c r="B58" s="50">
        <f>VLOOKUP($A58,'Data Vlaue (Cr)'!$C:$FB,8)</f>
        <v>2251.1999999999998</v>
      </c>
      <c r="C58" s="50">
        <f>VLOOKUP($A58,'Data Vlaue (Cr)'!$C:$FB,11)*100</f>
        <v>-0.11</v>
      </c>
      <c r="D58" s="50">
        <f>VLOOKUP($A58,'Data Vlaue (Cr)'!$C:$FB,143)</f>
        <v>152.59</v>
      </c>
      <c r="E58" s="50">
        <f>VLOOKUP($A58,'Data Vlaue (Cr)'!$C:$FB,144)</f>
        <v>327.38</v>
      </c>
      <c r="F58" s="50">
        <f>VLOOKUP($A58,'Data Vlaue (Cr)'!$C:$FB,146)*100</f>
        <v>-53.39</v>
      </c>
      <c r="G58" s="49">
        <f>VLOOKUP($A58,'Data Vlaue (Cr)'!$C:$FB,43)</f>
        <v>75</v>
      </c>
      <c r="H58" s="49">
        <f>VLOOKUP($A58,'Data Vlaue (Cr)'!$C:$FB,44)</f>
        <v>122</v>
      </c>
      <c r="I58" s="49">
        <f>VLOOKUP($A58,'Data Vlaue (Cr)'!$C:$FB,46)*100</f>
        <v>-37.89</v>
      </c>
      <c r="J58" s="51">
        <f>VLOOKUP($A58,'Data Vlaue (Cr)'!$C:$FB,59)</f>
        <v>58</v>
      </c>
      <c r="K58" s="51">
        <f>VLOOKUP($A58,'Data Vlaue (Cr)'!$C:$FB,60)</f>
        <v>89</v>
      </c>
      <c r="L58" s="51">
        <f>VLOOKUP($A58,'Data Vlaue (Cr)'!$C:$FB,62)*100</f>
        <v>-35.199999999999996</v>
      </c>
      <c r="M58" s="51">
        <f>VLOOKUP($A58,'Data Vlaue (Cr)'!$C:$FB,63)</f>
        <v>17</v>
      </c>
      <c r="N58" s="51">
        <f>VLOOKUP($A58,'Data Vlaue (Cr)'!$C:$FB,64)</f>
        <v>109</v>
      </c>
      <c r="O58" s="51">
        <f>VLOOKUP($A58,'Data Vlaue (Cr)'!$C:$FB,66)*100</f>
        <v>-84.1</v>
      </c>
    </row>
    <row r="59" spans="1:15" x14ac:dyDescent="0.25">
      <c r="A59" s="101" t="str">
        <f>'Data Vlaue (Cr)'!C54</f>
        <v>DELHIVERY</v>
      </c>
      <c r="B59" s="50">
        <f>VLOOKUP($A59,'Data Vlaue (Cr)'!$C:$FB,8)</f>
        <v>462.6</v>
      </c>
      <c r="C59" s="50">
        <f>VLOOKUP($A59,'Data Vlaue (Cr)'!$C:$FB,11)*100</f>
        <v>5.79</v>
      </c>
      <c r="D59" s="50">
        <f>VLOOKUP($A59,'Data Vlaue (Cr)'!$C:$FB,143)</f>
        <v>3217.72</v>
      </c>
      <c r="E59" s="50">
        <f>VLOOKUP($A59,'Data Vlaue (Cr)'!$C:$FB,144)</f>
        <v>1534.37</v>
      </c>
      <c r="F59" s="50">
        <f>VLOOKUP($A59,'Data Vlaue (Cr)'!$C:$FB,146)*100</f>
        <v>109.71</v>
      </c>
      <c r="G59" s="49">
        <f>VLOOKUP($A59,'Data Vlaue (Cr)'!$C:$FB,43)</f>
        <v>573</v>
      </c>
      <c r="H59" s="49">
        <f>VLOOKUP($A59,'Data Vlaue (Cr)'!$C:$FB,44)</f>
        <v>413</v>
      </c>
      <c r="I59" s="49">
        <f>VLOOKUP($A59,'Data Vlaue (Cr)'!$C:$FB,46)*100</f>
        <v>38.840000000000003</v>
      </c>
      <c r="J59" s="51">
        <f>VLOOKUP($A59,'Data Vlaue (Cr)'!$C:$FB,59)</f>
        <v>1789</v>
      </c>
      <c r="K59" s="51">
        <f>VLOOKUP($A59,'Data Vlaue (Cr)'!$C:$FB,60)</f>
        <v>794</v>
      </c>
      <c r="L59" s="51">
        <f>VLOOKUP($A59,'Data Vlaue (Cr)'!$C:$FB,62)*100</f>
        <v>125.34</v>
      </c>
      <c r="M59" s="51">
        <f>VLOOKUP($A59,'Data Vlaue (Cr)'!$C:$FB,63)</f>
        <v>840</v>
      </c>
      <c r="N59" s="51">
        <f>VLOOKUP($A59,'Data Vlaue (Cr)'!$C:$FB,64)</f>
        <v>378</v>
      </c>
      <c r="O59" s="51">
        <f>VLOOKUP($A59,'Data Vlaue (Cr)'!$C:$FB,66)*100</f>
        <v>121.98</v>
      </c>
    </row>
    <row r="60" spans="1:15" x14ac:dyDescent="0.25">
      <c r="A60" s="101" t="str">
        <f>'Data Vlaue (Cr)'!C55</f>
        <v>DIVISLAB</v>
      </c>
      <c r="B60" s="50">
        <f>VLOOKUP($A60,'Data Vlaue (Cr)'!$C:$FB,8)</f>
        <v>5826.5</v>
      </c>
      <c r="C60" s="50">
        <f>VLOOKUP($A60,'Data Vlaue (Cr)'!$C:$FB,11)*100</f>
        <v>-0.67</v>
      </c>
      <c r="D60" s="50">
        <f>VLOOKUP($A60,'Data Vlaue (Cr)'!$C:$FB,143)</f>
        <v>765.05</v>
      </c>
      <c r="E60" s="50">
        <f>VLOOKUP($A60,'Data Vlaue (Cr)'!$C:$FB,144)</f>
        <v>1617.63</v>
      </c>
      <c r="F60" s="50">
        <f>VLOOKUP($A60,'Data Vlaue (Cr)'!$C:$FB,146)*100</f>
        <v>-52.71</v>
      </c>
      <c r="G60" s="49">
        <f>VLOOKUP($A60,'Data Vlaue (Cr)'!$C:$FB,43)</f>
        <v>133</v>
      </c>
      <c r="H60" s="49">
        <f>VLOOKUP($A60,'Data Vlaue (Cr)'!$C:$FB,44)</f>
        <v>287</v>
      </c>
      <c r="I60" s="49">
        <f>VLOOKUP($A60,'Data Vlaue (Cr)'!$C:$FB,46)*100</f>
        <v>-53.7</v>
      </c>
      <c r="J60" s="51">
        <f>VLOOKUP($A60,'Data Vlaue (Cr)'!$C:$FB,59)</f>
        <v>411</v>
      </c>
      <c r="K60" s="51">
        <f>VLOOKUP($A60,'Data Vlaue (Cr)'!$C:$FB,60)</f>
        <v>988</v>
      </c>
      <c r="L60" s="51">
        <f>VLOOKUP($A60,'Data Vlaue (Cr)'!$C:$FB,62)*100</f>
        <v>-58.42</v>
      </c>
      <c r="M60" s="51">
        <f>VLOOKUP($A60,'Data Vlaue (Cr)'!$C:$FB,63)</f>
        <v>204</v>
      </c>
      <c r="N60" s="51">
        <f>VLOOKUP($A60,'Data Vlaue (Cr)'!$C:$FB,64)</f>
        <v>308</v>
      </c>
      <c r="O60" s="51">
        <f>VLOOKUP($A60,'Data Vlaue (Cr)'!$C:$FB,66)*100</f>
        <v>-33.71</v>
      </c>
    </row>
    <row r="61" spans="1:15" x14ac:dyDescent="0.25">
      <c r="A61" s="101" t="str">
        <f>'Data Vlaue (Cr)'!C56</f>
        <v>DIXON</v>
      </c>
      <c r="B61" s="50">
        <f>VLOOKUP($A61,'Data Vlaue (Cr)'!$C:$FB,8)</f>
        <v>17041</v>
      </c>
      <c r="C61" s="50">
        <f>VLOOKUP($A61,'Data Vlaue (Cr)'!$C:$FB,11)*100</f>
        <v>2.71</v>
      </c>
      <c r="D61" s="50">
        <f>VLOOKUP($A61,'Data Vlaue (Cr)'!$C:$FB,143)</f>
        <v>8004.29</v>
      </c>
      <c r="E61" s="50">
        <f>VLOOKUP($A61,'Data Vlaue (Cr)'!$C:$FB,144)</f>
        <v>3586.06</v>
      </c>
      <c r="F61" s="50">
        <f>VLOOKUP($A61,'Data Vlaue (Cr)'!$C:$FB,146)*100</f>
        <v>123.21</v>
      </c>
      <c r="G61" s="49">
        <f>VLOOKUP($A61,'Data Vlaue (Cr)'!$C:$FB,43)</f>
        <v>813</v>
      </c>
      <c r="H61" s="49">
        <f>VLOOKUP($A61,'Data Vlaue (Cr)'!$C:$FB,44)</f>
        <v>375</v>
      </c>
      <c r="I61" s="49">
        <f>VLOOKUP($A61,'Data Vlaue (Cr)'!$C:$FB,46)*100</f>
        <v>116.5</v>
      </c>
      <c r="J61" s="51">
        <f>VLOOKUP($A61,'Data Vlaue (Cr)'!$C:$FB,59)</f>
        <v>4975</v>
      </c>
      <c r="K61" s="51">
        <f>VLOOKUP($A61,'Data Vlaue (Cr)'!$C:$FB,60)</f>
        <v>2134</v>
      </c>
      <c r="L61" s="51">
        <f>VLOOKUP($A61,'Data Vlaue (Cr)'!$C:$FB,62)*100</f>
        <v>133.18</v>
      </c>
      <c r="M61" s="51">
        <f>VLOOKUP($A61,'Data Vlaue (Cr)'!$C:$FB,63)</f>
        <v>2077</v>
      </c>
      <c r="N61" s="51">
        <f>VLOOKUP($A61,'Data Vlaue (Cr)'!$C:$FB,64)</f>
        <v>1070</v>
      </c>
      <c r="O61" s="51">
        <f>VLOOKUP($A61,'Data Vlaue (Cr)'!$C:$FB,66)*100</f>
        <v>94.179999999999993</v>
      </c>
    </row>
    <row r="62" spans="1:15" x14ac:dyDescent="0.25">
      <c r="A62" s="101" t="str">
        <f>'Data Vlaue (Cr)'!C57</f>
        <v>DLF</v>
      </c>
      <c r="B62" s="50">
        <f>VLOOKUP($A62,'Data Vlaue (Cr)'!$C:$FB,8)</f>
        <v>735.25</v>
      </c>
      <c r="C62" s="50">
        <f>VLOOKUP($A62,'Data Vlaue (Cr)'!$C:$FB,11)*100</f>
        <v>0.83</v>
      </c>
      <c r="D62" s="50">
        <f>VLOOKUP($A62,'Data Vlaue (Cr)'!$C:$FB,143)</f>
        <v>1698.34</v>
      </c>
      <c r="E62" s="50">
        <f>VLOOKUP($A62,'Data Vlaue (Cr)'!$C:$FB,144)</f>
        <v>1833.65</v>
      </c>
      <c r="F62" s="50">
        <f>VLOOKUP($A62,'Data Vlaue (Cr)'!$C:$FB,146)*100</f>
        <v>-7.3800000000000008</v>
      </c>
      <c r="G62" s="49">
        <f>VLOOKUP($A62,'Data Vlaue (Cr)'!$C:$FB,43)</f>
        <v>305</v>
      </c>
      <c r="H62" s="49">
        <f>VLOOKUP($A62,'Data Vlaue (Cr)'!$C:$FB,44)</f>
        <v>433</v>
      </c>
      <c r="I62" s="49">
        <f>VLOOKUP($A62,'Data Vlaue (Cr)'!$C:$FB,46)*100</f>
        <v>-29.599999999999998</v>
      </c>
      <c r="J62" s="51">
        <f>VLOOKUP($A62,'Data Vlaue (Cr)'!$C:$FB,59)</f>
        <v>1048</v>
      </c>
      <c r="K62" s="51">
        <f>VLOOKUP($A62,'Data Vlaue (Cr)'!$C:$FB,60)</f>
        <v>1049</v>
      </c>
      <c r="L62" s="51">
        <f>VLOOKUP($A62,'Data Vlaue (Cr)'!$C:$FB,62)*100</f>
        <v>-0.1</v>
      </c>
      <c r="M62" s="51">
        <f>VLOOKUP($A62,'Data Vlaue (Cr)'!$C:$FB,63)</f>
        <v>312</v>
      </c>
      <c r="N62" s="51">
        <f>VLOOKUP($A62,'Data Vlaue (Cr)'!$C:$FB,64)</f>
        <v>324</v>
      </c>
      <c r="O62" s="51">
        <f>VLOOKUP($A62,'Data Vlaue (Cr)'!$C:$FB,66)*100</f>
        <v>-3.5900000000000003</v>
      </c>
    </row>
    <row r="63" spans="1:15" x14ac:dyDescent="0.25">
      <c r="A63" s="101" t="str">
        <f>'Data Vlaue (Cr)'!C58</f>
        <v>DMART</v>
      </c>
      <c r="B63" s="50">
        <f>VLOOKUP($A63,'Data Vlaue (Cr)'!$C:$FB,8)</f>
        <v>4301.6000000000004</v>
      </c>
      <c r="C63" s="50">
        <f>VLOOKUP($A63,'Data Vlaue (Cr)'!$C:$FB,11)*100</f>
        <v>-2.64</v>
      </c>
      <c r="D63" s="50">
        <f>VLOOKUP($A63,'Data Vlaue (Cr)'!$C:$FB,143)</f>
        <v>4451.07</v>
      </c>
      <c r="E63" s="50">
        <f>VLOOKUP($A63,'Data Vlaue (Cr)'!$C:$FB,144)</f>
        <v>1508.01</v>
      </c>
      <c r="F63" s="50">
        <f>VLOOKUP($A63,'Data Vlaue (Cr)'!$C:$FB,146)*100</f>
        <v>195.16</v>
      </c>
      <c r="G63" s="49">
        <f>VLOOKUP($A63,'Data Vlaue (Cr)'!$C:$FB,43)</f>
        <v>625</v>
      </c>
      <c r="H63" s="49">
        <f>VLOOKUP($A63,'Data Vlaue (Cr)'!$C:$FB,44)</f>
        <v>343</v>
      </c>
      <c r="I63" s="49">
        <f>VLOOKUP($A63,'Data Vlaue (Cr)'!$C:$FB,46)*100</f>
        <v>82.25</v>
      </c>
      <c r="J63" s="51">
        <f>VLOOKUP($A63,'Data Vlaue (Cr)'!$C:$FB,59)</f>
        <v>2266</v>
      </c>
      <c r="K63" s="51">
        <f>VLOOKUP($A63,'Data Vlaue (Cr)'!$C:$FB,60)</f>
        <v>678</v>
      </c>
      <c r="L63" s="51">
        <f>VLOOKUP($A63,'Data Vlaue (Cr)'!$C:$FB,62)*100</f>
        <v>233.95999999999998</v>
      </c>
      <c r="M63" s="51">
        <f>VLOOKUP($A63,'Data Vlaue (Cr)'!$C:$FB,63)</f>
        <v>1414</v>
      </c>
      <c r="N63" s="51">
        <f>VLOOKUP($A63,'Data Vlaue (Cr)'!$C:$FB,64)</f>
        <v>415</v>
      </c>
      <c r="O63" s="51">
        <f>VLOOKUP($A63,'Data Vlaue (Cr)'!$C:$FB,66)*100</f>
        <v>240.72</v>
      </c>
    </row>
    <row r="64" spans="1:15" x14ac:dyDescent="0.25">
      <c r="A64" s="101" t="str">
        <f>'Data Vlaue (Cr)'!C59</f>
        <v>DRREDDY</v>
      </c>
      <c r="B64" s="50">
        <f>VLOOKUP($A64,'Data Vlaue (Cr)'!$C:$FB,8)</f>
        <v>1248.5999999999999</v>
      </c>
      <c r="C64" s="50">
        <f>VLOOKUP($A64,'Data Vlaue (Cr)'!$C:$FB,11)*100</f>
        <v>0.04</v>
      </c>
      <c r="D64" s="50">
        <f>VLOOKUP($A64,'Data Vlaue (Cr)'!$C:$FB,143)</f>
        <v>856.31</v>
      </c>
      <c r="E64" s="50">
        <f>VLOOKUP($A64,'Data Vlaue (Cr)'!$C:$FB,144)</f>
        <v>897.6</v>
      </c>
      <c r="F64" s="50">
        <f>VLOOKUP($A64,'Data Vlaue (Cr)'!$C:$FB,146)*100</f>
        <v>-4.5999999999999996</v>
      </c>
      <c r="G64" s="49">
        <f>VLOOKUP($A64,'Data Vlaue (Cr)'!$C:$FB,43)</f>
        <v>225</v>
      </c>
      <c r="H64" s="49">
        <f>VLOOKUP($A64,'Data Vlaue (Cr)'!$C:$FB,44)</f>
        <v>238</v>
      </c>
      <c r="I64" s="49">
        <f>VLOOKUP($A64,'Data Vlaue (Cr)'!$C:$FB,46)*100</f>
        <v>-5.53</v>
      </c>
      <c r="J64" s="51">
        <f>VLOOKUP($A64,'Data Vlaue (Cr)'!$C:$FB,59)</f>
        <v>429</v>
      </c>
      <c r="K64" s="51">
        <f>VLOOKUP($A64,'Data Vlaue (Cr)'!$C:$FB,60)</f>
        <v>425</v>
      </c>
      <c r="L64" s="51">
        <f>VLOOKUP($A64,'Data Vlaue (Cr)'!$C:$FB,62)*100</f>
        <v>0.89</v>
      </c>
      <c r="M64" s="51">
        <f>VLOOKUP($A64,'Data Vlaue (Cr)'!$C:$FB,63)</f>
        <v>187</v>
      </c>
      <c r="N64" s="51">
        <f>VLOOKUP($A64,'Data Vlaue (Cr)'!$C:$FB,64)</f>
        <v>214</v>
      </c>
      <c r="O64" s="51">
        <f>VLOOKUP($A64,'Data Vlaue (Cr)'!$C:$FB,66)*100</f>
        <v>-12.620000000000001</v>
      </c>
    </row>
    <row r="65" spans="1:15" x14ac:dyDescent="0.25">
      <c r="A65" s="101" t="str">
        <f>'Data Vlaue (Cr)'!C60</f>
        <v>EICHERMOT</v>
      </c>
      <c r="B65" s="50">
        <f>VLOOKUP($A65,'Data Vlaue (Cr)'!$C:$FB,8)</f>
        <v>6880</v>
      </c>
      <c r="C65" s="50">
        <f>VLOOKUP($A65,'Data Vlaue (Cr)'!$C:$FB,11)*100</f>
        <v>-0.88</v>
      </c>
      <c r="D65" s="50">
        <f>VLOOKUP($A65,'Data Vlaue (Cr)'!$C:$FB,143)</f>
        <v>2825.67</v>
      </c>
      <c r="E65" s="50">
        <f>VLOOKUP($A65,'Data Vlaue (Cr)'!$C:$FB,144)</f>
        <v>6767.8</v>
      </c>
      <c r="F65" s="50">
        <f>VLOOKUP($A65,'Data Vlaue (Cr)'!$C:$FB,146)*100</f>
        <v>-58.25</v>
      </c>
      <c r="G65" s="49">
        <f>VLOOKUP($A65,'Data Vlaue (Cr)'!$C:$FB,43)</f>
        <v>381</v>
      </c>
      <c r="H65" s="49">
        <f>VLOOKUP($A65,'Data Vlaue (Cr)'!$C:$FB,44)</f>
        <v>814</v>
      </c>
      <c r="I65" s="49">
        <f>VLOOKUP($A65,'Data Vlaue (Cr)'!$C:$FB,46)*100</f>
        <v>-53.180000000000007</v>
      </c>
      <c r="J65" s="51">
        <f>VLOOKUP($A65,'Data Vlaue (Cr)'!$C:$FB,59)</f>
        <v>1648</v>
      </c>
      <c r="K65" s="51">
        <f>VLOOKUP($A65,'Data Vlaue (Cr)'!$C:$FB,60)</f>
        <v>3228</v>
      </c>
      <c r="L65" s="51">
        <f>VLOOKUP($A65,'Data Vlaue (Cr)'!$C:$FB,62)*100</f>
        <v>-48.96</v>
      </c>
      <c r="M65" s="51">
        <f>VLOOKUP($A65,'Data Vlaue (Cr)'!$C:$FB,63)</f>
        <v>714</v>
      </c>
      <c r="N65" s="51">
        <f>VLOOKUP($A65,'Data Vlaue (Cr)'!$C:$FB,64)</f>
        <v>2598</v>
      </c>
      <c r="O65" s="51">
        <f>VLOOKUP($A65,'Data Vlaue (Cr)'!$C:$FB,66)*100</f>
        <v>-72.53</v>
      </c>
    </row>
    <row r="66" spans="1:15" x14ac:dyDescent="0.25">
      <c r="A66" s="101" t="str">
        <f>'Data Vlaue (Cr)'!C61</f>
        <v>ETERNAL</v>
      </c>
      <c r="B66" s="50">
        <f>VLOOKUP($A66,'Data Vlaue (Cr)'!$C:$FB,8)</f>
        <v>335.1</v>
      </c>
      <c r="C66" s="50">
        <f>VLOOKUP($A66,'Data Vlaue (Cr)'!$C:$FB,11)*100</f>
        <v>2.02</v>
      </c>
      <c r="D66" s="50">
        <f>VLOOKUP($A66,'Data Vlaue (Cr)'!$C:$FB,143)</f>
        <v>3872.38</v>
      </c>
      <c r="E66" s="50">
        <f>VLOOKUP($A66,'Data Vlaue (Cr)'!$C:$FB,144)</f>
        <v>3152.63</v>
      </c>
      <c r="F66" s="50">
        <f>VLOOKUP($A66,'Data Vlaue (Cr)'!$C:$FB,146)*100</f>
        <v>22.830000000000002</v>
      </c>
      <c r="G66" s="49">
        <f>VLOOKUP($A66,'Data Vlaue (Cr)'!$C:$FB,43)</f>
        <v>779</v>
      </c>
      <c r="H66" s="49">
        <f>VLOOKUP($A66,'Data Vlaue (Cr)'!$C:$FB,44)</f>
        <v>684</v>
      </c>
      <c r="I66" s="49">
        <f>VLOOKUP($A66,'Data Vlaue (Cr)'!$C:$FB,46)*100</f>
        <v>13.79</v>
      </c>
      <c r="J66" s="51">
        <f>VLOOKUP($A66,'Data Vlaue (Cr)'!$C:$FB,59)</f>
        <v>2000</v>
      </c>
      <c r="K66" s="51">
        <f>VLOOKUP($A66,'Data Vlaue (Cr)'!$C:$FB,60)</f>
        <v>1597</v>
      </c>
      <c r="L66" s="51">
        <f>VLOOKUP($A66,'Data Vlaue (Cr)'!$C:$FB,62)*100</f>
        <v>25.259999999999998</v>
      </c>
      <c r="M66" s="51">
        <f>VLOOKUP($A66,'Data Vlaue (Cr)'!$C:$FB,63)</f>
        <v>1039</v>
      </c>
      <c r="N66" s="51">
        <f>VLOOKUP($A66,'Data Vlaue (Cr)'!$C:$FB,64)</f>
        <v>850</v>
      </c>
      <c r="O66" s="51">
        <f>VLOOKUP($A66,'Data Vlaue (Cr)'!$C:$FB,66)*100</f>
        <v>22.220000000000002</v>
      </c>
    </row>
    <row r="67" spans="1:15" x14ac:dyDescent="0.25">
      <c r="A67" s="101" t="str">
        <f>'Data Vlaue (Cr)'!C62</f>
        <v>EXIDEIND</v>
      </c>
      <c r="B67" s="50">
        <f>VLOOKUP($A67,'Data Vlaue (Cr)'!$C:$FB,8)</f>
        <v>399.95</v>
      </c>
      <c r="C67" s="50">
        <f>VLOOKUP($A67,'Data Vlaue (Cr)'!$C:$FB,11)*100</f>
        <v>0.48</v>
      </c>
      <c r="D67" s="50">
        <f>VLOOKUP($A67,'Data Vlaue (Cr)'!$C:$FB,143)</f>
        <v>462.58</v>
      </c>
      <c r="E67" s="50">
        <f>VLOOKUP($A67,'Data Vlaue (Cr)'!$C:$FB,144)</f>
        <v>536.26</v>
      </c>
      <c r="F67" s="50">
        <f>VLOOKUP($A67,'Data Vlaue (Cr)'!$C:$FB,146)*100</f>
        <v>-13.74</v>
      </c>
      <c r="G67" s="49">
        <f>VLOOKUP($A67,'Data Vlaue (Cr)'!$C:$FB,43)</f>
        <v>120</v>
      </c>
      <c r="H67" s="49">
        <f>VLOOKUP($A67,'Data Vlaue (Cr)'!$C:$FB,44)</f>
        <v>131</v>
      </c>
      <c r="I67" s="49">
        <f>VLOOKUP($A67,'Data Vlaue (Cr)'!$C:$FB,46)*100</f>
        <v>-8.3099999999999987</v>
      </c>
      <c r="J67" s="51">
        <f>VLOOKUP($A67,'Data Vlaue (Cr)'!$C:$FB,59)</f>
        <v>244</v>
      </c>
      <c r="K67" s="51">
        <f>VLOOKUP($A67,'Data Vlaue (Cr)'!$C:$FB,60)</f>
        <v>290</v>
      </c>
      <c r="L67" s="51">
        <f>VLOOKUP($A67,'Data Vlaue (Cr)'!$C:$FB,62)*100</f>
        <v>-16.07</v>
      </c>
      <c r="M67" s="51">
        <f>VLOOKUP($A67,'Data Vlaue (Cr)'!$C:$FB,63)</f>
        <v>90</v>
      </c>
      <c r="N67" s="51">
        <f>VLOOKUP($A67,'Data Vlaue (Cr)'!$C:$FB,64)</f>
        <v>109</v>
      </c>
      <c r="O67" s="51">
        <f>VLOOKUP($A67,'Data Vlaue (Cr)'!$C:$FB,66)*100</f>
        <v>-17.560000000000002</v>
      </c>
    </row>
    <row r="68" spans="1:15" x14ac:dyDescent="0.25">
      <c r="A68" s="101" t="str">
        <f>'Data Vlaue (Cr)'!C63</f>
        <v>FEDERALBNK</v>
      </c>
      <c r="B68" s="50">
        <f>VLOOKUP($A68,'Data Vlaue (Cr)'!$C:$FB,8)</f>
        <v>193.66</v>
      </c>
      <c r="C68" s="50">
        <f>VLOOKUP($A68,'Data Vlaue (Cr)'!$C:$FB,11)*100</f>
        <v>0.67</v>
      </c>
      <c r="D68" s="50">
        <f>VLOOKUP($A68,'Data Vlaue (Cr)'!$C:$FB,143)</f>
        <v>2523.12</v>
      </c>
      <c r="E68" s="50">
        <f>VLOOKUP($A68,'Data Vlaue (Cr)'!$C:$FB,144)</f>
        <v>1226.78</v>
      </c>
      <c r="F68" s="50">
        <f>VLOOKUP($A68,'Data Vlaue (Cr)'!$C:$FB,146)*100</f>
        <v>105.67</v>
      </c>
      <c r="G68" s="49">
        <f>VLOOKUP($A68,'Data Vlaue (Cr)'!$C:$FB,43)</f>
        <v>342</v>
      </c>
      <c r="H68" s="49">
        <f>VLOOKUP($A68,'Data Vlaue (Cr)'!$C:$FB,44)</f>
        <v>258</v>
      </c>
      <c r="I68" s="49">
        <f>VLOOKUP($A68,'Data Vlaue (Cr)'!$C:$FB,46)*100</f>
        <v>32.6</v>
      </c>
      <c r="J68" s="51">
        <f>VLOOKUP($A68,'Data Vlaue (Cr)'!$C:$FB,59)</f>
        <v>1601</v>
      </c>
      <c r="K68" s="51">
        <f>VLOOKUP($A68,'Data Vlaue (Cr)'!$C:$FB,60)</f>
        <v>628</v>
      </c>
      <c r="L68" s="51">
        <f>VLOOKUP($A68,'Data Vlaue (Cr)'!$C:$FB,62)*100</f>
        <v>155.1</v>
      </c>
      <c r="M68" s="51">
        <f>VLOOKUP($A68,'Data Vlaue (Cr)'!$C:$FB,63)</f>
        <v>519</v>
      </c>
      <c r="N68" s="51">
        <f>VLOOKUP($A68,'Data Vlaue (Cr)'!$C:$FB,64)</f>
        <v>321</v>
      </c>
      <c r="O68" s="51">
        <f>VLOOKUP($A68,'Data Vlaue (Cr)'!$C:$FB,66)*100</f>
        <v>61.95</v>
      </c>
    </row>
    <row r="69" spans="1:15" x14ac:dyDescent="0.25">
      <c r="A69" s="101" t="str">
        <f>'Data Vlaue (Cr)'!C64</f>
        <v>FINNIFTY</v>
      </c>
      <c r="B69" s="50">
        <f>VLOOKUP($A69,'Data Vlaue (Cr)'!$C:$FB,8)</f>
        <v>26712.05</v>
      </c>
      <c r="C69" s="50">
        <f>VLOOKUP($A69,'Data Vlaue (Cr)'!$C:$FB,11)*100</f>
        <v>1.08</v>
      </c>
      <c r="D69" s="50">
        <f>VLOOKUP($A69,'Data Vlaue (Cr)'!$C:$FB,143)</f>
        <v>10333.89</v>
      </c>
      <c r="E69" s="50">
        <f>VLOOKUP($A69,'Data Vlaue (Cr)'!$C:$FB,144)</f>
        <v>6107.77</v>
      </c>
      <c r="F69" s="50">
        <f>VLOOKUP($A69,'Data Vlaue (Cr)'!$C:$FB,146)*100</f>
        <v>69.19</v>
      </c>
      <c r="G69" s="49">
        <f>VLOOKUP($A69,'Data Vlaue (Cr)'!$C:$FB,43)</f>
        <v>73</v>
      </c>
      <c r="H69" s="49">
        <f>VLOOKUP($A69,'Data Vlaue (Cr)'!$C:$FB,44)</f>
        <v>30</v>
      </c>
      <c r="I69" s="49">
        <f>VLOOKUP($A69,'Data Vlaue (Cr)'!$C:$FB,46)*100</f>
        <v>139.66</v>
      </c>
      <c r="J69" s="51">
        <f>VLOOKUP($A69,'Data Vlaue (Cr)'!$C:$FB,59)</f>
        <v>6295</v>
      </c>
      <c r="K69" s="51">
        <f>VLOOKUP($A69,'Data Vlaue (Cr)'!$C:$FB,60)</f>
        <v>3663</v>
      </c>
      <c r="L69" s="51">
        <f>VLOOKUP($A69,'Data Vlaue (Cr)'!$C:$FB,62)*100</f>
        <v>71.86</v>
      </c>
      <c r="M69" s="51">
        <f>VLOOKUP($A69,'Data Vlaue (Cr)'!$C:$FB,63)</f>
        <v>3920</v>
      </c>
      <c r="N69" s="51">
        <f>VLOOKUP($A69,'Data Vlaue (Cr)'!$C:$FB,64)</f>
        <v>2418</v>
      </c>
      <c r="O69" s="51">
        <f>VLOOKUP($A69,'Data Vlaue (Cr)'!$C:$FB,66)*100</f>
        <v>62.11</v>
      </c>
    </row>
    <row r="70" spans="1:15" x14ac:dyDescent="0.25">
      <c r="A70" s="101" t="str">
        <f>'Data Vlaue (Cr)'!C65</f>
        <v>FORTIS</v>
      </c>
      <c r="B70" s="50">
        <f>VLOOKUP($A70,'Data Vlaue (Cr)'!$C:$FB,8)</f>
        <v>1053.9000000000001</v>
      </c>
      <c r="C70" s="50">
        <f>VLOOKUP($A70,'Data Vlaue (Cr)'!$C:$FB,11)*100</f>
        <v>7.5</v>
      </c>
      <c r="D70" s="50">
        <f>VLOOKUP($A70,'Data Vlaue (Cr)'!$C:$FB,143)</f>
        <v>8449.2999999999993</v>
      </c>
      <c r="E70" s="50">
        <f>VLOOKUP($A70,'Data Vlaue (Cr)'!$C:$FB,144)</f>
        <v>860.18</v>
      </c>
      <c r="F70" s="50">
        <f>VLOOKUP($A70,'Data Vlaue (Cr)'!$C:$FB,146)*100</f>
        <v>882.27</v>
      </c>
      <c r="G70" s="49">
        <f>VLOOKUP($A70,'Data Vlaue (Cr)'!$C:$FB,43)</f>
        <v>907</v>
      </c>
      <c r="H70" s="49">
        <f>VLOOKUP($A70,'Data Vlaue (Cr)'!$C:$FB,44)</f>
        <v>237</v>
      </c>
      <c r="I70" s="49">
        <f>VLOOKUP($A70,'Data Vlaue (Cr)'!$C:$FB,46)*100</f>
        <v>282.60999999999996</v>
      </c>
      <c r="J70" s="51">
        <f>VLOOKUP($A70,'Data Vlaue (Cr)'!$C:$FB,59)</f>
        <v>5528</v>
      </c>
      <c r="K70" s="51">
        <f>VLOOKUP($A70,'Data Vlaue (Cr)'!$C:$FB,60)</f>
        <v>409</v>
      </c>
      <c r="L70" s="51">
        <f>VLOOKUP($A70,'Data Vlaue (Cr)'!$C:$FB,62)*100</f>
        <v>1253.08</v>
      </c>
      <c r="M70" s="51">
        <f>VLOOKUP($A70,'Data Vlaue (Cr)'!$C:$FB,63)</f>
        <v>1922</v>
      </c>
      <c r="N70" s="51">
        <f>VLOOKUP($A70,'Data Vlaue (Cr)'!$C:$FB,64)</f>
        <v>258</v>
      </c>
      <c r="O70" s="51">
        <f>VLOOKUP($A70,'Data Vlaue (Cr)'!$C:$FB,66)*100</f>
        <v>644.57000000000005</v>
      </c>
    </row>
    <row r="71" spans="1:15" x14ac:dyDescent="0.25">
      <c r="A71" s="101" t="str">
        <f>'Data Vlaue (Cr)'!C66</f>
        <v>GAIL</v>
      </c>
      <c r="B71" s="50">
        <f>VLOOKUP($A71,'Data Vlaue (Cr)'!$C:$FB,8)</f>
        <v>176.62</v>
      </c>
      <c r="C71" s="50">
        <f>VLOOKUP($A71,'Data Vlaue (Cr)'!$C:$FB,11)*100</f>
        <v>-0.42</v>
      </c>
      <c r="D71" s="50">
        <f>VLOOKUP($A71,'Data Vlaue (Cr)'!$C:$FB,143)</f>
        <v>861.27</v>
      </c>
      <c r="E71" s="50">
        <f>VLOOKUP($A71,'Data Vlaue (Cr)'!$C:$FB,144)</f>
        <v>761.09</v>
      </c>
      <c r="F71" s="50">
        <f>VLOOKUP($A71,'Data Vlaue (Cr)'!$C:$FB,146)*100</f>
        <v>13.16</v>
      </c>
      <c r="G71" s="49">
        <f>VLOOKUP($A71,'Data Vlaue (Cr)'!$C:$FB,43)</f>
        <v>177</v>
      </c>
      <c r="H71" s="49">
        <f>VLOOKUP($A71,'Data Vlaue (Cr)'!$C:$FB,44)</f>
        <v>156</v>
      </c>
      <c r="I71" s="49">
        <f>VLOOKUP($A71,'Data Vlaue (Cr)'!$C:$FB,46)*100</f>
        <v>12.959999999999999</v>
      </c>
      <c r="J71" s="51">
        <f>VLOOKUP($A71,'Data Vlaue (Cr)'!$C:$FB,59)</f>
        <v>527</v>
      </c>
      <c r="K71" s="51">
        <f>VLOOKUP($A71,'Data Vlaue (Cr)'!$C:$FB,60)</f>
        <v>445</v>
      </c>
      <c r="L71" s="51">
        <f>VLOOKUP($A71,'Data Vlaue (Cr)'!$C:$FB,62)*100</f>
        <v>18.310000000000002</v>
      </c>
      <c r="M71" s="51">
        <f>VLOOKUP($A71,'Data Vlaue (Cr)'!$C:$FB,63)</f>
        <v>132</v>
      </c>
      <c r="N71" s="51">
        <f>VLOOKUP($A71,'Data Vlaue (Cr)'!$C:$FB,64)</f>
        <v>139</v>
      </c>
      <c r="O71" s="51">
        <f>VLOOKUP($A71,'Data Vlaue (Cr)'!$C:$FB,66)*100</f>
        <v>-4.4799999999999995</v>
      </c>
    </row>
    <row r="72" spans="1:15" x14ac:dyDescent="0.25">
      <c r="A72" s="101" t="str">
        <f>'Data Vlaue (Cr)'!C67</f>
        <v>GLENMARK</v>
      </c>
      <c r="B72" s="50">
        <f>VLOOKUP($A72,'Data Vlaue (Cr)'!$C:$FB,8)</f>
        <v>1971.2</v>
      </c>
      <c r="C72" s="50">
        <f>VLOOKUP($A72,'Data Vlaue (Cr)'!$C:$FB,11)*100</f>
        <v>-0.44999999999999996</v>
      </c>
      <c r="D72" s="50">
        <f>VLOOKUP($A72,'Data Vlaue (Cr)'!$C:$FB,143)</f>
        <v>389.03</v>
      </c>
      <c r="E72" s="50">
        <f>VLOOKUP($A72,'Data Vlaue (Cr)'!$C:$FB,144)</f>
        <v>575.13</v>
      </c>
      <c r="F72" s="50">
        <f>VLOOKUP($A72,'Data Vlaue (Cr)'!$C:$FB,146)*100</f>
        <v>-32.36</v>
      </c>
      <c r="G72" s="49">
        <f>VLOOKUP($A72,'Data Vlaue (Cr)'!$C:$FB,43)</f>
        <v>112</v>
      </c>
      <c r="H72" s="49">
        <f>VLOOKUP($A72,'Data Vlaue (Cr)'!$C:$FB,44)</f>
        <v>158</v>
      </c>
      <c r="I72" s="49">
        <f>VLOOKUP($A72,'Data Vlaue (Cr)'!$C:$FB,46)*100</f>
        <v>-29.14</v>
      </c>
      <c r="J72" s="51">
        <f>VLOOKUP($A72,'Data Vlaue (Cr)'!$C:$FB,59)</f>
        <v>195</v>
      </c>
      <c r="K72" s="51">
        <f>VLOOKUP($A72,'Data Vlaue (Cr)'!$C:$FB,60)</f>
        <v>300</v>
      </c>
      <c r="L72" s="51">
        <f>VLOOKUP($A72,'Data Vlaue (Cr)'!$C:$FB,62)*100</f>
        <v>-35.03</v>
      </c>
      <c r="M72" s="51">
        <f>VLOOKUP($A72,'Data Vlaue (Cr)'!$C:$FB,63)</f>
        <v>74</v>
      </c>
      <c r="N72" s="51">
        <f>VLOOKUP($A72,'Data Vlaue (Cr)'!$C:$FB,64)</f>
        <v>102</v>
      </c>
      <c r="O72" s="51">
        <f>VLOOKUP($A72,'Data Vlaue (Cr)'!$C:$FB,66)*100</f>
        <v>-27.37</v>
      </c>
    </row>
    <row r="73" spans="1:15" x14ac:dyDescent="0.25">
      <c r="A73" s="101" t="str">
        <f>'Data Vlaue (Cr)'!C68</f>
        <v>GMRAIRPORT</v>
      </c>
      <c r="B73" s="50">
        <f>VLOOKUP($A73,'Data Vlaue (Cr)'!$C:$FB,8)</f>
        <v>88.7</v>
      </c>
      <c r="C73" s="50">
        <f>VLOOKUP($A73,'Data Vlaue (Cr)'!$C:$FB,11)*100</f>
        <v>-0.65</v>
      </c>
      <c r="D73" s="50">
        <f>VLOOKUP($A73,'Data Vlaue (Cr)'!$C:$FB,143)</f>
        <v>725.45</v>
      </c>
      <c r="E73" s="50">
        <f>VLOOKUP($A73,'Data Vlaue (Cr)'!$C:$FB,144)</f>
        <v>539.44000000000005</v>
      </c>
      <c r="F73" s="50">
        <f>VLOOKUP($A73,'Data Vlaue (Cr)'!$C:$FB,146)*100</f>
        <v>34.479999999999997</v>
      </c>
      <c r="G73" s="49">
        <f>VLOOKUP($A73,'Data Vlaue (Cr)'!$C:$FB,43)</f>
        <v>201</v>
      </c>
      <c r="H73" s="49">
        <f>VLOOKUP($A73,'Data Vlaue (Cr)'!$C:$FB,44)</f>
        <v>155</v>
      </c>
      <c r="I73" s="49">
        <f>VLOOKUP($A73,'Data Vlaue (Cr)'!$C:$FB,46)*100</f>
        <v>29.43</v>
      </c>
      <c r="J73" s="51">
        <f>VLOOKUP($A73,'Data Vlaue (Cr)'!$C:$FB,59)</f>
        <v>369</v>
      </c>
      <c r="K73" s="51">
        <f>VLOOKUP($A73,'Data Vlaue (Cr)'!$C:$FB,60)</f>
        <v>265</v>
      </c>
      <c r="L73" s="51">
        <f>VLOOKUP($A73,'Data Vlaue (Cr)'!$C:$FB,62)*100</f>
        <v>39.519999999999996</v>
      </c>
      <c r="M73" s="51">
        <f>VLOOKUP($A73,'Data Vlaue (Cr)'!$C:$FB,63)</f>
        <v>135</v>
      </c>
      <c r="N73" s="51">
        <f>VLOOKUP($A73,'Data Vlaue (Cr)'!$C:$FB,64)</f>
        <v>102</v>
      </c>
      <c r="O73" s="51">
        <f>VLOOKUP($A73,'Data Vlaue (Cr)'!$C:$FB,66)*100</f>
        <v>32.76</v>
      </c>
    </row>
    <row r="74" spans="1:15" x14ac:dyDescent="0.25">
      <c r="A74" s="101" t="str">
        <f>'Data Vlaue (Cr)'!C69</f>
        <v>GODREJCP</v>
      </c>
      <c r="B74" s="50">
        <f>VLOOKUP($A74,'Data Vlaue (Cr)'!$C:$FB,8)</f>
        <v>1147.5999999999999</v>
      </c>
      <c r="C74" s="50">
        <f>VLOOKUP($A74,'Data Vlaue (Cr)'!$C:$FB,11)*100</f>
        <v>-0.12</v>
      </c>
      <c r="D74" s="50">
        <f>VLOOKUP($A74,'Data Vlaue (Cr)'!$C:$FB,143)</f>
        <v>510.85</v>
      </c>
      <c r="E74" s="50">
        <f>VLOOKUP($A74,'Data Vlaue (Cr)'!$C:$FB,144)</f>
        <v>370.39</v>
      </c>
      <c r="F74" s="50">
        <f>VLOOKUP($A74,'Data Vlaue (Cr)'!$C:$FB,146)*100</f>
        <v>37.92</v>
      </c>
      <c r="G74" s="49">
        <f>VLOOKUP($A74,'Data Vlaue (Cr)'!$C:$FB,43)</f>
        <v>164</v>
      </c>
      <c r="H74" s="49">
        <f>VLOOKUP($A74,'Data Vlaue (Cr)'!$C:$FB,44)</f>
        <v>126</v>
      </c>
      <c r="I74" s="49">
        <f>VLOOKUP($A74,'Data Vlaue (Cr)'!$C:$FB,46)*100</f>
        <v>30.25</v>
      </c>
      <c r="J74" s="51">
        <f>VLOOKUP($A74,'Data Vlaue (Cr)'!$C:$FB,59)</f>
        <v>225</v>
      </c>
      <c r="K74" s="51">
        <f>VLOOKUP($A74,'Data Vlaue (Cr)'!$C:$FB,60)</f>
        <v>163</v>
      </c>
      <c r="L74" s="51">
        <f>VLOOKUP($A74,'Data Vlaue (Cr)'!$C:$FB,62)*100</f>
        <v>37.39</v>
      </c>
      <c r="M74" s="51">
        <f>VLOOKUP($A74,'Data Vlaue (Cr)'!$C:$FB,63)</f>
        <v>115</v>
      </c>
      <c r="N74" s="51">
        <f>VLOOKUP($A74,'Data Vlaue (Cr)'!$C:$FB,64)</f>
        <v>72</v>
      </c>
      <c r="O74" s="51">
        <f>VLOOKUP($A74,'Data Vlaue (Cr)'!$C:$FB,66)*100</f>
        <v>58.709999999999994</v>
      </c>
    </row>
    <row r="75" spans="1:15" x14ac:dyDescent="0.25">
      <c r="A75" s="101" t="str">
        <f>'Data Vlaue (Cr)'!C70</f>
        <v>GODREJPROP</v>
      </c>
      <c r="B75" s="50">
        <f>VLOOKUP($A75,'Data Vlaue (Cr)'!$C:$FB,8)</f>
        <v>2056.5</v>
      </c>
      <c r="C75" s="50">
        <f>VLOOKUP($A75,'Data Vlaue (Cr)'!$C:$FB,11)*100</f>
        <v>1.1599999999999999</v>
      </c>
      <c r="D75" s="50">
        <f>VLOOKUP($A75,'Data Vlaue (Cr)'!$C:$FB,143)</f>
        <v>654.24</v>
      </c>
      <c r="E75" s="50">
        <f>VLOOKUP($A75,'Data Vlaue (Cr)'!$C:$FB,144)</f>
        <v>669.86</v>
      </c>
      <c r="F75" s="50">
        <f>VLOOKUP($A75,'Data Vlaue (Cr)'!$C:$FB,146)*100</f>
        <v>-2.33</v>
      </c>
      <c r="G75" s="49">
        <f>VLOOKUP($A75,'Data Vlaue (Cr)'!$C:$FB,43)</f>
        <v>146</v>
      </c>
      <c r="H75" s="49">
        <f>VLOOKUP($A75,'Data Vlaue (Cr)'!$C:$FB,44)</f>
        <v>190</v>
      </c>
      <c r="I75" s="49">
        <f>VLOOKUP($A75,'Data Vlaue (Cr)'!$C:$FB,46)*100</f>
        <v>-22.830000000000002</v>
      </c>
      <c r="J75" s="51">
        <f>VLOOKUP($A75,'Data Vlaue (Cr)'!$C:$FB,59)</f>
        <v>372</v>
      </c>
      <c r="K75" s="51">
        <f>VLOOKUP($A75,'Data Vlaue (Cr)'!$C:$FB,60)</f>
        <v>344</v>
      </c>
      <c r="L75" s="51">
        <f>VLOOKUP($A75,'Data Vlaue (Cr)'!$C:$FB,62)*100</f>
        <v>7.95</v>
      </c>
      <c r="M75" s="51">
        <f>VLOOKUP($A75,'Data Vlaue (Cr)'!$C:$FB,63)</f>
        <v>121</v>
      </c>
      <c r="N75" s="51">
        <f>VLOOKUP($A75,'Data Vlaue (Cr)'!$C:$FB,64)</f>
        <v>122</v>
      </c>
      <c r="O75" s="51">
        <f>VLOOKUP($A75,'Data Vlaue (Cr)'!$C:$FB,66)*100</f>
        <v>-0.65</v>
      </c>
    </row>
    <row r="76" spans="1:15" x14ac:dyDescent="0.25">
      <c r="A76" s="101" t="str">
        <f>'Data Vlaue (Cr)'!C71</f>
        <v>GRASIM</v>
      </c>
      <c r="B76" s="50">
        <f>VLOOKUP($A76,'Data Vlaue (Cr)'!$C:$FB,8)</f>
        <v>2807.4</v>
      </c>
      <c r="C76" s="50">
        <f>VLOOKUP($A76,'Data Vlaue (Cr)'!$C:$FB,11)*100</f>
        <v>0.57000000000000006</v>
      </c>
      <c r="D76" s="50">
        <f>VLOOKUP($A76,'Data Vlaue (Cr)'!$C:$FB,143)</f>
        <v>986.94</v>
      </c>
      <c r="E76" s="50">
        <f>VLOOKUP($A76,'Data Vlaue (Cr)'!$C:$FB,144)</f>
        <v>1324.41</v>
      </c>
      <c r="F76" s="50">
        <f>VLOOKUP($A76,'Data Vlaue (Cr)'!$C:$FB,146)*100</f>
        <v>-25.480000000000004</v>
      </c>
      <c r="G76" s="49">
        <f>VLOOKUP($A76,'Data Vlaue (Cr)'!$C:$FB,43)</f>
        <v>238</v>
      </c>
      <c r="H76" s="49">
        <f>VLOOKUP($A76,'Data Vlaue (Cr)'!$C:$FB,44)</f>
        <v>347</v>
      </c>
      <c r="I76" s="49">
        <f>VLOOKUP($A76,'Data Vlaue (Cr)'!$C:$FB,46)*100</f>
        <v>-31.2</v>
      </c>
      <c r="J76" s="51">
        <f>VLOOKUP($A76,'Data Vlaue (Cr)'!$C:$FB,59)</f>
        <v>497</v>
      </c>
      <c r="K76" s="51">
        <f>VLOOKUP($A76,'Data Vlaue (Cr)'!$C:$FB,60)</f>
        <v>637</v>
      </c>
      <c r="L76" s="51">
        <f>VLOOKUP($A76,'Data Vlaue (Cr)'!$C:$FB,62)*100</f>
        <v>-21.92</v>
      </c>
      <c r="M76" s="51">
        <f>VLOOKUP($A76,'Data Vlaue (Cr)'!$C:$FB,63)</f>
        <v>240</v>
      </c>
      <c r="N76" s="51">
        <f>VLOOKUP($A76,'Data Vlaue (Cr)'!$C:$FB,64)</f>
        <v>330</v>
      </c>
      <c r="O76" s="51">
        <f>VLOOKUP($A76,'Data Vlaue (Cr)'!$C:$FB,66)*100</f>
        <v>-27.310000000000002</v>
      </c>
    </row>
    <row r="77" spans="1:15" x14ac:dyDescent="0.25">
      <c r="A77" s="101" t="str">
        <f>'Data Vlaue (Cr)'!C72</f>
        <v>HAL</v>
      </c>
      <c r="B77" s="50">
        <f>VLOOKUP($A77,'Data Vlaue (Cr)'!$C:$FB,8)</f>
        <v>4845.2</v>
      </c>
      <c r="C77" s="50">
        <f>VLOOKUP($A77,'Data Vlaue (Cr)'!$C:$FB,11)*100</f>
        <v>-0.52</v>
      </c>
      <c r="D77" s="50">
        <f>VLOOKUP($A77,'Data Vlaue (Cr)'!$C:$FB,143)</f>
        <v>3835.95</v>
      </c>
      <c r="E77" s="50">
        <f>VLOOKUP($A77,'Data Vlaue (Cr)'!$C:$FB,144)</f>
        <v>5178.8900000000003</v>
      </c>
      <c r="F77" s="50">
        <f>VLOOKUP($A77,'Data Vlaue (Cr)'!$C:$FB,146)*100</f>
        <v>-25.929999999999996</v>
      </c>
      <c r="G77" s="49">
        <f>VLOOKUP($A77,'Data Vlaue (Cr)'!$C:$FB,43)</f>
        <v>543</v>
      </c>
      <c r="H77" s="49">
        <f>VLOOKUP($A77,'Data Vlaue (Cr)'!$C:$FB,44)</f>
        <v>633</v>
      </c>
      <c r="I77" s="49">
        <f>VLOOKUP($A77,'Data Vlaue (Cr)'!$C:$FB,46)*100</f>
        <v>-14.21</v>
      </c>
      <c r="J77" s="51">
        <f>VLOOKUP($A77,'Data Vlaue (Cr)'!$C:$FB,59)</f>
        <v>2482</v>
      </c>
      <c r="K77" s="51">
        <f>VLOOKUP($A77,'Data Vlaue (Cr)'!$C:$FB,60)</f>
        <v>3616</v>
      </c>
      <c r="L77" s="51">
        <f>VLOOKUP($A77,'Data Vlaue (Cr)'!$C:$FB,62)*100</f>
        <v>-31.36</v>
      </c>
      <c r="M77" s="51">
        <f>VLOOKUP($A77,'Data Vlaue (Cr)'!$C:$FB,63)</f>
        <v>706</v>
      </c>
      <c r="N77" s="51">
        <f>VLOOKUP($A77,'Data Vlaue (Cr)'!$C:$FB,64)</f>
        <v>789</v>
      </c>
      <c r="O77" s="51">
        <f>VLOOKUP($A77,'Data Vlaue (Cr)'!$C:$FB,66)*100</f>
        <v>-10.58</v>
      </c>
    </row>
    <row r="78" spans="1:15" x14ac:dyDescent="0.25">
      <c r="A78" s="101" t="str">
        <f>'Data Vlaue (Cr)'!C73</f>
        <v>HAVELLS</v>
      </c>
      <c r="B78" s="50">
        <f>VLOOKUP($A78,'Data Vlaue (Cr)'!$C:$FB,8)</f>
        <v>1497.7</v>
      </c>
      <c r="C78" s="50">
        <f>VLOOKUP($A78,'Data Vlaue (Cr)'!$C:$FB,11)*100</f>
        <v>0.65</v>
      </c>
      <c r="D78" s="50">
        <f>VLOOKUP($A78,'Data Vlaue (Cr)'!$C:$FB,143)</f>
        <v>569.03</v>
      </c>
      <c r="E78" s="50">
        <f>VLOOKUP($A78,'Data Vlaue (Cr)'!$C:$FB,144)</f>
        <v>874.18</v>
      </c>
      <c r="F78" s="50">
        <f>VLOOKUP($A78,'Data Vlaue (Cr)'!$C:$FB,146)*100</f>
        <v>-34.910000000000004</v>
      </c>
      <c r="G78" s="49">
        <f>VLOOKUP($A78,'Data Vlaue (Cr)'!$C:$FB,43)</f>
        <v>168</v>
      </c>
      <c r="H78" s="49">
        <f>VLOOKUP($A78,'Data Vlaue (Cr)'!$C:$FB,44)</f>
        <v>206</v>
      </c>
      <c r="I78" s="49">
        <f>VLOOKUP($A78,'Data Vlaue (Cr)'!$C:$FB,46)*100</f>
        <v>-18.600000000000001</v>
      </c>
      <c r="J78" s="51">
        <f>VLOOKUP($A78,'Data Vlaue (Cr)'!$C:$FB,59)</f>
        <v>277</v>
      </c>
      <c r="K78" s="51">
        <f>VLOOKUP($A78,'Data Vlaue (Cr)'!$C:$FB,60)</f>
        <v>473</v>
      </c>
      <c r="L78" s="51">
        <f>VLOOKUP($A78,'Data Vlaue (Cr)'!$C:$FB,62)*100</f>
        <v>-41.47</v>
      </c>
      <c r="M78" s="51">
        <f>VLOOKUP($A78,'Data Vlaue (Cr)'!$C:$FB,63)</f>
        <v>114</v>
      </c>
      <c r="N78" s="51">
        <f>VLOOKUP($A78,'Data Vlaue (Cr)'!$C:$FB,64)</f>
        <v>180</v>
      </c>
      <c r="O78" s="51">
        <f>VLOOKUP($A78,'Data Vlaue (Cr)'!$C:$FB,66)*100</f>
        <v>-36.809999999999995</v>
      </c>
    </row>
    <row r="79" spans="1:15" x14ac:dyDescent="0.25">
      <c r="A79" s="101" t="str">
        <f>'Data Vlaue (Cr)'!C74</f>
        <v>HCLTECH</v>
      </c>
      <c r="B79" s="50">
        <f>VLOOKUP($A79,'Data Vlaue (Cr)'!$C:$FB,8)</f>
        <v>1417.7</v>
      </c>
      <c r="C79" s="50">
        <f>VLOOKUP($A79,'Data Vlaue (Cr)'!$C:$FB,11)*100</f>
        <v>1.7399999999999998</v>
      </c>
      <c r="D79" s="50">
        <f>VLOOKUP($A79,'Data Vlaue (Cr)'!$C:$FB,143)</f>
        <v>2094.88</v>
      </c>
      <c r="E79" s="50">
        <f>VLOOKUP($A79,'Data Vlaue (Cr)'!$C:$FB,144)</f>
        <v>1169.54</v>
      </c>
      <c r="F79" s="50">
        <f>VLOOKUP($A79,'Data Vlaue (Cr)'!$C:$FB,146)*100</f>
        <v>79.12</v>
      </c>
      <c r="G79" s="49">
        <f>VLOOKUP($A79,'Data Vlaue (Cr)'!$C:$FB,43)</f>
        <v>422</v>
      </c>
      <c r="H79" s="49">
        <f>VLOOKUP($A79,'Data Vlaue (Cr)'!$C:$FB,44)</f>
        <v>330</v>
      </c>
      <c r="I79" s="49">
        <f>VLOOKUP($A79,'Data Vlaue (Cr)'!$C:$FB,46)*100</f>
        <v>27.96</v>
      </c>
      <c r="J79" s="51">
        <f>VLOOKUP($A79,'Data Vlaue (Cr)'!$C:$FB,59)</f>
        <v>1182</v>
      </c>
      <c r="K79" s="51">
        <f>VLOOKUP($A79,'Data Vlaue (Cr)'!$C:$FB,60)</f>
        <v>494</v>
      </c>
      <c r="L79" s="51">
        <f>VLOOKUP($A79,'Data Vlaue (Cr)'!$C:$FB,62)*100</f>
        <v>139.30000000000001</v>
      </c>
      <c r="M79" s="51">
        <f>VLOOKUP($A79,'Data Vlaue (Cr)'!$C:$FB,63)</f>
        <v>447</v>
      </c>
      <c r="N79" s="51">
        <f>VLOOKUP($A79,'Data Vlaue (Cr)'!$C:$FB,64)</f>
        <v>353</v>
      </c>
      <c r="O79" s="51">
        <f>VLOOKUP($A79,'Data Vlaue (Cr)'!$C:$FB,66)*100</f>
        <v>26.700000000000003</v>
      </c>
    </row>
    <row r="80" spans="1:15" x14ac:dyDescent="0.25">
      <c r="A80" s="101" t="str">
        <f>'Data Vlaue (Cr)'!C75</f>
        <v>HDFCAMC</v>
      </c>
      <c r="B80" s="50">
        <f>VLOOKUP($A80,'Data Vlaue (Cr)'!$C:$FB,8)</f>
        <v>5661</v>
      </c>
      <c r="C80" s="50">
        <f>VLOOKUP($A80,'Data Vlaue (Cr)'!$C:$FB,11)*100</f>
        <v>1.25</v>
      </c>
      <c r="D80" s="50">
        <f>VLOOKUP($A80,'Data Vlaue (Cr)'!$C:$FB,143)</f>
        <v>840.39</v>
      </c>
      <c r="E80" s="50">
        <f>VLOOKUP($A80,'Data Vlaue (Cr)'!$C:$FB,144)</f>
        <v>672.23</v>
      </c>
      <c r="F80" s="50">
        <f>VLOOKUP($A80,'Data Vlaue (Cr)'!$C:$FB,146)*100</f>
        <v>25.009999999999998</v>
      </c>
      <c r="G80" s="49">
        <f>VLOOKUP($A80,'Data Vlaue (Cr)'!$C:$FB,43)</f>
        <v>202</v>
      </c>
      <c r="H80" s="49">
        <f>VLOOKUP($A80,'Data Vlaue (Cr)'!$C:$FB,44)</f>
        <v>166</v>
      </c>
      <c r="I80" s="49">
        <f>VLOOKUP($A80,'Data Vlaue (Cr)'!$C:$FB,46)*100</f>
        <v>22.05</v>
      </c>
      <c r="J80" s="51">
        <f>VLOOKUP($A80,'Data Vlaue (Cr)'!$C:$FB,59)</f>
        <v>457</v>
      </c>
      <c r="K80" s="51">
        <f>VLOOKUP($A80,'Data Vlaue (Cr)'!$C:$FB,60)</f>
        <v>365</v>
      </c>
      <c r="L80" s="51">
        <f>VLOOKUP($A80,'Data Vlaue (Cr)'!$C:$FB,62)*100</f>
        <v>25.180000000000003</v>
      </c>
      <c r="M80" s="51">
        <f>VLOOKUP($A80,'Data Vlaue (Cr)'!$C:$FB,63)</f>
        <v>169</v>
      </c>
      <c r="N80" s="51">
        <f>VLOOKUP($A80,'Data Vlaue (Cr)'!$C:$FB,64)</f>
        <v>137</v>
      </c>
      <c r="O80" s="51">
        <f>VLOOKUP($A80,'Data Vlaue (Cr)'!$C:$FB,66)*100</f>
        <v>23.27</v>
      </c>
    </row>
    <row r="81" spans="1:15" x14ac:dyDescent="0.25">
      <c r="A81" s="101" t="str">
        <f>'Data Vlaue (Cr)'!C76</f>
        <v>HDFCBANK</v>
      </c>
      <c r="B81" s="50">
        <f>VLOOKUP($A81,'Data Vlaue (Cr)'!$C:$FB,8)</f>
        <v>973.45</v>
      </c>
      <c r="C81" s="50">
        <f>VLOOKUP($A81,'Data Vlaue (Cr)'!$C:$FB,11)*100</f>
        <v>0.86</v>
      </c>
      <c r="D81" s="50">
        <f>VLOOKUP($A81,'Data Vlaue (Cr)'!$C:$FB,143)</f>
        <v>13245.63</v>
      </c>
      <c r="E81" s="50">
        <f>VLOOKUP($A81,'Data Vlaue (Cr)'!$C:$FB,144)</f>
        <v>11612.23</v>
      </c>
      <c r="F81" s="50">
        <f>VLOOKUP($A81,'Data Vlaue (Cr)'!$C:$FB,146)*100</f>
        <v>14.069999999999999</v>
      </c>
      <c r="G81" s="49">
        <f>VLOOKUP($A81,'Data Vlaue (Cr)'!$C:$FB,43)</f>
        <v>2901</v>
      </c>
      <c r="H81" s="49">
        <f>VLOOKUP($A81,'Data Vlaue (Cr)'!$C:$FB,44)</f>
        <v>3221</v>
      </c>
      <c r="I81" s="49">
        <f>VLOOKUP($A81,'Data Vlaue (Cr)'!$C:$FB,46)*100</f>
        <v>-9.93</v>
      </c>
      <c r="J81" s="51">
        <f>VLOOKUP($A81,'Data Vlaue (Cr)'!$C:$FB,59)</f>
        <v>6479</v>
      </c>
      <c r="K81" s="51">
        <f>VLOOKUP($A81,'Data Vlaue (Cr)'!$C:$FB,60)</f>
        <v>5285</v>
      </c>
      <c r="L81" s="51">
        <f>VLOOKUP($A81,'Data Vlaue (Cr)'!$C:$FB,62)*100</f>
        <v>22.6</v>
      </c>
      <c r="M81" s="51">
        <f>VLOOKUP($A81,'Data Vlaue (Cr)'!$C:$FB,63)</f>
        <v>3734</v>
      </c>
      <c r="N81" s="51">
        <f>VLOOKUP($A81,'Data Vlaue (Cr)'!$C:$FB,64)</f>
        <v>3098</v>
      </c>
      <c r="O81" s="51">
        <f>VLOOKUP($A81,'Data Vlaue (Cr)'!$C:$FB,66)*100</f>
        <v>20.5</v>
      </c>
    </row>
    <row r="82" spans="1:15" x14ac:dyDescent="0.25">
      <c r="A82" s="101" t="str">
        <f>'Data Vlaue (Cr)'!C77</f>
        <v>HDFCLIFE</v>
      </c>
      <c r="B82" s="50">
        <f>VLOOKUP($A82,'Data Vlaue (Cr)'!$C:$FB,8)</f>
        <v>763.05</v>
      </c>
      <c r="C82" s="50">
        <f>VLOOKUP($A82,'Data Vlaue (Cr)'!$C:$FB,11)*100</f>
        <v>0.51</v>
      </c>
      <c r="D82" s="50">
        <f>VLOOKUP($A82,'Data Vlaue (Cr)'!$C:$FB,143)</f>
        <v>799.73</v>
      </c>
      <c r="E82" s="50">
        <f>VLOOKUP($A82,'Data Vlaue (Cr)'!$C:$FB,144)</f>
        <v>863.74</v>
      </c>
      <c r="F82" s="50">
        <f>VLOOKUP($A82,'Data Vlaue (Cr)'!$C:$FB,146)*100</f>
        <v>-7.41</v>
      </c>
      <c r="G82" s="49">
        <f>VLOOKUP($A82,'Data Vlaue (Cr)'!$C:$FB,43)</f>
        <v>191</v>
      </c>
      <c r="H82" s="49">
        <f>VLOOKUP($A82,'Data Vlaue (Cr)'!$C:$FB,44)</f>
        <v>235</v>
      </c>
      <c r="I82" s="49">
        <f>VLOOKUP($A82,'Data Vlaue (Cr)'!$C:$FB,46)*100</f>
        <v>-18.59</v>
      </c>
      <c r="J82" s="51">
        <f>VLOOKUP($A82,'Data Vlaue (Cr)'!$C:$FB,59)</f>
        <v>405</v>
      </c>
      <c r="K82" s="51">
        <f>VLOOKUP($A82,'Data Vlaue (Cr)'!$C:$FB,60)</f>
        <v>417</v>
      </c>
      <c r="L82" s="51">
        <f>VLOOKUP($A82,'Data Vlaue (Cr)'!$C:$FB,62)*100</f>
        <v>-2.75</v>
      </c>
      <c r="M82" s="51">
        <f>VLOOKUP($A82,'Data Vlaue (Cr)'!$C:$FB,63)</f>
        <v>187</v>
      </c>
      <c r="N82" s="51">
        <f>VLOOKUP($A82,'Data Vlaue (Cr)'!$C:$FB,64)</f>
        <v>197</v>
      </c>
      <c r="O82" s="51">
        <f>VLOOKUP($A82,'Data Vlaue (Cr)'!$C:$FB,66)*100</f>
        <v>-4.7</v>
      </c>
    </row>
    <row r="83" spans="1:15" x14ac:dyDescent="0.25">
      <c r="A83" s="101" t="str">
        <f>'Data Vlaue (Cr)'!C78</f>
        <v>HEROMOTOCO</v>
      </c>
      <c r="B83" s="50">
        <f>VLOOKUP($A83,'Data Vlaue (Cr)'!$C:$FB,8)</f>
        <v>5581.5</v>
      </c>
      <c r="C83" s="50">
        <f>VLOOKUP($A83,'Data Vlaue (Cr)'!$C:$FB,11)*100</f>
        <v>0.55999999999999994</v>
      </c>
      <c r="D83" s="50">
        <f>VLOOKUP($A83,'Data Vlaue (Cr)'!$C:$FB,143)</f>
        <v>4141.32</v>
      </c>
      <c r="E83" s="50">
        <f>VLOOKUP($A83,'Data Vlaue (Cr)'!$C:$FB,144)</f>
        <v>12973.32</v>
      </c>
      <c r="F83" s="50">
        <f>VLOOKUP($A83,'Data Vlaue (Cr)'!$C:$FB,146)*100</f>
        <v>-68.08</v>
      </c>
      <c r="G83" s="49">
        <f>VLOOKUP($A83,'Data Vlaue (Cr)'!$C:$FB,43)</f>
        <v>593</v>
      </c>
      <c r="H83" s="49">
        <f>VLOOKUP($A83,'Data Vlaue (Cr)'!$C:$FB,44)</f>
        <v>1283</v>
      </c>
      <c r="I83" s="49">
        <f>VLOOKUP($A83,'Data Vlaue (Cr)'!$C:$FB,46)*100</f>
        <v>-53.81</v>
      </c>
      <c r="J83" s="51">
        <f>VLOOKUP($A83,'Data Vlaue (Cr)'!$C:$FB,59)</f>
        <v>2313</v>
      </c>
      <c r="K83" s="51">
        <f>VLOOKUP($A83,'Data Vlaue (Cr)'!$C:$FB,60)</f>
        <v>7952</v>
      </c>
      <c r="L83" s="51">
        <f>VLOOKUP($A83,'Data Vlaue (Cr)'!$C:$FB,62)*100</f>
        <v>-70.91</v>
      </c>
      <c r="M83" s="51">
        <f>VLOOKUP($A83,'Data Vlaue (Cr)'!$C:$FB,63)</f>
        <v>1176</v>
      </c>
      <c r="N83" s="51">
        <f>VLOOKUP($A83,'Data Vlaue (Cr)'!$C:$FB,64)</f>
        <v>3662</v>
      </c>
      <c r="O83" s="51">
        <f>VLOOKUP($A83,'Data Vlaue (Cr)'!$C:$FB,66)*100</f>
        <v>-67.89</v>
      </c>
    </row>
    <row r="84" spans="1:15" x14ac:dyDescent="0.25">
      <c r="A84" s="101" t="str">
        <f>'Data Vlaue (Cr)'!C79</f>
        <v>HFCL</v>
      </c>
      <c r="B84" s="50">
        <f>VLOOKUP($A84,'Data Vlaue (Cr)'!$C:$FB,8)</f>
        <v>74.44</v>
      </c>
      <c r="C84" s="50">
        <f>VLOOKUP($A84,'Data Vlaue (Cr)'!$C:$FB,11)*100</f>
        <v>-1.8800000000000001</v>
      </c>
      <c r="D84" s="50">
        <f>VLOOKUP($A84,'Data Vlaue (Cr)'!$C:$FB,143)</f>
        <v>485.46</v>
      </c>
      <c r="E84" s="50">
        <f>VLOOKUP($A84,'Data Vlaue (Cr)'!$C:$FB,144)</f>
        <v>1039.71</v>
      </c>
      <c r="F84" s="50">
        <f>VLOOKUP($A84,'Data Vlaue (Cr)'!$C:$FB,146)*100</f>
        <v>-53.31</v>
      </c>
      <c r="G84" s="49">
        <f>VLOOKUP($A84,'Data Vlaue (Cr)'!$C:$FB,43)</f>
        <v>141</v>
      </c>
      <c r="H84" s="49">
        <f>VLOOKUP($A84,'Data Vlaue (Cr)'!$C:$FB,44)</f>
        <v>284</v>
      </c>
      <c r="I84" s="49">
        <f>VLOOKUP($A84,'Data Vlaue (Cr)'!$C:$FB,46)*100</f>
        <v>-50.23</v>
      </c>
      <c r="J84" s="51">
        <f>VLOOKUP($A84,'Data Vlaue (Cr)'!$C:$FB,59)</f>
        <v>257</v>
      </c>
      <c r="K84" s="51">
        <f>VLOOKUP($A84,'Data Vlaue (Cr)'!$C:$FB,60)</f>
        <v>483</v>
      </c>
      <c r="L84" s="51">
        <f>VLOOKUP($A84,'Data Vlaue (Cr)'!$C:$FB,62)*100</f>
        <v>-46.660000000000004</v>
      </c>
      <c r="M84" s="51">
        <f>VLOOKUP($A84,'Data Vlaue (Cr)'!$C:$FB,63)</f>
        <v>68</v>
      </c>
      <c r="N84" s="51">
        <f>VLOOKUP($A84,'Data Vlaue (Cr)'!$C:$FB,64)</f>
        <v>233</v>
      </c>
      <c r="O84" s="51">
        <f>VLOOKUP($A84,'Data Vlaue (Cr)'!$C:$FB,66)*100</f>
        <v>-70.64</v>
      </c>
    </row>
    <row r="85" spans="1:15" x14ac:dyDescent="0.25">
      <c r="A85" s="101" t="str">
        <f>'Data Vlaue (Cr)'!C80</f>
        <v>HINDALCO</v>
      </c>
      <c r="B85" s="50">
        <f>VLOOKUP($A85,'Data Vlaue (Cr)'!$C:$FB,8)</f>
        <v>776.7</v>
      </c>
      <c r="C85" s="50">
        <f>VLOOKUP($A85,'Data Vlaue (Cr)'!$C:$FB,11)*100</f>
        <v>-0.47000000000000003</v>
      </c>
      <c r="D85" s="50">
        <f>VLOOKUP($A85,'Data Vlaue (Cr)'!$C:$FB,143)</f>
        <v>2812.85</v>
      </c>
      <c r="E85" s="50">
        <f>VLOOKUP($A85,'Data Vlaue (Cr)'!$C:$FB,144)</f>
        <v>8540.32</v>
      </c>
      <c r="F85" s="50">
        <f>VLOOKUP($A85,'Data Vlaue (Cr)'!$C:$FB,146)*100</f>
        <v>-67.06</v>
      </c>
      <c r="G85" s="49">
        <f>VLOOKUP($A85,'Data Vlaue (Cr)'!$C:$FB,43)</f>
        <v>508</v>
      </c>
      <c r="H85" s="49">
        <f>VLOOKUP($A85,'Data Vlaue (Cr)'!$C:$FB,44)</f>
        <v>952</v>
      </c>
      <c r="I85" s="49">
        <f>VLOOKUP($A85,'Data Vlaue (Cr)'!$C:$FB,46)*100</f>
        <v>-46.63</v>
      </c>
      <c r="J85" s="51">
        <f>VLOOKUP($A85,'Data Vlaue (Cr)'!$C:$FB,59)</f>
        <v>1475</v>
      </c>
      <c r="K85" s="51">
        <f>VLOOKUP($A85,'Data Vlaue (Cr)'!$C:$FB,60)</f>
        <v>5210</v>
      </c>
      <c r="L85" s="51">
        <f>VLOOKUP($A85,'Data Vlaue (Cr)'!$C:$FB,62)*100</f>
        <v>-71.679999999999993</v>
      </c>
      <c r="M85" s="51">
        <f>VLOOKUP($A85,'Data Vlaue (Cr)'!$C:$FB,63)</f>
        <v>774</v>
      </c>
      <c r="N85" s="51">
        <f>VLOOKUP($A85,'Data Vlaue (Cr)'!$C:$FB,64)</f>
        <v>2167</v>
      </c>
      <c r="O85" s="51">
        <f>VLOOKUP($A85,'Data Vlaue (Cr)'!$C:$FB,66)*100</f>
        <v>-64.31</v>
      </c>
    </row>
    <row r="86" spans="1:15" x14ac:dyDescent="0.25">
      <c r="A86" s="101" t="str">
        <f>'Data Vlaue (Cr)'!C81</f>
        <v>HINDPETRO</v>
      </c>
      <c r="B86" s="50">
        <f>VLOOKUP($A86,'Data Vlaue (Cr)'!$C:$FB,8)</f>
        <v>456.3</v>
      </c>
      <c r="C86" s="50">
        <f>VLOOKUP($A86,'Data Vlaue (Cr)'!$C:$FB,11)*100</f>
        <v>2.2399999999999998</v>
      </c>
      <c r="D86" s="50">
        <f>VLOOKUP($A86,'Data Vlaue (Cr)'!$C:$FB,143)</f>
        <v>3564.44</v>
      </c>
      <c r="E86" s="50">
        <f>VLOOKUP($A86,'Data Vlaue (Cr)'!$C:$FB,144)</f>
        <v>2454.92</v>
      </c>
      <c r="F86" s="50">
        <f>VLOOKUP($A86,'Data Vlaue (Cr)'!$C:$FB,146)*100</f>
        <v>45.2</v>
      </c>
      <c r="G86" s="49">
        <f>VLOOKUP($A86,'Data Vlaue (Cr)'!$C:$FB,43)</f>
        <v>663</v>
      </c>
      <c r="H86" s="49">
        <f>VLOOKUP($A86,'Data Vlaue (Cr)'!$C:$FB,44)</f>
        <v>549</v>
      </c>
      <c r="I86" s="49">
        <f>VLOOKUP($A86,'Data Vlaue (Cr)'!$C:$FB,46)*100</f>
        <v>20.75</v>
      </c>
      <c r="J86" s="51">
        <f>VLOOKUP($A86,'Data Vlaue (Cr)'!$C:$FB,59)</f>
        <v>1932</v>
      </c>
      <c r="K86" s="51">
        <f>VLOOKUP($A86,'Data Vlaue (Cr)'!$C:$FB,60)</f>
        <v>1343</v>
      </c>
      <c r="L86" s="51">
        <f>VLOOKUP($A86,'Data Vlaue (Cr)'!$C:$FB,62)*100</f>
        <v>43.87</v>
      </c>
      <c r="M86" s="51">
        <f>VLOOKUP($A86,'Data Vlaue (Cr)'!$C:$FB,63)</f>
        <v>937</v>
      </c>
      <c r="N86" s="51">
        <f>VLOOKUP($A86,'Data Vlaue (Cr)'!$C:$FB,64)</f>
        <v>587</v>
      </c>
      <c r="O86" s="51">
        <f>VLOOKUP($A86,'Data Vlaue (Cr)'!$C:$FB,66)*100</f>
        <v>59.550000000000004</v>
      </c>
    </row>
    <row r="87" spans="1:15" x14ac:dyDescent="0.25">
      <c r="A87" s="101" t="str">
        <f>'Data Vlaue (Cr)'!C82</f>
        <v>HINDUNILVR</v>
      </c>
      <c r="B87" s="50">
        <f>VLOOKUP($A87,'Data Vlaue (Cr)'!$C:$FB,8)</f>
        <v>2541.8000000000002</v>
      </c>
      <c r="C87" s="50">
        <f>VLOOKUP($A87,'Data Vlaue (Cr)'!$C:$FB,11)*100</f>
        <v>-0.12</v>
      </c>
      <c r="D87" s="50">
        <f>VLOOKUP($A87,'Data Vlaue (Cr)'!$C:$FB,143)</f>
        <v>1769.92</v>
      </c>
      <c r="E87" s="50">
        <f>VLOOKUP($A87,'Data Vlaue (Cr)'!$C:$FB,144)</f>
        <v>2245.6799999999998</v>
      </c>
      <c r="F87" s="50">
        <f>VLOOKUP($A87,'Data Vlaue (Cr)'!$C:$FB,146)*100</f>
        <v>-21.19</v>
      </c>
      <c r="G87" s="49">
        <f>VLOOKUP($A87,'Data Vlaue (Cr)'!$C:$FB,43)</f>
        <v>350</v>
      </c>
      <c r="H87" s="49">
        <f>VLOOKUP($A87,'Data Vlaue (Cr)'!$C:$FB,44)</f>
        <v>443</v>
      </c>
      <c r="I87" s="49">
        <f>VLOOKUP($A87,'Data Vlaue (Cr)'!$C:$FB,46)*100</f>
        <v>-20.86</v>
      </c>
      <c r="J87" s="51">
        <f>VLOOKUP($A87,'Data Vlaue (Cr)'!$C:$FB,59)</f>
        <v>847</v>
      </c>
      <c r="K87" s="51">
        <f>VLOOKUP($A87,'Data Vlaue (Cr)'!$C:$FB,60)</f>
        <v>1018</v>
      </c>
      <c r="L87" s="51">
        <f>VLOOKUP($A87,'Data Vlaue (Cr)'!$C:$FB,62)*100</f>
        <v>-16.809999999999999</v>
      </c>
      <c r="M87" s="51">
        <f>VLOOKUP($A87,'Data Vlaue (Cr)'!$C:$FB,63)</f>
        <v>556</v>
      </c>
      <c r="N87" s="51">
        <f>VLOOKUP($A87,'Data Vlaue (Cr)'!$C:$FB,64)</f>
        <v>768</v>
      </c>
      <c r="O87" s="51">
        <f>VLOOKUP($A87,'Data Vlaue (Cr)'!$C:$FB,66)*100</f>
        <v>-27.57</v>
      </c>
    </row>
    <row r="88" spans="1:15" x14ac:dyDescent="0.25">
      <c r="A88" s="101" t="str">
        <f>'Data Vlaue (Cr)'!C83</f>
        <v>HINDZINC</v>
      </c>
      <c r="B88" s="50">
        <f>VLOOKUP($A88,'Data Vlaue (Cr)'!$C:$FB,8)</f>
        <v>491.5</v>
      </c>
      <c r="C88" s="50">
        <f>VLOOKUP($A88,'Data Vlaue (Cr)'!$C:$FB,11)*100</f>
        <v>0</v>
      </c>
      <c r="D88" s="50">
        <f>VLOOKUP($A88,'Data Vlaue (Cr)'!$C:$FB,143)</f>
        <v>1575.56</v>
      </c>
      <c r="E88" s="50">
        <f>VLOOKUP($A88,'Data Vlaue (Cr)'!$C:$FB,144)</f>
        <v>3730.97</v>
      </c>
      <c r="F88" s="50">
        <f>VLOOKUP($A88,'Data Vlaue (Cr)'!$C:$FB,146)*100</f>
        <v>-57.769999999999996</v>
      </c>
      <c r="G88" s="49">
        <f>VLOOKUP($A88,'Data Vlaue (Cr)'!$C:$FB,43)</f>
        <v>311</v>
      </c>
      <c r="H88" s="49">
        <f>VLOOKUP($A88,'Data Vlaue (Cr)'!$C:$FB,44)</f>
        <v>610</v>
      </c>
      <c r="I88" s="49">
        <f>VLOOKUP($A88,'Data Vlaue (Cr)'!$C:$FB,46)*100</f>
        <v>-49.1</v>
      </c>
      <c r="J88" s="51">
        <f>VLOOKUP($A88,'Data Vlaue (Cr)'!$C:$FB,59)</f>
        <v>913</v>
      </c>
      <c r="K88" s="51">
        <f>VLOOKUP($A88,'Data Vlaue (Cr)'!$C:$FB,60)</f>
        <v>2329</v>
      </c>
      <c r="L88" s="51">
        <f>VLOOKUP($A88,'Data Vlaue (Cr)'!$C:$FB,62)*100</f>
        <v>-60.79</v>
      </c>
      <c r="M88" s="51">
        <f>VLOOKUP($A88,'Data Vlaue (Cr)'!$C:$FB,63)</f>
        <v>305</v>
      </c>
      <c r="N88" s="51">
        <f>VLOOKUP($A88,'Data Vlaue (Cr)'!$C:$FB,64)</f>
        <v>687</v>
      </c>
      <c r="O88" s="51">
        <f>VLOOKUP($A88,'Data Vlaue (Cr)'!$C:$FB,66)*100</f>
        <v>-55.620000000000005</v>
      </c>
    </row>
    <row r="89" spans="1:15" x14ac:dyDescent="0.25">
      <c r="A89" s="101" t="str">
        <f>'Data Vlaue (Cr)'!C84</f>
        <v>HUDCO</v>
      </c>
      <c r="B89" s="50">
        <f>VLOOKUP($A89,'Data Vlaue (Cr)'!$C:$FB,8)</f>
        <v>230.91</v>
      </c>
      <c r="C89" s="50">
        <f>VLOOKUP($A89,'Data Vlaue (Cr)'!$C:$FB,11)*100</f>
        <v>-1.23</v>
      </c>
      <c r="D89" s="50">
        <f>VLOOKUP($A89,'Data Vlaue (Cr)'!$C:$FB,143)</f>
        <v>522.62</v>
      </c>
      <c r="E89" s="50">
        <f>VLOOKUP($A89,'Data Vlaue (Cr)'!$C:$FB,144)</f>
        <v>859.5</v>
      </c>
      <c r="F89" s="50">
        <f>VLOOKUP($A89,'Data Vlaue (Cr)'!$C:$FB,146)*100</f>
        <v>-39.190000000000005</v>
      </c>
      <c r="G89" s="49">
        <f>VLOOKUP($A89,'Data Vlaue (Cr)'!$C:$FB,43)</f>
        <v>100</v>
      </c>
      <c r="H89" s="49">
        <f>VLOOKUP($A89,'Data Vlaue (Cr)'!$C:$FB,44)</f>
        <v>159</v>
      </c>
      <c r="I89" s="49">
        <f>VLOOKUP($A89,'Data Vlaue (Cr)'!$C:$FB,46)*100</f>
        <v>-36.71</v>
      </c>
      <c r="J89" s="51">
        <f>VLOOKUP($A89,'Data Vlaue (Cr)'!$C:$FB,59)</f>
        <v>285</v>
      </c>
      <c r="K89" s="51">
        <f>VLOOKUP($A89,'Data Vlaue (Cr)'!$C:$FB,60)</f>
        <v>459</v>
      </c>
      <c r="L89" s="51">
        <f>VLOOKUP($A89,'Data Vlaue (Cr)'!$C:$FB,62)*100</f>
        <v>-37.75</v>
      </c>
      <c r="M89" s="51">
        <f>VLOOKUP($A89,'Data Vlaue (Cr)'!$C:$FB,63)</f>
        <v>120</v>
      </c>
      <c r="N89" s="51">
        <f>VLOOKUP($A89,'Data Vlaue (Cr)'!$C:$FB,64)</f>
        <v>209</v>
      </c>
      <c r="O89" s="51">
        <f>VLOOKUP($A89,'Data Vlaue (Cr)'!$C:$FB,66)*100</f>
        <v>-42.26</v>
      </c>
    </row>
    <row r="90" spans="1:15" x14ac:dyDescent="0.25">
      <c r="A90" s="101" t="str">
        <f>'Data Vlaue (Cr)'!C85</f>
        <v>ICICIBANK</v>
      </c>
      <c r="B90" s="50">
        <f>VLOOKUP($A90,'Data Vlaue (Cr)'!$C:$FB,8)</f>
        <v>1363.4</v>
      </c>
      <c r="C90" s="50">
        <f>VLOOKUP($A90,'Data Vlaue (Cr)'!$C:$FB,11)*100</f>
        <v>-0.13</v>
      </c>
      <c r="D90" s="50">
        <f>VLOOKUP($A90,'Data Vlaue (Cr)'!$C:$FB,143)</f>
        <v>9338.14</v>
      </c>
      <c r="E90" s="50">
        <f>VLOOKUP($A90,'Data Vlaue (Cr)'!$C:$FB,144)</f>
        <v>7729.7</v>
      </c>
      <c r="F90" s="50">
        <f>VLOOKUP($A90,'Data Vlaue (Cr)'!$C:$FB,146)*100</f>
        <v>20.810000000000002</v>
      </c>
      <c r="G90" s="49">
        <f>VLOOKUP($A90,'Data Vlaue (Cr)'!$C:$FB,43)</f>
        <v>1986</v>
      </c>
      <c r="H90" s="49">
        <f>VLOOKUP($A90,'Data Vlaue (Cr)'!$C:$FB,44)</f>
        <v>1932</v>
      </c>
      <c r="I90" s="49">
        <f>VLOOKUP($A90,'Data Vlaue (Cr)'!$C:$FB,46)*100</f>
        <v>2.79</v>
      </c>
      <c r="J90" s="51">
        <f>VLOOKUP($A90,'Data Vlaue (Cr)'!$C:$FB,59)</f>
        <v>4635</v>
      </c>
      <c r="K90" s="51">
        <f>VLOOKUP($A90,'Data Vlaue (Cr)'!$C:$FB,60)</f>
        <v>3486</v>
      </c>
      <c r="L90" s="51">
        <f>VLOOKUP($A90,'Data Vlaue (Cr)'!$C:$FB,62)*100</f>
        <v>32.950000000000003</v>
      </c>
      <c r="M90" s="51">
        <f>VLOOKUP($A90,'Data Vlaue (Cr)'!$C:$FB,63)</f>
        <v>2576</v>
      </c>
      <c r="N90" s="51">
        <f>VLOOKUP($A90,'Data Vlaue (Cr)'!$C:$FB,64)</f>
        <v>2188</v>
      </c>
      <c r="O90" s="51">
        <f>VLOOKUP($A90,'Data Vlaue (Cr)'!$C:$FB,66)*100</f>
        <v>17.72</v>
      </c>
    </row>
    <row r="91" spans="1:15" x14ac:dyDescent="0.25">
      <c r="A91" s="101" t="str">
        <f>'Data Vlaue (Cr)'!C86</f>
        <v>ICICIGI</v>
      </c>
      <c r="B91" s="50">
        <f>VLOOKUP($A91,'Data Vlaue (Cr)'!$C:$FB,8)</f>
        <v>1925.8</v>
      </c>
      <c r="C91" s="50">
        <f>VLOOKUP($A91,'Data Vlaue (Cr)'!$C:$FB,11)*100</f>
        <v>0.74</v>
      </c>
      <c r="D91" s="50">
        <f>VLOOKUP($A91,'Data Vlaue (Cr)'!$C:$FB,143)</f>
        <v>287.64999999999998</v>
      </c>
      <c r="E91" s="50">
        <f>VLOOKUP($A91,'Data Vlaue (Cr)'!$C:$FB,144)</f>
        <v>278.85000000000002</v>
      </c>
      <c r="F91" s="50">
        <f>VLOOKUP($A91,'Data Vlaue (Cr)'!$C:$FB,146)*100</f>
        <v>3.15</v>
      </c>
      <c r="G91" s="49">
        <f>VLOOKUP($A91,'Data Vlaue (Cr)'!$C:$FB,43)</f>
        <v>89</v>
      </c>
      <c r="H91" s="49">
        <f>VLOOKUP($A91,'Data Vlaue (Cr)'!$C:$FB,44)</f>
        <v>86</v>
      </c>
      <c r="I91" s="49">
        <f>VLOOKUP($A91,'Data Vlaue (Cr)'!$C:$FB,46)*100</f>
        <v>3.51</v>
      </c>
      <c r="J91" s="51">
        <f>VLOOKUP($A91,'Data Vlaue (Cr)'!$C:$FB,59)</f>
        <v>153</v>
      </c>
      <c r="K91" s="51">
        <f>VLOOKUP($A91,'Data Vlaue (Cr)'!$C:$FB,60)</f>
        <v>138</v>
      </c>
      <c r="L91" s="51">
        <f>VLOOKUP($A91,'Data Vlaue (Cr)'!$C:$FB,62)*100</f>
        <v>11.03</v>
      </c>
      <c r="M91" s="51">
        <f>VLOOKUP($A91,'Data Vlaue (Cr)'!$C:$FB,63)</f>
        <v>42</v>
      </c>
      <c r="N91" s="51">
        <f>VLOOKUP($A91,'Data Vlaue (Cr)'!$C:$FB,64)</f>
        <v>54</v>
      </c>
      <c r="O91" s="51">
        <f>VLOOKUP($A91,'Data Vlaue (Cr)'!$C:$FB,66)*100</f>
        <v>-21.990000000000002</v>
      </c>
    </row>
    <row r="92" spans="1:15" x14ac:dyDescent="0.25">
      <c r="A92" s="101" t="str">
        <f>'Data Vlaue (Cr)'!C87</f>
        <v>ICICIPRULI</v>
      </c>
      <c r="B92" s="50">
        <f>VLOOKUP($A92,'Data Vlaue (Cr)'!$C:$FB,8)</f>
        <v>600.45000000000005</v>
      </c>
      <c r="C92" s="50">
        <f>VLOOKUP($A92,'Data Vlaue (Cr)'!$C:$FB,11)*100</f>
        <v>-0.11</v>
      </c>
      <c r="D92" s="50">
        <f>VLOOKUP($A92,'Data Vlaue (Cr)'!$C:$FB,143)</f>
        <v>176.44</v>
      </c>
      <c r="E92" s="50">
        <f>VLOOKUP($A92,'Data Vlaue (Cr)'!$C:$FB,144)</f>
        <v>229.16</v>
      </c>
      <c r="F92" s="50">
        <f>VLOOKUP($A92,'Data Vlaue (Cr)'!$C:$FB,146)*100</f>
        <v>-23.01</v>
      </c>
      <c r="G92" s="49">
        <f>VLOOKUP($A92,'Data Vlaue (Cr)'!$C:$FB,43)</f>
        <v>72</v>
      </c>
      <c r="H92" s="49">
        <f>VLOOKUP($A92,'Data Vlaue (Cr)'!$C:$FB,44)</f>
        <v>114</v>
      </c>
      <c r="I92" s="49">
        <f>VLOOKUP($A92,'Data Vlaue (Cr)'!$C:$FB,46)*100</f>
        <v>-36.43</v>
      </c>
      <c r="J92" s="51">
        <f>VLOOKUP($A92,'Data Vlaue (Cr)'!$C:$FB,59)</f>
        <v>69</v>
      </c>
      <c r="K92" s="51">
        <f>VLOOKUP($A92,'Data Vlaue (Cr)'!$C:$FB,60)</f>
        <v>71</v>
      </c>
      <c r="L92" s="51">
        <f>VLOOKUP($A92,'Data Vlaue (Cr)'!$C:$FB,62)*100</f>
        <v>-2.36</v>
      </c>
      <c r="M92" s="51">
        <f>VLOOKUP($A92,'Data Vlaue (Cr)'!$C:$FB,63)</f>
        <v>32</v>
      </c>
      <c r="N92" s="51">
        <f>VLOOKUP($A92,'Data Vlaue (Cr)'!$C:$FB,64)</f>
        <v>42</v>
      </c>
      <c r="O92" s="51">
        <f>VLOOKUP($A92,'Data Vlaue (Cr)'!$C:$FB,66)*100</f>
        <v>-23.669999999999998</v>
      </c>
    </row>
    <row r="93" spans="1:15" x14ac:dyDescent="0.25">
      <c r="A93" s="101" t="str">
        <f>'Data Vlaue (Cr)'!C88</f>
        <v>IDEA</v>
      </c>
      <c r="B93" s="50">
        <f>VLOOKUP($A93,'Data Vlaue (Cr)'!$C:$FB,8)</f>
        <v>8.4700000000000006</v>
      </c>
      <c r="C93" s="50">
        <f>VLOOKUP($A93,'Data Vlaue (Cr)'!$C:$FB,11)*100</f>
        <v>-3.9699999999999998</v>
      </c>
      <c r="D93" s="50">
        <f>VLOOKUP($A93,'Data Vlaue (Cr)'!$C:$FB,143)</f>
        <v>6192.18</v>
      </c>
      <c r="E93" s="50">
        <f>VLOOKUP($A93,'Data Vlaue (Cr)'!$C:$FB,144)</f>
        <v>2675.72</v>
      </c>
      <c r="F93" s="50">
        <f>VLOOKUP($A93,'Data Vlaue (Cr)'!$C:$FB,146)*100</f>
        <v>131.42000000000002</v>
      </c>
      <c r="G93" s="49">
        <f>VLOOKUP($A93,'Data Vlaue (Cr)'!$C:$FB,43)</f>
        <v>1601</v>
      </c>
      <c r="H93" s="49">
        <f>VLOOKUP($A93,'Data Vlaue (Cr)'!$C:$FB,44)</f>
        <v>780</v>
      </c>
      <c r="I93" s="49">
        <f>VLOOKUP($A93,'Data Vlaue (Cr)'!$C:$FB,46)*100</f>
        <v>105.18</v>
      </c>
      <c r="J93" s="51">
        <f>VLOOKUP($A93,'Data Vlaue (Cr)'!$C:$FB,59)</f>
        <v>3024</v>
      </c>
      <c r="K93" s="51">
        <f>VLOOKUP($A93,'Data Vlaue (Cr)'!$C:$FB,60)</f>
        <v>1362</v>
      </c>
      <c r="L93" s="51">
        <f>VLOOKUP($A93,'Data Vlaue (Cr)'!$C:$FB,62)*100</f>
        <v>122.05</v>
      </c>
      <c r="M93" s="51">
        <f>VLOOKUP($A93,'Data Vlaue (Cr)'!$C:$FB,63)</f>
        <v>939</v>
      </c>
      <c r="N93" s="51">
        <f>VLOOKUP($A93,'Data Vlaue (Cr)'!$C:$FB,64)</f>
        <v>244</v>
      </c>
      <c r="O93" s="51">
        <f>VLOOKUP($A93,'Data Vlaue (Cr)'!$C:$FB,66)*100</f>
        <v>285.3</v>
      </c>
    </row>
    <row r="94" spans="1:15" x14ac:dyDescent="0.25">
      <c r="A94" s="101" t="str">
        <f>'Data Vlaue (Cr)'!C89</f>
        <v>IDFCFIRSTB</v>
      </c>
      <c r="B94" s="50">
        <f>VLOOKUP($A94,'Data Vlaue (Cr)'!$C:$FB,8)</f>
        <v>71.09</v>
      </c>
      <c r="C94" s="50">
        <f>VLOOKUP($A94,'Data Vlaue (Cr)'!$C:$FB,11)*100</f>
        <v>2.97</v>
      </c>
      <c r="D94" s="50">
        <f>VLOOKUP($A94,'Data Vlaue (Cr)'!$C:$FB,143)</f>
        <v>2449.84</v>
      </c>
      <c r="E94" s="50">
        <f>VLOOKUP($A94,'Data Vlaue (Cr)'!$C:$FB,144)</f>
        <v>977.65</v>
      </c>
      <c r="F94" s="50">
        <f>VLOOKUP($A94,'Data Vlaue (Cr)'!$C:$FB,146)*100</f>
        <v>150.58000000000001</v>
      </c>
      <c r="G94" s="49">
        <f>VLOOKUP($A94,'Data Vlaue (Cr)'!$C:$FB,43)</f>
        <v>619</v>
      </c>
      <c r="H94" s="49">
        <f>VLOOKUP($A94,'Data Vlaue (Cr)'!$C:$FB,44)</f>
        <v>212</v>
      </c>
      <c r="I94" s="49">
        <f>VLOOKUP($A94,'Data Vlaue (Cr)'!$C:$FB,46)*100</f>
        <v>192.42999999999998</v>
      </c>
      <c r="J94" s="51">
        <f>VLOOKUP($A94,'Data Vlaue (Cr)'!$C:$FB,59)</f>
        <v>1217</v>
      </c>
      <c r="K94" s="51">
        <f>VLOOKUP($A94,'Data Vlaue (Cr)'!$C:$FB,60)</f>
        <v>551</v>
      </c>
      <c r="L94" s="51">
        <f>VLOOKUP($A94,'Data Vlaue (Cr)'!$C:$FB,62)*100</f>
        <v>121.02999999999999</v>
      </c>
      <c r="M94" s="51">
        <f>VLOOKUP($A94,'Data Vlaue (Cr)'!$C:$FB,63)</f>
        <v>590</v>
      </c>
      <c r="N94" s="51">
        <f>VLOOKUP($A94,'Data Vlaue (Cr)'!$C:$FB,64)</f>
        <v>213</v>
      </c>
      <c r="O94" s="51">
        <f>VLOOKUP($A94,'Data Vlaue (Cr)'!$C:$FB,66)*100</f>
        <v>176.7</v>
      </c>
    </row>
    <row r="95" spans="1:15" x14ac:dyDescent="0.25">
      <c r="A95" s="101" t="str">
        <f>'Data Vlaue (Cr)'!C90</f>
        <v>IEX</v>
      </c>
      <c r="B95" s="50">
        <f>VLOOKUP($A95,'Data Vlaue (Cr)'!$C:$FB,8)</f>
        <v>142.55000000000001</v>
      </c>
      <c r="C95" s="50">
        <f>VLOOKUP($A95,'Data Vlaue (Cr)'!$C:$FB,11)*100</f>
        <v>-0.72</v>
      </c>
      <c r="D95" s="50">
        <f>VLOOKUP($A95,'Data Vlaue (Cr)'!$C:$FB,143)</f>
        <v>445.47</v>
      </c>
      <c r="E95" s="50">
        <f>VLOOKUP($A95,'Data Vlaue (Cr)'!$C:$FB,144)</f>
        <v>996.77</v>
      </c>
      <c r="F95" s="50">
        <f>VLOOKUP($A95,'Data Vlaue (Cr)'!$C:$FB,146)*100</f>
        <v>-55.31</v>
      </c>
      <c r="G95" s="49">
        <f>VLOOKUP($A95,'Data Vlaue (Cr)'!$C:$FB,43)</f>
        <v>72</v>
      </c>
      <c r="H95" s="49">
        <f>VLOOKUP($A95,'Data Vlaue (Cr)'!$C:$FB,44)</f>
        <v>149</v>
      </c>
      <c r="I95" s="49">
        <f>VLOOKUP($A95,'Data Vlaue (Cr)'!$C:$FB,46)*100</f>
        <v>-51.66</v>
      </c>
      <c r="J95" s="51">
        <f>VLOOKUP($A95,'Data Vlaue (Cr)'!$C:$FB,59)</f>
        <v>258</v>
      </c>
      <c r="K95" s="51">
        <f>VLOOKUP($A95,'Data Vlaue (Cr)'!$C:$FB,60)</f>
        <v>553</v>
      </c>
      <c r="L95" s="51">
        <f>VLOOKUP($A95,'Data Vlaue (Cr)'!$C:$FB,62)*100</f>
        <v>-53.33</v>
      </c>
      <c r="M95" s="51">
        <f>VLOOKUP($A95,'Data Vlaue (Cr)'!$C:$FB,63)</f>
        <v>100</v>
      </c>
      <c r="N95" s="51">
        <f>VLOOKUP($A95,'Data Vlaue (Cr)'!$C:$FB,64)</f>
        <v>262</v>
      </c>
      <c r="O95" s="51">
        <f>VLOOKUP($A95,'Data Vlaue (Cr)'!$C:$FB,66)*100</f>
        <v>-62.029999999999994</v>
      </c>
    </row>
    <row r="96" spans="1:15" x14ac:dyDescent="0.25">
      <c r="A96" s="101" t="str">
        <f>'Data Vlaue (Cr)'!C91</f>
        <v>IGL</v>
      </c>
      <c r="B96" s="50">
        <f>VLOOKUP($A96,'Data Vlaue (Cr)'!$C:$FB,8)</f>
        <v>208.06</v>
      </c>
      <c r="C96" s="50">
        <f>VLOOKUP($A96,'Data Vlaue (Cr)'!$C:$FB,11)*100</f>
        <v>-0.45999999999999996</v>
      </c>
      <c r="D96" s="50">
        <f>VLOOKUP($A96,'Data Vlaue (Cr)'!$C:$FB,143)</f>
        <v>201.5</v>
      </c>
      <c r="E96" s="50">
        <f>VLOOKUP($A96,'Data Vlaue (Cr)'!$C:$FB,144)</f>
        <v>299.25</v>
      </c>
      <c r="F96" s="50">
        <f>VLOOKUP($A96,'Data Vlaue (Cr)'!$C:$FB,146)*100</f>
        <v>-32.67</v>
      </c>
      <c r="G96" s="49">
        <f>VLOOKUP($A96,'Data Vlaue (Cr)'!$C:$FB,43)</f>
        <v>73</v>
      </c>
      <c r="H96" s="49">
        <f>VLOOKUP($A96,'Data Vlaue (Cr)'!$C:$FB,44)</f>
        <v>103</v>
      </c>
      <c r="I96" s="49">
        <f>VLOOKUP($A96,'Data Vlaue (Cr)'!$C:$FB,46)*100</f>
        <v>-28.83</v>
      </c>
      <c r="J96" s="51">
        <f>VLOOKUP($A96,'Data Vlaue (Cr)'!$C:$FB,59)</f>
        <v>84</v>
      </c>
      <c r="K96" s="51">
        <f>VLOOKUP($A96,'Data Vlaue (Cr)'!$C:$FB,60)</f>
        <v>123</v>
      </c>
      <c r="L96" s="51">
        <f>VLOOKUP($A96,'Data Vlaue (Cr)'!$C:$FB,62)*100</f>
        <v>-32.31</v>
      </c>
      <c r="M96" s="51">
        <f>VLOOKUP($A96,'Data Vlaue (Cr)'!$C:$FB,63)</f>
        <v>41</v>
      </c>
      <c r="N96" s="51">
        <f>VLOOKUP($A96,'Data Vlaue (Cr)'!$C:$FB,64)</f>
        <v>69</v>
      </c>
      <c r="O96" s="51">
        <f>VLOOKUP($A96,'Data Vlaue (Cr)'!$C:$FB,66)*100</f>
        <v>-40.619999999999997</v>
      </c>
    </row>
    <row r="97" spans="1:15" x14ac:dyDescent="0.25">
      <c r="A97" s="101" t="str">
        <f>'Data Vlaue (Cr)'!C92</f>
        <v>IIFL</v>
      </c>
      <c r="B97" s="50">
        <f>VLOOKUP($A97,'Data Vlaue (Cr)'!$C:$FB,8)</f>
        <v>469.5</v>
      </c>
      <c r="C97" s="50">
        <f>VLOOKUP($A97,'Data Vlaue (Cr)'!$C:$FB,11)*100</f>
        <v>2.69</v>
      </c>
      <c r="D97" s="50">
        <f>VLOOKUP($A97,'Data Vlaue (Cr)'!$C:$FB,143)</f>
        <v>766.15</v>
      </c>
      <c r="E97" s="50">
        <f>VLOOKUP($A97,'Data Vlaue (Cr)'!$C:$FB,144)</f>
        <v>1269.6300000000001</v>
      </c>
      <c r="F97" s="50">
        <f>VLOOKUP($A97,'Data Vlaue (Cr)'!$C:$FB,146)*100</f>
        <v>-39.660000000000004</v>
      </c>
      <c r="G97" s="49">
        <f>VLOOKUP($A97,'Data Vlaue (Cr)'!$C:$FB,43)</f>
        <v>201</v>
      </c>
      <c r="H97" s="49">
        <f>VLOOKUP($A97,'Data Vlaue (Cr)'!$C:$FB,44)</f>
        <v>223</v>
      </c>
      <c r="I97" s="49">
        <f>VLOOKUP($A97,'Data Vlaue (Cr)'!$C:$FB,46)*100</f>
        <v>-10.16</v>
      </c>
      <c r="J97" s="51">
        <f>VLOOKUP($A97,'Data Vlaue (Cr)'!$C:$FB,59)</f>
        <v>459</v>
      </c>
      <c r="K97" s="51">
        <f>VLOOKUP($A97,'Data Vlaue (Cr)'!$C:$FB,60)</f>
        <v>823</v>
      </c>
      <c r="L97" s="51">
        <f>VLOOKUP($A97,'Data Vlaue (Cr)'!$C:$FB,62)*100</f>
        <v>-44.21</v>
      </c>
      <c r="M97" s="51">
        <f>VLOOKUP($A97,'Data Vlaue (Cr)'!$C:$FB,63)</f>
        <v>90</v>
      </c>
      <c r="N97" s="51">
        <f>VLOOKUP($A97,'Data Vlaue (Cr)'!$C:$FB,64)</f>
        <v>206</v>
      </c>
      <c r="O97" s="51">
        <f>VLOOKUP($A97,'Data Vlaue (Cr)'!$C:$FB,66)*100</f>
        <v>-56.24</v>
      </c>
    </row>
    <row r="98" spans="1:15" x14ac:dyDescent="0.25">
      <c r="A98" s="101" t="str">
        <f>'Data Vlaue (Cr)'!C93</f>
        <v>INDHOTEL</v>
      </c>
      <c r="B98" s="50">
        <f>VLOOKUP($A98,'Data Vlaue (Cr)'!$C:$FB,8)</f>
        <v>723.55</v>
      </c>
      <c r="C98" s="50">
        <f>VLOOKUP($A98,'Data Vlaue (Cr)'!$C:$FB,11)*100</f>
        <v>-0.12</v>
      </c>
      <c r="D98" s="50">
        <f>VLOOKUP($A98,'Data Vlaue (Cr)'!$C:$FB,143)</f>
        <v>816.59</v>
      </c>
      <c r="E98" s="50">
        <f>VLOOKUP($A98,'Data Vlaue (Cr)'!$C:$FB,144)</f>
        <v>710.03</v>
      </c>
      <c r="F98" s="50">
        <f>VLOOKUP($A98,'Data Vlaue (Cr)'!$C:$FB,146)*100</f>
        <v>15.010000000000002</v>
      </c>
      <c r="G98" s="49">
        <f>VLOOKUP($A98,'Data Vlaue (Cr)'!$C:$FB,43)</f>
        <v>178</v>
      </c>
      <c r="H98" s="49">
        <f>VLOOKUP($A98,'Data Vlaue (Cr)'!$C:$FB,44)</f>
        <v>152</v>
      </c>
      <c r="I98" s="49">
        <f>VLOOKUP($A98,'Data Vlaue (Cr)'!$C:$FB,46)*100</f>
        <v>17.48</v>
      </c>
      <c r="J98" s="51">
        <f>VLOOKUP($A98,'Data Vlaue (Cr)'!$C:$FB,59)</f>
        <v>504</v>
      </c>
      <c r="K98" s="51">
        <f>VLOOKUP($A98,'Data Vlaue (Cr)'!$C:$FB,60)</f>
        <v>389</v>
      </c>
      <c r="L98" s="51">
        <f>VLOOKUP($A98,'Data Vlaue (Cr)'!$C:$FB,62)*100</f>
        <v>29.520000000000003</v>
      </c>
      <c r="M98" s="51">
        <f>VLOOKUP($A98,'Data Vlaue (Cr)'!$C:$FB,63)</f>
        <v>109</v>
      </c>
      <c r="N98" s="51">
        <f>VLOOKUP($A98,'Data Vlaue (Cr)'!$C:$FB,64)</f>
        <v>152</v>
      </c>
      <c r="O98" s="51">
        <f>VLOOKUP($A98,'Data Vlaue (Cr)'!$C:$FB,66)*100</f>
        <v>-28.18</v>
      </c>
    </row>
    <row r="99" spans="1:15" x14ac:dyDescent="0.25">
      <c r="A99" s="101" t="str">
        <f>'Data Vlaue (Cr)'!C94</f>
        <v>INDIANB</v>
      </c>
      <c r="B99" s="50">
        <f>VLOOKUP($A99,'Data Vlaue (Cr)'!$C:$FB,8)</f>
        <v>758.05</v>
      </c>
      <c r="C99" s="50">
        <f>VLOOKUP($A99,'Data Vlaue (Cr)'!$C:$FB,11)*100</f>
        <v>-1.03</v>
      </c>
      <c r="D99" s="50">
        <f>VLOOKUP($A99,'Data Vlaue (Cr)'!$C:$FB,143)</f>
        <v>828.98</v>
      </c>
      <c r="E99" s="50">
        <f>VLOOKUP($A99,'Data Vlaue (Cr)'!$C:$FB,144)</f>
        <v>1336.54</v>
      </c>
      <c r="F99" s="50">
        <f>VLOOKUP($A99,'Data Vlaue (Cr)'!$C:$FB,146)*100</f>
        <v>-37.980000000000004</v>
      </c>
      <c r="G99" s="49">
        <f>VLOOKUP($A99,'Data Vlaue (Cr)'!$C:$FB,43)</f>
        <v>190</v>
      </c>
      <c r="H99" s="49">
        <f>VLOOKUP($A99,'Data Vlaue (Cr)'!$C:$FB,44)</f>
        <v>303</v>
      </c>
      <c r="I99" s="49">
        <f>VLOOKUP($A99,'Data Vlaue (Cr)'!$C:$FB,46)*100</f>
        <v>-37.46</v>
      </c>
      <c r="J99" s="51">
        <f>VLOOKUP($A99,'Data Vlaue (Cr)'!$C:$FB,59)</f>
        <v>449</v>
      </c>
      <c r="K99" s="51">
        <f>VLOOKUP($A99,'Data Vlaue (Cr)'!$C:$FB,60)</f>
        <v>757</v>
      </c>
      <c r="L99" s="51">
        <f>VLOOKUP($A99,'Data Vlaue (Cr)'!$C:$FB,62)*100</f>
        <v>-40.71</v>
      </c>
      <c r="M99" s="51">
        <f>VLOOKUP($A99,'Data Vlaue (Cr)'!$C:$FB,63)</f>
        <v>171</v>
      </c>
      <c r="N99" s="51">
        <f>VLOOKUP($A99,'Data Vlaue (Cr)'!$C:$FB,64)</f>
        <v>261</v>
      </c>
      <c r="O99" s="51">
        <f>VLOOKUP($A99,'Data Vlaue (Cr)'!$C:$FB,66)*100</f>
        <v>-34.410000000000004</v>
      </c>
    </row>
    <row r="100" spans="1:15" x14ac:dyDescent="0.25">
      <c r="A100" s="101" t="str">
        <f>'Data Vlaue (Cr)'!C95</f>
        <v>INDIAVIX</v>
      </c>
      <c r="B100" s="50">
        <f>VLOOKUP($A100,'Data Vlaue (Cr)'!$C:$FB,8)</f>
        <v>10.19</v>
      </c>
      <c r="C100" s="50">
        <f>VLOOKUP($A100,'Data Vlaue (Cr)'!$C:$FB,11)*100</f>
        <v>1.32</v>
      </c>
      <c r="D100" s="50">
        <f>VLOOKUP($A100,'Data Vlaue (Cr)'!$C:$FB,143)</f>
        <v>0</v>
      </c>
      <c r="E100" s="50">
        <f>VLOOKUP($A100,'Data Vlaue (Cr)'!$C:$FB,144)</f>
        <v>0</v>
      </c>
      <c r="F100" s="50">
        <f>VLOOKUP($A100,'Data Vlaue (Cr)'!$C:$FB,146)*100</f>
        <v>0</v>
      </c>
      <c r="G100" s="49">
        <f>VLOOKUP($A100,'Data Vlaue (Cr)'!$C:$FB,43)</f>
        <v>0</v>
      </c>
      <c r="H100" s="49">
        <f>VLOOKUP($A100,'Data Vlaue (Cr)'!$C:$FB,44)</f>
        <v>0</v>
      </c>
      <c r="I100" s="49">
        <f>VLOOKUP($A100,'Data Vlaue (Cr)'!$C:$FB,46)*100</f>
        <v>0</v>
      </c>
      <c r="J100" s="51">
        <f>VLOOKUP($A100,'Data Vlaue (Cr)'!$C:$FB,59)</f>
        <v>0</v>
      </c>
      <c r="K100" s="51">
        <f>VLOOKUP($A100,'Data Vlaue (Cr)'!$C:$FB,60)</f>
        <v>0</v>
      </c>
      <c r="L100" s="51">
        <f>VLOOKUP($A100,'Data Vlaue (Cr)'!$C:$FB,62)*100</f>
        <v>0</v>
      </c>
      <c r="M100" s="51">
        <f>VLOOKUP($A100,'Data Vlaue (Cr)'!$C:$FB,63)</f>
        <v>0</v>
      </c>
      <c r="N100" s="51">
        <f>VLOOKUP($A100,'Data Vlaue (Cr)'!$C:$FB,64)</f>
        <v>0</v>
      </c>
      <c r="O100" s="51">
        <f>VLOOKUP($A100,'Data Vlaue (Cr)'!$C:$FB,66)*100</f>
        <v>0</v>
      </c>
    </row>
    <row r="101" spans="1:15" x14ac:dyDescent="0.25">
      <c r="A101" s="101" t="str">
        <f>'Data Vlaue (Cr)'!C96</f>
        <v>INDIGO</v>
      </c>
      <c r="B101" s="50">
        <f>VLOOKUP($A101,'Data Vlaue (Cr)'!$C:$FB,8)</f>
        <v>5694.5</v>
      </c>
      <c r="C101" s="50">
        <f>VLOOKUP($A101,'Data Vlaue (Cr)'!$C:$FB,11)*100</f>
        <v>0.66</v>
      </c>
      <c r="D101" s="50">
        <f>VLOOKUP($A101,'Data Vlaue (Cr)'!$C:$FB,143)</f>
        <v>2058.75</v>
      </c>
      <c r="E101" s="50">
        <f>VLOOKUP($A101,'Data Vlaue (Cr)'!$C:$FB,144)</f>
        <v>2520.88</v>
      </c>
      <c r="F101" s="50">
        <f>VLOOKUP($A101,'Data Vlaue (Cr)'!$C:$FB,146)*100</f>
        <v>-18.329999999999998</v>
      </c>
      <c r="G101" s="49">
        <f>VLOOKUP($A101,'Data Vlaue (Cr)'!$C:$FB,43)</f>
        <v>385</v>
      </c>
      <c r="H101" s="49">
        <f>VLOOKUP($A101,'Data Vlaue (Cr)'!$C:$FB,44)</f>
        <v>429</v>
      </c>
      <c r="I101" s="49">
        <f>VLOOKUP($A101,'Data Vlaue (Cr)'!$C:$FB,46)*100</f>
        <v>-10.119999999999999</v>
      </c>
      <c r="J101" s="51">
        <f>VLOOKUP($A101,'Data Vlaue (Cr)'!$C:$FB,59)</f>
        <v>1117</v>
      </c>
      <c r="K101" s="51">
        <f>VLOOKUP($A101,'Data Vlaue (Cr)'!$C:$FB,60)</f>
        <v>1552</v>
      </c>
      <c r="L101" s="51">
        <f>VLOOKUP($A101,'Data Vlaue (Cr)'!$C:$FB,62)*100</f>
        <v>-28.02</v>
      </c>
      <c r="M101" s="51">
        <f>VLOOKUP($A101,'Data Vlaue (Cr)'!$C:$FB,63)</f>
        <v>541</v>
      </c>
      <c r="N101" s="51">
        <f>VLOOKUP($A101,'Data Vlaue (Cr)'!$C:$FB,64)</f>
        <v>510</v>
      </c>
      <c r="O101" s="51">
        <f>VLOOKUP($A101,'Data Vlaue (Cr)'!$C:$FB,66)*100</f>
        <v>6</v>
      </c>
    </row>
    <row r="102" spans="1:15" x14ac:dyDescent="0.25">
      <c r="A102" s="101" t="str">
        <f>'Data Vlaue (Cr)'!C97</f>
        <v>INDUSINDBK</v>
      </c>
      <c r="B102" s="50">
        <f>VLOOKUP($A102,'Data Vlaue (Cr)'!$C:$FB,8)</f>
        <v>739.3</v>
      </c>
      <c r="C102" s="50">
        <f>VLOOKUP($A102,'Data Vlaue (Cr)'!$C:$FB,11)*100</f>
        <v>-1.08</v>
      </c>
      <c r="D102" s="50">
        <f>VLOOKUP($A102,'Data Vlaue (Cr)'!$C:$FB,143)</f>
        <v>2605.36</v>
      </c>
      <c r="E102" s="50">
        <f>VLOOKUP($A102,'Data Vlaue (Cr)'!$C:$FB,144)</f>
        <v>1993.21</v>
      </c>
      <c r="F102" s="50">
        <f>VLOOKUP($A102,'Data Vlaue (Cr)'!$C:$FB,146)*100</f>
        <v>30.709999999999997</v>
      </c>
      <c r="G102" s="49">
        <f>VLOOKUP($A102,'Data Vlaue (Cr)'!$C:$FB,43)</f>
        <v>624</v>
      </c>
      <c r="H102" s="49">
        <f>VLOOKUP($A102,'Data Vlaue (Cr)'!$C:$FB,44)</f>
        <v>487</v>
      </c>
      <c r="I102" s="49">
        <f>VLOOKUP($A102,'Data Vlaue (Cr)'!$C:$FB,46)*100</f>
        <v>28.26</v>
      </c>
      <c r="J102" s="51">
        <f>VLOOKUP($A102,'Data Vlaue (Cr)'!$C:$FB,59)</f>
        <v>1134</v>
      </c>
      <c r="K102" s="51">
        <f>VLOOKUP($A102,'Data Vlaue (Cr)'!$C:$FB,60)</f>
        <v>992</v>
      </c>
      <c r="L102" s="51">
        <f>VLOOKUP($A102,'Data Vlaue (Cr)'!$C:$FB,62)*100</f>
        <v>14.31</v>
      </c>
      <c r="M102" s="51">
        <f>VLOOKUP($A102,'Data Vlaue (Cr)'!$C:$FB,63)</f>
        <v>778</v>
      </c>
      <c r="N102" s="51">
        <f>VLOOKUP($A102,'Data Vlaue (Cr)'!$C:$FB,64)</f>
        <v>447</v>
      </c>
      <c r="O102" s="51">
        <f>VLOOKUP($A102,'Data Vlaue (Cr)'!$C:$FB,66)*100</f>
        <v>74.039999999999992</v>
      </c>
    </row>
    <row r="103" spans="1:15" x14ac:dyDescent="0.25">
      <c r="A103" s="101" t="str">
        <f>'Data Vlaue (Cr)'!C98</f>
        <v>INDUSTOWER</v>
      </c>
      <c r="B103" s="50">
        <f>VLOOKUP($A103,'Data Vlaue (Cr)'!$C:$FB,8)</f>
        <v>353.65</v>
      </c>
      <c r="C103" s="50">
        <f>VLOOKUP($A103,'Data Vlaue (Cr)'!$C:$FB,11)*100</f>
        <v>0.16</v>
      </c>
      <c r="D103" s="50">
        <f>VLOOKUP($A103,'Data Vlaue (Cr)'!$C:$FB,143)</f>
        <v>1594.67</v>
      </c>
      <c r="E103" s="50">
        <f>VLOOKUP($A103,'Data Vlaue (Cr)'!$C:$FB,144)</f>
        <v>985.59</v>
      </c>
      <c r="F103" s="50">
        <f>VLOOKUP($A103,'Data Vlaue (Cr)'!$C:$FB,146)*100</f>
        <v>61.8</v>
      </c>
      <c r="G103" s="49">
        <f>VLOOKUP($A103,'Data Vlaue (Cr)'!$C:$FB,43)</f>
        <v>343</v>
      </c>
      <c r="H103" s="49">
        <f>VLOOKUP($A103,'Data Vlaue (Cr)'!$C:$FB,44)</f>
        <v>244</v>
      </c>
      <c r="I103" s="49">
        <f>VLOOKUP($A103,'Data Vlaue (Cr)'!$C:$FB,46)*100</f>
        <v>40.799999999999997</v>
      </c>
      <c r="J103" s="51">
        <f>VLOOKUP($A103,'Data Vlaue (Cr)'!$C:$FB,59)</f>
        <v>865</v>
      </c>
      <c r="K103" s="51">
        <f>VLOOKUP($A103,'Data Vlaue (Cr)'!$C:$FB,60)</f>
        <v>492</v>
      </c>
      <c r="L103" s="51">
        <f>VLOOKUP($A103,'Data Vlaue (Cr)'!$C:$FB,62)*100</f>
        <v>75.760000000000005</v>
      </c>
      <c r="M103" s="51">
        <f>VLOOKUP($A103,'Data Vlaue (Cr)'!$C:$FB,63)</f>
        <v>348</v>
      </c>
      <c r="N103" s="51">
        <f>VLOOKUP($A103,'Data Vlaue (Cr)'!$C:$FB,64)</f>
        <v>232</v>
      </c>
      <c r="O103" s="51">
        <f>VLOOKUP($A103,'Data Vlaue (Cr)'!$C:$FB,66)*100</f>
        <v>49.66</v>
      </c>
    </row>
    <row r="104" spans="1:15" x14ac:dyDescent="0.25">
      <c r="A104" s="101" t="str">
        <f>'Data Vlaue (Cr)'!C99</f>
        <v>INFY</v>
      </c>
      <c r="B104" s="50">
        <f>VLOOKUP($A104,'Data Vlaue (Cr)'!$C:$FB,8)</f>
        <v>1476</v>
      </c>
      <c r="C104" s="50">
        <f>VLOOKUP($A104,'Data Vlaue (Cr)'!$C:$FB,11)*100</f>
        <v>2.0299999999999998</v>
      </c>
      <c r="D104" s="50">
        <f>VLOOKUP($A104,'Data Vlaue (Cr)'!$C:$FB,143)</f>
        <v>7810.62</v>
      </c>
      <c r="E104" s="50">
        <f>VLOOKUP($A104,'Data Vlaue (Cr)'!$C:$FB,144)</f>
        <v>4262.66</v>
      </c>
      <c r="F104" s="50">
        <f>VLOOKUP($A104,'Data Vlaue (Cr)'!$C:$FB,146)*100</f>
        <v>83.23</v>
      </c>
      <c r="G104" s="49">
        <f>VLOOKUP($A104,'Data Vlaue (Cr)'!$C:$FB,43)</f>
        <v>1680</v>
      </c>
      <c r="H104" s="49">
        <f>VLOOKUP($A104,'Data Vlaue (Cr)'!$C:$FB,44)</f>
        <v>986</v>
      </c>
      <c r="I104" s="49">
        <f>VLOOKUP($A104,'Data Vlaue (Cr)'!$C:$FB,46)*100</f>
        <v>70.37</v>
      </c>
      <c r="J104" s="51">
        <f>VLOOKUP($A104,'Data Vlaue (Cr)'!$C:$FB,59)</f>
        <v>4013</v>
      </c>
      <c r="K104" s="51">
        <f>VLOOKUP($A104,'Data Vlaue (Cr)'!$C:$FB,60)</f>
        <v>2141</v>
      </c>
      <c r="L104" s="51">
        <f>VLOOKUP($A104,'Data Vlaue (Cr)'!$C:$FB,62)*100</f>
        <v>87.45</v>
      </c>
      <c r="M104" s="51">
        <f>VLOOKUP($A104,'Data Vlaue (Cr)'!$C:$FB,63)</f>
        <v>2011</v>
      </c>
      <c r="N104" s="51">
        <f>VLOOKUP($A104,'Data Vlaue (Cr)'!$C:$FB,64)</f>
        <v>1122</v>
      </c>
      <c r="O104" s="51">
        <f>VLOOKUP($A104,'Data Vlaue (Cr)'!$C:$FB,66)*100</f>
        <v>79.23</v>
      </c>
    </row>
    <row r="105" spans="1:15" x14ac:dyDescent="0.25">
      <c r="A105" s="101" t="str">
        <f>'Data Vlaue (Cr)'!C100</f>
        <v>INOXWIND</v>
      </c>
      <c r="B105" s="50">
        <f>VLOOKUP($A105,'Data Vlaue (Cr)'!$C:$FB,8)</f>
        <v>139.38</v>
      </c>
      <c r="C105" s="50">
        <f>VLOOKUP($A105,'Data Vlaue (Cr)'!$C:$FB,11)*100</f>
        <v>-1.41</v>
      </c>
      <c r="D105" s="50">
        <f>VLOOKUP($A105,'Data Vlaue (Cr)'!$C:$FB,143)</f>
        <v>186.83</v>
      </c>
      <c r="E105" s="50">
        <f>VLOOKUP($A105,'Data Vlaue (Cr)'!$C:$FB,144)</f>
        <v>189.69</v>
      </c>
      <c r="F105" s="50">
        <f>VLOOKUP($A105,'Data Vlaue (Cr)'!$C:$FB,146)*100</f>
        <v>-1.51</v>
      </c>
      <c r="G105" s="49">
        <f>VLOOKUP($A105,'Data Vlaue (Cr)'!$C:$FB,43)</f>
        <v>56</v>
      </c>
      <c r="H105" s="49">
        <f>VLOOKUP($A105,'Data Vlaue (Cr)'!$C:$FB,44)</f>
        <v>67</v>
      </c>
      <c r="I105" s="49">
        <f>VLOOKUP($A105,'Data Vlaue (Cr)'!$C:$FB,46)*100</f>
        <v>-15.950000000000001</v>
      </c>
      <c r="J105" s="51">
        <f>VLOOKUP($A105,'Data Vlaue (Cr)'!$C:$FB,59)</f>
        <v>92</v>
      </c>
      <c r="K105" s="51">
        <f>VLOOKUP($A105,'Data Vlaue (Cr)'!$C:$FB,60)</f>
        <v>97</v>
      </c>
      <c r="L105" s="51">
        <f>VLOOKUP($A105,'Data Vlaue (Cr)'!$C:$FB,62)*100</f>
        <v>-5.21</v>
      </c>
      <c r="M105" s="51">
        <f>VLOOKUP($A105,'Data Vlaue (Cr)'!$C:$FB,63)</f>
        <v>31</v>
      </c>
      <c r="N105" s="51">
        <f>VLOOKUP($A105,'Data Vlaue (Cr)'!$C:$FB,64)</f>
        <v>15</v>
      </c>
      <c r="O105" s="51">
        <f>VLOOKUP($A105,'Data Vlaue (Cr)'!$C:$FB,66)*100</f>
        <v>105.49</v>
      </c>
    </row>
    <row r="106" spans="1:15" x14ac:dyDescent="0.25">
      <c r="A106" s="101" t="str">
        <f>'Data Vlaue (Cr)'!C101</f>
        <v>IOC</v>
      </c>
      <c r="B106" s="50">
        <f>VLOOKUP($A106,'Data Vlaue (Cr)'!$C:$FB,8)</f>
        <v>154.84</v>
      </c>
      <c r="C106" s="50">
        <f>VLOOKUP($A106,'Data Vlaue (Cr)'!$C:$FB,11)*100</f>
        <v>2.96</v>
      </c>
      <c r="D106" s="50">
        <f>VLOOKUP($A106,'Data Vlaue (Cr)'!$C:$FB,143)</f>
        <v>2477.8000000000002</v>
      </c>
      <c r="E106" s="50">
        <f>VLOOKUP($A106,'Data Vlaue (Cr)'!$C:$FB,144)</f>
        <v>981.85</v>
      </c>
      <c r="F106" s="50">
        <f>VLOOKUP($A106,'Data Vlaue (Cr)'!$C:$FB,146)*100</f>
        <v>152.36000000000001</v>
      </c>
      <c r="G106" s="49">
        <f>VLOOKUP($A106,'Data Vlaue (Cr)'!$C:$FB,43)</f>
        <v>440</v>
      </c>
      <c r="H106" s="49">
        <f>VLOOKUP($A106,'Data Vlaue (Cr)'!$C:$FB,44)</f>
        <v>188</v>
      </c>
      <c r="I106" s="49">
        <f>VLOOKUP($A106,'Data Vlaue (Cr)'!$C:$FB,46)*100</f>
        <v>134.34</v>
      </c>
      <c r="J106" s="51">
        <f>VLOOKUP($A106,'Data Vlaue (Cr)'!$C:$FB,59)</f>
        <v>1372</v>
      </c>
      <c r="K106" s="51">
        <f>VLOOKUP($A106,'Data Vlaue (Cr)'!$C:$FB,60)</f>
        <v>546</v>
      </c>
      <c r="L106" s="51">
        <f>VLOOKUP($A106,'Data Vlaue (Cr)'!$C:$FB,62)*100</f>
        <v>151.41999999999999</v>
      </c>
      <c r="M106" s="51">
        <f>VLOOKUP($A106,'Data Vlaue (Cr)'!$C:$FB,63)</f>
        <v>659</v>
      </c>
      <c r="N106" s="51">
        <f>VLOOKUP($A106,'Data Vlaue (Cr)'!$C:$FB,64)</f>
        <v>261</v>
      </c>
      <c r="O106" s="51">
        <f>VLOOKUP($A106,'Data Vlaue (Cr)'!$C:$FB,66)*100</f>
        <v>153</v>
      </c>
    </row>
    <row r="107" spans="1:15" x14ac:dyDescent="0.25">
      <c r="A107" s="101" t="str">
        <f>'Data Vlaue (Cr)'!C102</f>
        <v>IRCTC</v>
      </c>
      <c r="B107" s="50">
        <f>VLOOKUP($A107,'Data Vlaue (Cr)'!$C:$FB,8)</f>
        <v>710.25</v>
      </c>
      <c r="C107" s="50">
        <f>VLOOKUP($A107,'Data Vlaue (Cr)'!$C:$FB,11)*100</f>
        <v>0.38999999999999996</v>
      </c>
      <c r="D107" s="50">
        <f>VLOOKUP($A107,'Data Vlaue (Cr)'!$C:$FB,143)</f>
        <v>383</v>
      </c>
      <c r="E107" s="50">
        <f>VLOOKUP($A107,'Data Vlaue (Cr)'!$C:$FB,144)</f>
        <v>391.26</v>
      </c>
      <c r="F107" s="50">
        <f>VLOOKUP($A107,'Data Vlaue (Cr)'!$C:$FB,146)*100</f>
        <v>-2.11</v>
      </c>
      <c r="G107" s="49">
        <f>VLOOKUP($A107,'Data Vlaue (Cr)'!$C:$FB,43)</f>
        <v>84</v>
      </c>
      <c r="H107" s="49">
        <f>VLOOKUP($A107,'Data Vlaue (Cr)'!$C:$FB,44)</f>
        <v>87</v>
      </c>
      <c r="I107" s="49">
        <f>VLOOKUP($A107,'Data Vlaue (Cr)'!$C:$FB,46)*100</f>
        <v>-3.38</v>
      </c>
      <c r="J107" s="51">
        <f>VLOOKUP($A107,'Data Vlaue (Cr)'!$C:$FB,59)</f>
        <v>217</v>
      </c>
      <c r="K107" s="51">
        <f>VLOOKUP($A107,'Data Vlaue (Cr)'!$C:$FB,60)</f>
        <v>218</v>
      </c>
      <c r="L107" s="51">
        <f>VLOOKUP($A107,'Data Vlaue (Cr)'!$C:$FB,62)*100</f>
        <v>-0.32</v>
      </c>
      <c r="M107" s="51">
        <f>VLOOKUP($A107,'Data Vlaue (Cr)'!$C:$FB,63)</f>
        <v>75</v>
      </c>
      <c r="N107" s="51">
        <f>VLOOKUP($A107,'Data Vlaue (Cr)'!$C:$FB,64)</f>
        <v>78</v>
      </c>
      <c r="O107" s="51">
        <f>VLOOKUP($A107,'Data Vlaue (Cr)'!$C:$FB,66)*100</f>
        <v>-4.01</v>
      </c>
    </row>
    <row r="108" spans="1:15" x14ac:dyDescent="0.25">
      <c r="A108" s="101" t="str">
        <f>'Data Vlaue (Cr)'!C103</f>
        <v>IREDA</v>
      </c>
      <c r="B108" s="50">
        <f>VLOOKUP($A108,'Data Vlaue (Cr)'!$C:$FB,8)</f>
        <v>151.16</v>
      </c>
      <c r="C108" s="50">
        <f>VLOOKUP($A108,'Data Vlaue (Cr)'!$C:$FB,11)*100</f>
        <v>-1.9</v>
      </c>
      <c r="D108" s="50">
        <f>VLOOKUP($A108,'Data Vlaue (Cr)'!$C:$FB,143)</f>
        <v>762.61</v>
      </c>
      <c r="E108" s="50">
        <f>VLOOKUP($A108,'Data Vlaue (Cr)'!$C:$FB,144)</f>
        <v>1149.74</v>
      </c>
      <c r="F108" s="50">
        <f>VLOOKUP($A108,'Data Vlaue (Cr)'!$C:$FB,146)*100</f>
        <v>-33.67</v>
      </c>
      <c r="G108" s="49">
        <f>VLOOKUP($A108,'Data Vlaue (Cr)'!$C:$FB,43)</f>
        <v>164</v>
      </c>
      <c r="H108" s="49">
        <f>VLOOKUP($A108,'Data Vlaue (Cr)'!$C:$FB,44)</f>
        <v>193</v>
      </c>
      <c r="I108" s="49">
        <f>VLOOKUP($A108,'Data Vlaue (Cr)'!$C:$FB,46)*100</f>
        <v>-14.95</v>
      </c>
      <c r="J108" s="51">
        <f>VLOOKUP($A108,'Data Vlaue (Cr)'!$C:$FB,59)</f>
        <v>443</v>
      </c>
      <c r="K108" s="51">
        <f>VLOOKUP($A108,'Data Vlaue (Cr)'!$C:$FB,60)</f>
        <v>693</v>
      </c>
      <c r="L108" s="51">
        <f>VLOOKUP($A108,'Data Vlaue (Cr)'!$C:$FB,62)*100</f>
        <v>-36.1</v>
      </c>
      <c r="M108" s="51">
        <f>VLOOKUP($A108,'Data Vlaue (Cr)'!$C:$FB,63)</f>
        <v>117</v>
      </c>
      <c r="N108" s="51">
        <f>VLOOKUP($A108,'Data Vlaue (Cr)'!$C:$FB,64)</f>
        <v>195</v>
      </c>
      <c r="O108" s="51">
        <f>VLOOKUP($A108,'Data Vlaue (Cr)'!$C:$FB,66)*100</f>
        <v>-39.629999999999995</v>
      </c>
    </row>
    <row r="109" spans="1:15" x14ac:dyDescent="0.25">
      <c r="A109" s="101" t="str">
        <f>'Data Vlaue (Cr)'!C104</f>
        <v>IRFC</v>
      </c>
      <c r="B109" s="50">
        <f>VLOOKUP($A109,'Data Vlaue (Cr)'!$C:$FB,8)</f>
        <v>125.24</v>
      </c>
      <c r="C109" s="50">
        <f>VLOOKUP($A109,'Data Vlaue (Cr)'!$C:$FB,11)*100</f>
        <v>-0.48</v>
      </c>
      <c r="D109" s="50">
        <f>VLOOKUP($A109,'Data Vlaue (Cr)'!$C:$FB,143)</f>
        <v>191.12</v>
      </c>
      <c r="E109" s="50">
        <f>VLOOKUP($A109,'Data Vlaue (Cr)'!$C:$FB,144)</f>
        <v>215.83</v>
      </c>
      <c r="F109" s="50">
        <f>VLOOKUP($A109,'Data Vlaue (Cr)'!$C:$FB,146)*100</f>
        <v>-11.450000000000001</v>
      </c>
      <c r="G109" s="49">
        <f>VLOOKUP($A109,'Data Vlaue (Cr)'!$C:$FB,43)</f>
        <v>52</v>
      </c>
      <c r="H109" s="49">
        <f>VLOOKUP($A109,'Data Vlaue (Cr)'!$C:$FB,44)</f>
        <v>51</v>
      </c>
      <c r="I109" s="49">
        <f>VLOOKUP($A109,'Data Vlaue (Cr)'!$C:$FB,46)*100</f>
        <v>0.52</v>
      </c>
      <c r="J109" s="51">
        <f>VLOOKUP($A109,'Data Vlaue (Cr)'!$C:$FB,59)</f>
        <v>103</v>
      </c>
      <c r="K109" s="51">
        <f>VLOOKUP($A109,'Data Vlaue (Cr)'!$C:$FB,60)</f>
        <v>117</v>
      </c>
      <c r="L109" s="51">
        <f>VLOOKUP($A109,'Data Vlaue (Cr)'!$C:$FB,62)*100</f>
        <v>-12.2</v>
      </c>
      <c r="M109" s="51">
        <f>VLOOKUP($A109,'Data Vlaue (Cr)'!$C:$FB,63)</f>
        <v>31</v>
      </c>
      <c r="N109" s="51">
        <f>VLOOKUP($A109,'Data Vlaue (Cr)'!$C:$FB,64)</f>
        <v>40</v>
      </c>
      <c r="O109" s="51">
        <f>VLOOKUP($A109,'Data Vlaue (Cr)'!$C:$FB,66)*100</f>
        <v>-22.62</v>
      </c>
    </row>
    <row r="110" spans="1:15" x14ac:dyDescent="0.25">
      <c r="A110" s="101" t="str">
        <f>'Data Vlaue (Cr)'!C105</f>
        <v>ITC</v>
      </c>
      <c r="B110" s="50">
        <f>VLOOKUP($A110,'Data Vlaue (Cr)'!$C:$FB,8)</f>
        <v>400.75</v>
      </c>
      <c r="C110" s="50">
        <f>VLOOKUP($A110,'Data Vlaue (Cr)'!$C:$FB,11)*100</f>
        <v>-0.88</v>
      </c>
      <c r="D110" s="50">
        <f>VLOOKUP($A110,'Data Vlaue (Cr)'!$C:$FB,143)</f>
        <v>2965.91</v>
      </c>
      <c r="E110" s="50">
        <f>VLOOKUP($A110,'Data Vlaue (Cr)'!$C:$FB,144)</f>
        <v>3111.01</v>
      </c>
      <c r="F110" s="50">
        <f>VLOOKUP($A110,'Data Vlaue (Cr)'!$C:$FB,146)*100</f>
        <v>-4.66</v>
      </c>
      <c r="G110" s="49">
        <f>VLOOKUP($A110,'Data Vlaue (Cr)'!$C:$FB,43)</f>
        <v>598</v>
      </c>
      <c r="H110" s="49">
        <f>VLOOKUP($A110,'Data Vlaue (Cr)'!$C:$FB,44)</f>
        <v>496</v>
      </c>
      <c r="I110" s="49">
        <f>VLOOKUP($A110,'Data Vlaue (Cr)'!$C:$FB,46)*100</f>
        <v>20.599999999999998</v>
      </c>
      <c r="J110" s="51">
        <f>VLOOKUP($A110,'Data Vlaue (Cr)'!$C:$FB,59)</f>
        <v>1512</v>
      </c>
      <c r="K110" s="51">
        <f>VLOOKUP($A110,'Data Vlaue (Cr)'!$C:$FB,60)</f>
        <v>1609</v>
      </c>
      <c r="L110" s="51">
        <f>VLOOKUP($A110,'Data Vlaue (Cr)'!$C:$FB,62)*100</f>
        <v>-6.01</v>
      </c>
      <c r="M110" s="51">
        <f>VLOOKUP($A110,'Data Vlaue (Cr)'!$C:$FB,63)</f>
        <v>809</v>
      </c>
      <c r="N110" s="51">
        <f>VLOOKUP($A110,'Data Vlaue (Cr)'!$C:$FB,64)</f>
        <v>950</v>
      </c>
      <c r="O110" s="51">
        <f>VLOOKUP($A110,'Data Vlaue (Cr)'!$C:$FB,66)*100</f>
        <v>-14.829999999999998</v>
      </c>
    </row>
    <row r="111" spans="1:15" x14ac:dyDescent="0.25">
      <c r="A111" s="101" t="str">
        <f>'Data Vlaue (Cr)'!C106</f>
        <v>JINDALSTEL</v>
      </c>
      <c r="B111" s="50">
        <f>VLOOKUP($A111,'Data Vlaue (Cr)'!$C:$FB,8)</f>
        <v>1055.9000000000001</v>
      </c>
      <c r="C111" s="50">
        <f>VLOOKUP($A111,'Data Vlaue (Cr)'!$C:$FB,11)*100</f>
        <v>-1.91</v>
      </c>
      <c r="D111" s="50">
        <f>VLOOKUP($A111,'Data Vlaue (Cr)'!$C:$FB,143)</f>
        <v>2286.9699999999998</v>
      </c>
      <c r="E111" s="50">
        <f>VLOOKUP($A111,'Data Vlaue (Cr)'!$C:$FB,144)</f>
        <v>2304.19</v>
      </c>
      <c r="F111" s="50">
        <f>VLOOKUP($A111,'Data Vlaue (Cr)'!$C:$FB,146)*100</f>
        <v>-0.75</v>
      </c>
      <c r="G111" s="49">
        <f>VLOOKUP($A111,'Data Vlaue (Cr)'!$C:$FB,43)</f>
        <v>404</v>
      </c>
      <c r="H111" s="49">
        <f>VLOOKUP($A111,'Data Vlaue (Cr)'!$C:$FB,44)</f>
        <v>430</v>
      </c>
      <c r="I111" s="49">
        <f>VLOOKUP($A111,'Data Vlaue (Cr)'!$C:$FB,46)*100</f>
        <v>-5.9499999999999993</v>
      </c>
      <c r="J111" s="51">
        <f>VLOOKUP($A111,'Data Vlaue (Cr)'!$C:$FB,59)</f>
        <v>1186</v>
      </c>
      <c r="K111" s="51">
        <f>VLOOKUP($A111,'Data Vlaue (Cr)'!$C:$FB,60)</f>
        <v>1356</v>
      </c>
      <c r="L111" s="51">
        <f>VLOOKUP($A111,'Data Vlaue (Cr)'!$C:$FB,62)*100</f>
        <v>-12.5</v>
      </c>
      <c r="M111" s="51">
        <f>VLOOKUP($A111,'Data Vlaue (Cr)'!$C:$FB,63)</f>
        <v>648</v>
      </c>
      <c r="N111" s="51">
        <f>VLOOKUP($A111,'Data Vlaue (Cr)'!$C:$FB,64)</f>
        <v>427</v>
      </c>
      <c r="O111" s="51">
        <f>VLOOKUP($A111,'Data Vlaue (Cr)'!$C:$FB,66)*100</f>
        <v>51.88</v>
      </c>
    </row>
    <row r="112" spans="1:15" x14ac:dyDescent="0.25">
      <c r="A112" s="101" t="str">
        <f>'Data Vlaue (Cr)'!C107</f>
        <v>JIOFIN</v>
      </c>
      <c r="B112" s="50">
        <f>VLOOKUP($A112,'Data Vlaue (Cr)'!$C:$FB,8)</f>
        <v>306.25</v>
      </c>
      <c r="C112" s="50">
        <f>VLOOKUP($A112,'Data Vlaue (Cr)'!$C:$FB,11)*100</f>
        <v>1.51</v>
      </c>
      <c r="D112" s="50">
        <f>VLOOKUP($A112,'Data Vlaue (Cr)'!$C:$FB,143)</f>
        <v>3057.29</v>
      </c>
      <c r="E112" s="50">
        <f>VLOOKUP($A112,'Data Vlaue (Cr)'!$C:$FB,144)</f>
        <v>2041.9</v>
      </c>
      <c r="F112" s="50">
        <f>VLOOKUP($A112,'Data Vlaue (Cr)'!$C:$FB,146)*100</f>
        <v>49.730000000000004</v>
      </c>
      <c r="G112" s="49">
        <f>VLOOKUP($A112,'Data Vlaue (Cr)'!$C:$FB,43)</f>
        <v>573</v>
      </c>
      <c r="H112" s="49">
        <f>VLOOKUP($A112,'Data Vlaue (Cr)'!$C:$FB,44)</f>
        <v>368</v>
      </c>
      <c r="I112" s="49">
        <f>VLOOKUP($A112,'Data Vlaue (Cr)'!$C:$FB,46)*100</f>
        <v>55.57</v>
      </c>
      <c r="J112" s="51">
        <f>VLOOKUP($A112,'Data Vlaue (Cr)'!$C:$FB,59)</f>
        <v>1760</v>
      </c>
      <c r="K112" s="51">
        <f>VLOOKUP($A112,'Data Vlaue (Cr)'!$C:$FB,60)</f>
        <v>1146</v>
      </c>
      <c r="L112" s="51">
        <f>VLOOKUP($A112,'Data Vlaue (Cr)'!$C:$FB,62)*100</f>
        <v>53.580000000000005</v>
      </c>
      <c r="M112" s="51">
        <f>VLOOKUP($A112,'Data Vlaue (Cr)'!$C:$FB,63)</f>
        <v>670</v>
      </c>
      <c r="N112" s="51">
        <f>VLOOKUP($A112,'Data Vlaue (Cr)'!$C:$FB,64)</f>
        <v>509</v>
      </c>
      <c r="O112" s="51">
        <f>VLOOKUP($A112,'Data Vlaue (Cr)'!$C:$FB,66)*100</f>
        <v>31.77</v>
      </c>
    </row>
    <row r="113" spans="1:15" x14ac:dyDescent="0.25">
      <c r="A113" s="101" t="str">
        <f>'Data Vlaue (Cr)'!C108</f>
        <v>JSWENERGY</v>
      </c>
      <c r="B113" s="50">
        <f>VLOOKUP($A113,'Data Vlaue (Cr)'!$C:$FB,8)</f>
        <v>541</v>
      </c>
      <c r="C113" s="50">
        <f>VLOOKUP($A113,'Data Vlaue (Cr)'!$C:$FB,11)*100</f>
        <v>0.2</v>
      </c>
      <c r="D113" s="50">
        <f>VLOOKUP($A113,'Data Vlaue (Cr)'!$C:$FB,143)</f>
        <v>440.78</v>
      </c>
      <c r="E113" s="50">
        <f>VLOOKUP($A113,'Data Vlaue (Cr)'!$C:$FB,144)</f>
        <v>453.03</v>
      </c>
      <c r="F113" s="50">
        <f>VLOOKUP($A113,'Data Vlaue (Cr)'!$C:$FB,146)*100</f>
        <v>-2.71</v>
      </c>
      <c r="G113" s="49">
        <f>VLOOKUP($A113,'Data Vlaue (Cr)'!$C:$FB,43)</f>
        <v>112</v>
      </c>
      <c r="H113" s="49">
        <f>VLOOKUP($A113,'Data Vlaue (Cr)'!$C:$FB,44)</f>
        <v>98</v>
      </c>
      <c r="I113" s="49">
        <f>VLOOKUP($A113,'Data Vlaue (Cr)'!$C:$FB,46)*100</f>
        <v>14.330000000000002</v>
      </c>
      <c r="J113" s="51">
        <f>VLOOKUP($A113,'Data Vlaue (Cr)'!$C:$FB,59)</f>
        <v>230</v>
      </c>
      <c r="K113" s="51">
        <f>VLOOKUP($A113,'Data Vlaue (Cr)'!$C:$FB,60)</f>
        <v>263</v>
      </c>
      <c r="L113" s="51">
        <f>VLOOKUP($A113,'Data Vlaue (Cr)'!$C:$FB,62)*100</f>
        <v>-12.57</v>
      </c>
      <c r="M113" s="51">
        <f>VLOOKUP($A113,'Data Vlaue (Cr)'!$C:$FB,63)</f>
        <v>90</v>
      </c>
      <c r="N113" s="51">
        <f>VLOOKUP($A113,'Data Vlaue (Cr)'!$C:$FB,64)</f>
        <v>82</v>
      </c>
      <c r="O113" s="51">
        <f>VLOOKUP($A113,'Data Vlaue (Cr)'!$C:$FB,66)*100</f>
        <v>10.73</v>
      </c>
    </row>
    <row r="114" spans="1:15" x14ac:dyDescent="0.25">
      <c r="A114" s="101" t="str">
        <f>'Data Vlaue (Cr)'!C109</f>
        <v>JSWSTEEL</v>
      </c>
      <c r="B114" s="50">
        <f>VLOOKUP($A114,'Data Vlaue (Cr)'!$C:$FB,8)</f>
        <v>1159.9000000000001</v>
      </c>
      <c r="C114" s="50">
        <f>VLOOKUP($A114,'Data Vlaue (Cr)'!$C:$FB,11)*100</f>
        <v>-0.15</v>
      </c>
      <c r="D114" s="50">
        <f>VLOOKUP($A114,'Data Vlaue (Cr)'!$C:$FB,143)</f>
        <v>1356.67</v>
      </c>
      <c r="E114" s="50">
        <f>VLOOKUP($A114,'Data Vlaue (Cr)'!$C:$FB,144)</f>
        <v>3290.97</v>
      </c>
      <c r="F114" s="50">
        <f>VLOOKUP($A114,'Data Vlaue (Cr)'!$C:$FB,146)*100</f>
        <v>-58.78</v>
      </c>
      <c r="G114" s="49">
        <f>VLOOKUP($A114,'Data Vlaue (Cr)'!$C:$FB,43)</f>
        <v>224</v>
      </c>
      <c r="H114" s="49">
        <f>VLOOKUP($A114,'Data Vlaue (Cr)'!$C:$FB,44)</f>
        <v>554</v>
      </c>
      <c r="I114" s="49">
        <f>VLOOKUP($A114,'Data Vlaue (Cr)'!$C:$FB,46)*100</f>
        <v>-59.589999999999996</v>
      </c>
      <c r="J114" s="51">
        <f>VLOOKUP($A114,'Data Vlaue (Cr)'!$C:$FB,59)</f>
        <v>737</v>
      </c>
      <c r="K114" s="51">
        <f>VLOOKUP($A114,'Data Vlaue (Cr)'!$C:$FB,60)</f>
        <v>1874</v>
      </c>
      <c r="L114" s="51">
        <f>VLOOKUP($A114,'Data Vlaue (Cr)'!$C:$FB,62)*100</f>
        <v>-60.67</v>
      </c>
      <c r="M114" s="51">
        <f>VLOOKUP($A114,'Data Vlaue (Cr)'!$C:$FB,63)</f>
        <v>372</v>
      </c>
      <c r="N114" s="51">
        <f>VLOOKUP($A114,'Data Vlaue (Cr)'!$C:$FB,64)</f>
        <v>797</v>
      </c>
      <c r="O114" s="51">
        <f>VLOOKUP($A114,'Data Vlaue (Cr)'!$C:$FB,66)*100</f>
        <v>-53.33</v>
      </c>
    </row>
    <row r="115" spans="1:15" x14ac:dyDescent="0.25">
      <c r="A115" s="101" t="str">
        <f>'Data Vlaue (Cr)'!C110</f>
        <v>JUBLFOOD</v>
      </c>
      <c r="B115" s="50">
        <f>VLOOKUP($A115,'Data Vlaue (Cr)'!$C:$FB,8)</f>
        <v>623.35</v>
      </c>
      <c r="C115" s="50">
        <f>VLOOKUP($A115,'Data Vlaue (Cr)'!$C:$FB,11)*100</f>
        <v>-0.80999999999999994</v>
      </c>
      <c r="D115" s="50">
        <f>VLOOKUP($A115,'Data Vlaue (Cr)'!$C:$FB,143)</f>
        <v>1033.7</v>
      </c>
      <c r="E115" s="50">
        <f>VLOOKUP($A115,'Data Vlaue (Cr)'!$C:$FB,144)</f>
        <v>504.39</v>
      </c>
      <c r="F115" s="50">
        <f>VLOOKUP($A115,'Data Vlaue (Cr)'!$C:$FB,146)*100</f>
        <v>104.94000000000001</v>
      </c>
      <c r="G115" s="49">
        <f>VLOOKUP($A115,'Data Vlaue (Cr)'!$C:$FB,43)</f>
        <v>275</v>
      </c>
      <c r="H115" s="49">
        <f>VLOOKUP($A115,'Data Vlaue (Cr)'!$C:$FB,44)</f>
        <v>134</v>
      </c>
      <c r="I115" s="49">
        <f>VLOOKUP($A115,'Data Vlaue (Cr)'!$C:$FB,46)*100</f>
        <v>105.2</v>
      </c>
      <c r="J115" s="51">
        <f>VLOOKUP($A115,'Data Vlaue (Cr)'!$C:$FB,59)</f>
        <v>496</v>
      </c>
      <c r="K115" s="51">
        <f>VLOOKUP($A115,'Data Vlaue (Cr)'!$C:$FB,60)</f>
        <v>268</v>
      </c>
      <c r="L115" s="51">
        <f>VLOOKUP($A115,'Data Vlaue (Cr)'!$C:$FB,62)*100</f>
        <v>85.15</v>
      </c>
      <c r="M115" s="51">
        <f>VLOOKUP($A115,'Data Vlaue (Cr)'!$C:$FB,63)</f>
        <v>238</v>
      </c>
      <c r="N115" s="51">
        <f>VLOOKUP($A115,'Data Vlaue (Cr)'!$C:$FB,64)</f>
        <v>91</v>
      </c>
      <c r="O115" s="51">
        <f>VLOOKUP($A115,'Data Vlaue (Cr)'!$C:$FB,66)*100</f>
        <v>162.35</v>
      </c>
    </row>
    <row r="116" spans="1:15" x14ac:dyDescent="0.25">
      <c r="A116" s="101" t="str">
        <f>'Data Vlaue (Cr)'!C111</f>
        <v>KALYANKJIL</v>
      </c>
      <c r="B116" s="50">
        <f>VLOOKUP($A116,'Data Vlaue (Cr)'!$C:$FB,8)</f>
        <v>485.35</v>
      </c>
      <c r="C116" s="50">
        <f>VLOOKUP($A116,'Data Vlaue (Cr)'!$C:$FB,11)*100</f>
        <v>-1.38</v>
      </c>
      <c r="D116" s="50">
        <f>VLOOKUP($A116,'Data Vlaue (Cr)'!$C:$FB,143)</f>
        <v>1868.67</v>
      </c>
      <c r="E116" s="50">
        <f>VLOOKUP($A116,'Data Vlaue (Cr)'!$C:$FB,144)</f>
        <v>3854.81</v>
      </c>
      <c r="F116" s="50">
        <f>VLOOKUP($A116,'Data Vlaue (Cr)'!$C:$FB,146)*100</f>
        <v>-51.519999999999996</v>
      </c>
      <c r="G116" s="49">
        <f>VLOOKUP($A116,'Data Vlaue (Cr)'!$C:$FB,43)</f>
        <v>307</v>
      </c>
      <c r="H116" s="49">
        <f>VLOOKUP($A116,'Data Vlaue (Cr)'!$C:$FB,44)</f>
        <v>537</v>
      </c>
      <c r="I116" s="49">
        <f>VLOOKUP($A116,'Data Vlaue (Cr)'!$C:$FB,46)*100</f>
        <v>-42.82</v>
      </c>
      <c r="J116" s="51">
        <f>VLOOKUP($A116,'Data Vlaue (Cr)'!$C:$FB,59)</f>
        <v>1066</v>
      </c>
      <c r="K116" s="51">
        <f>VLOOKUP($A116,'Data Vlaue (Cr)'!$C:$FB,60)</f>
        <v>2347</v>
      </c>
      <c r="L116" s="51">
        <f>VLOOKUP($A116,'Data Vlaue (Cr)'!$C:$FB,62)*100</f>
        <v>-54.569999999999993</v>
      </c>
      <c r="M116" s="51">
        <f>VLOOKUP($A116,'Data Vlaue (Cr)'!$C:$FB,63)</f>
        <v>420</v>
      </c>
      <c r="N116" s="51">
        <f>VLOOKUP($A116,'Data Vlaue (Cr)'!$C:$FB,64)</f>
        <v>862</v>
      </c>
      <c r="O116" s="51">
        <f>VLOOKUP($A116,'Data Vlaue (Cr)'!$C:$FB,66)*100</f>
        <v>-51.29</v>
      </c>
    </row>
    <row r="117" spans="1:15" x14ac:dyDescent="0.25">
      <c r="A117" s="101" t="str">
        <f>'Data Vlaue (Cr)'!C112</f>
        <v>KAYNES</v>
      </c>
      <c r="B117" s="50">
        <f>VLOOKUP($A117,'Data Vlaue (Cr)'!$C:$FB,8)</f>
        <v>7466.5</v>
      </c>
      <c r="C117" s="50">
        <f>VLOOKUP($A117,'Data Vlaue (Cr)'!$C:$FB,11)*100</f>
        <v>2.6599999999999997</v>
      </c>
      <c r="D117" s="50">
        <f>VLOOKUP($A117,'Data Vlaue (Cr)'!$C:$FB,143)</f>
        <v>1733.61</v>
      </c>
      <c r="E117" s="50">
        <f>VLOOKUP($A117,'Data Vlaue (Cr)'!$C:$FB,144)</f>
        <v>658.88</v>
      </c>
      <c r="F117" s="50">
        <f>VLOOKUP($A117,'Data Vlaue (Cr)'!$C:$FB,146)*100</f>
        <v>163.11000000000001</v>
      </c>
      <c r="G117" s="49">
        <f>VLOOKUP($A117,'Data Vlaue (Cr)'!$C:$FB,43)</f>
        <v>310</v>
      </c>
      <c r="H117" s="49">
        <f>VLOOKUP($A117,'Data Vlaue (Cr)'!$C:$FB,44)</f>
        <v>132</v>
      </c>
      <c r="I117" s="49">
        <f>VLOOKUP($A117,'Data Vlaue (Cr)'!$C:$FB,46)*100</f>
        <v>135.54999999999998</v>
      </c>
      <c r="J117" s="51">
        <f>VLOOKUP($A117,'Data Vlaue (Cr)'!$C:$FB,59)</f>
        <v>1145</v>
      </c>
      <c r="K117" s="51">
        <f>VLOOKUP($A117,'Data Vlaue (Cr)'!$C:$FB,60)</f>
        <v>410</v>
      </c>
      <c r="L117" s="51">
        <f>VLOOKUP($A117,'Data Vlaue (Cr)'!$C:$FB,62)*100</f>
        <v>179.55</v>
      </c>
      <c r="M117" s="51">
        <f>VLOOKUP($A117,'Data Vlaue (Cr)'!$C:$FB,63)</f>
        <v>242</v>
      </c>
      <c r="N117" s="51">
        <f>VLOOKUP($A117,'Data Vlaue (Cr)'!$C:$FB,64)</f>
        <v>118</v>
      </c>
      <c r="O117" s="51">
        <f>VLOOKUP($A117,'Data Vlaue (Cr)'!$C:$FB,66)*100</f>
        <v>104.76</v>
      </c>
    </row>
    <row r="118" spans="1:15" x14ac:dyDescent="0.25">
      <c r="A118" s="101" t="str">
        <f>'Data Vlaue (Cr)'!C113</f>
        <v>KEI</v>
      </c>
      <c r="B118" s="50">
        <f>VLOOKUP($A118,'Data Vlaue (Cr)'!$C:$FB,8)</f>
        <v>4131.7</v>
      </c>
      <c r="C118" s="50">
        <f>VLOOKUP($A118,'Data Vlaue (Cr)'!$C:$FB,11)*100</f>
        <v>2.34</v>
      </c>
      <c r="D118" s="50">
        <f>VLOOKUP($A118,'Data Vlaue (Cr)'!$C:$FB,143)</f>
        <v>793.86</v>
      </c>
      <c r="E118" s="50">
        <f>VLOOKUP($A118,'Data Vlaue (Cr)'!$C:$FB,144)</f>
        <v>559.74</v>
      </c>
      <c r="F118" s="50">
        <f>VLOOKUP($A118,'Data Vlaue (Cr)'!$C:$FB,146)*100</f>
        <v>41.83</v>
      </c>
      <c r="G118" s="49">
        <f>VLOOKUP($A118,'Data Vlaue (Cr)'!$C:$FB,43)</f>
        <v>159</v>
      </c>
      <c r="H118" s="49">
        <f>VLOOKUP($A118,'Data Vlaue (Cr)'!$C:$FB,44)</f>
        <v>132</v>
      </c>
      <c r="I118" s="49">
        <f>VLOOKUP($A118,'Data Vlaue (Cr)'!$C:$FB,46)*100</f>
        <v>20.13</v>
      </c>
      <c r="J118" s="51">
        <f>VLOOKUP($A118,'Data Vlaue (Cr)'!$C:$FB,59)</f>
        <v>477</v>
      </c>
      <c r="K118" s="51">
        <f>VLOOKUP($A118,'Data Vlaue (Cr)'!$C:$FB,60)</f>
        <v>249</v>
      </c>
      <c r="L118" s="51">
        <f>VLOOKUP($A118,'Data Vlaue (Cr)'!$C:$FB,62)*100</f>
        <v>91.33</v>
      </c>
      <c r="M118" s="51">
        <f>VLOOKUP($A118,'Data Vlaue (Cr)'!$C:$FB,63)</f>
        <v>143</v>
      </c>
      <c r="N118" s="51">
        <f>VLOOKUP($A118,'Data Vlaue (Cr)'!$C:$FB,64)</f>
        <v>178</v>
      </c>
      <c r="O118" s="51">
        <f>VLOOKUP($A118,'Data Vlaue (Cr)'!$C:$FB,66)*100</f>
        <v>-19.54</v>
      </c>
    </row>
    <row r="119" spans="1:15" x14ac:dyDescent="0.25">
      <c r="A119" s="101" t="str">
        <f>'Data Vlaue (Cr)'!C114</f>
        <v>KFINTECH</v>
      </c>
      <c r="B119" s="50">
        <f>VLOOKUP($A119,'Data Vlaue (Cr)'!$C:$FB,8)</f>
        <v>1062.5</v>
      </c>
      <c r="C119" s="50">
        <f>VLOOKUP($A119,'Data Vlaue (Cr)'!$C:$FB,11)*100</f>
        <v>-0.44999999999999996</v>
      </c>
      <c r="D119" s="50">
        <f>VLOOKUP($A119,'Data Vlaue (Cr)'!$C:$FB,143)</f>
        <v>121.56</v>
      </c>
      <c r="E119" s="50">
        <f>VLOOKUP($A119,'Data Vlaue (Cr)'!$C:$FB,144)</f>
        <v>154.41999999999999</v>
      </c>
      <c r="F119" s="50">
        <f>VLOOKUP($A119,'Data Vlaue (Cr)'!$C:$FB,146)*100</f>
        <v>-21.279999999999998</v>
      </c>
      <c r="G119" s="49">
        <f>VLOOKUP($A119,'Data Vlaue (Cr)'!$C:$FB,43)</f>
        <v>43</v>
      </c>
      <c r="H119" s="49">
        <f>VLOOKUP($A119,'Data Vlaue (Cr)'!$C:$FB,44)</f>
        <v>50</v>
      </c>
      <c r="I119" s="49">
        <f>VLOOKUP($A119,'Data Vlaue (Cr)'!$C:$FB,46)*100</f>
        <v>-14.62</v>
      </c>
      <c r="J119" s="51">
        <f>VLOOKUP($A119,'Data Vlaue (Cr)'!$C:$FB,59)</f>
        <v>63</v>
      </c>
      <c r="K119" s="51">
        <f>VLOOKUP($A119,'Data Vlaue (Cr)'!$C:$FB,60)</f>
        <v>72</v>
      </c>
      <c r="L119" s="51">
        <f>VLOOKUP($A119,'Data Vlaue (Cr)'!$C:$FB,62)*100</f>
        <v>-12.21</v>
      </c>
      <c r="M119" s="51">
        <f>VLOOKUP($A119,'Data Vlaue (Cr)'!$C:$FB,63)</f>
        <v>12</v>
      </c>
      <c r="N119" s="51">
        <f>VLOOKUP($A119,'Data Vlaue (Cr)'!$C:$FB,64)</f>
        <v>28</v>
      </c>
      <c r="O119" s="51">
        <f>VLOOKUP($A119,'Data Vlaue (Cr)'!$C:$FB,66)*100</f>
        <v>-57.389999999999993</v>
      </c>
    </row>
    <row r="120" spans="1:15" x14ac:dyDescent="0.25">
      <c r="A120" s="101" t="str">
        <f>'Data Vlaue (Cr)'!C115</f>
        <v>KOTAKBANK</v>
      </c>
      <c r="B120" s="50">
        <f>VLOOKUP($A120,'Data Vlaue (Cr)'!$C:$FB,8)</f>
        <v>2146</v>
      </c>
      <c r="C120" s="50">
        <f>VLOOKUP($A120,'Data Vlaue (Cr)'!$C:$FB,11)*100</f>
        <v>2.17</v>
      </c>
      <c r="D120" s="50">
        <f>VLOOKUP($A120,'Data Vlaue (Cr)'!$C:$FB,143)</f>
        <v>14877.35</v>
      </c>
      <c r="E120" s="50">
        <f>VLOOKUP($A120,'Data Vlaue (Cr)'!$C:$FB,144)</f>
        <v>11636.44</v>
      </c>
      <c r="F120" s="50">
        <f>VLOOKUP($A120,'Data Vlaue (Cr)'!$C:$FB,146)*100</f>
        <v>27.85</v>
      </c>
      <c r="G120" s="49">
        <f>VLOOKUP($A120,'Data Vlaue (Cr)'!$C:$FB,43)</f>
        <v>2459</v>
      </c>
      <c r="H120" s="49">
        <f>VLOOKUP($A120,'Data Vlaue (Cr)'!$C:$FB,44)</f>
        <v>1742</v>
      </c>
      <c r="I120" s="49">
        <f>VLOOKUP($A120,'Data Vlaue (Cr)'!$C:$FB,46)*100</f>
        <v>41.120000000000005</v>
      </c>
      <c r="J120" s="51">
        <f>VLOOKUP($A120,'Data Vlaue (Cr)'!$C:$FB,59)</f>
        <v>7757</v>
      </c>
      <c r="K120" s="51">
        <f>VLOOKUP($A120,'Data Vlaue (Cr)'!$C:$FB,60)</f>
        <v>6437</v>
      </c>
      <c r="L120" s="51">
        <f>VLOOKUP($A120,'Data Vlaue (Cr)'!$C:$FB,62)*100</f>
        <v>20.52</v>
      </c>
      <c r="M120" s="51">
        <f>VLOOKUP($A120,'Data Vlaue (Cr)'!$C:$FB,63)</f>
        <v>4603</v>
      </c>
      <c r="N120" s="51">
        <f>VLOOKUP($A120,'Data Vlaue (Cr)'!$C:$FB,64)</f>
        <v>3594</v>
      </c>
      <c r="O120" s="51">
        <f>VLOOKUP($A120,'Data Vlaue (Cr)'!$C:$FB,66)*100</f>
        <v>28.07</v>
      </c>
    </row>
    <row r="121" spans="1:15" x14ac:dyDescent="0.25">
      <c r="A121" s="101" t="str">
        <f>'Data Vlaue (Cr)'!C116</f>
        <v>KPITTECH</v>
      </c>
      <c r="B121" s="50">
        <f>VLOOKUP($A121,'Data Vlaue (Cr)'!$C:$FB,8)</f>
        <v>1156.7</v>
      </c>
      <c r="C121" s="50">
        <f>VLOOKUP($A121,'Data Vlaue (Cr)'!$C:$FB,11)*100</f>
        <v>-0.09</v>
      </c>
      <c r="D121" s="50">
        <f>VLOOKUP($A121,'Data Vlaue (Cr)'!$C:$FB,143)</f>
        <v>735.93</v>
      </c>
      <c r="E121" s="50">
        <f>VLOOKUP($A121,'Data Vlaue (Cr)'!$C:$FB,144)</f>
        <v>422.96</v>
      </c>
      <c r="F121" s="50">
        <f>VLOOKUP($A121,'Data Vlaue (Cr)'!$C:$FB,146)*100</f>
        <v>74</v>
      </c>
      <c r="G121" s="49">
        <f>VLOOKUP($A121,'Data Vlaue (Cr)'!$C:$FB,43)</f>
        <v>110</v>
      </c>
      <c r="H121" s="49">
        <f>VLOOKUP($A121,'Data Vlaue (Cr)'!$C:$FB,44)</f>
        <v>110</v>
      </c>
      <c r="I121" s="49">
        <f>VLOOKUP($A121,'Data Vlaue (Cr)'!$C:$FB,46)*100</f>
        <v>-0.21</v>
      </c>
      <c r="J121" s="51">
        <f>VLOOKUP($A121,'Data Vlaue (Cr)'!$C:$FB,59)</f>
        <v>349</v>
      </c>
      <c r="K121" s="51">
        <f>VLOOKUP($A121,'Data Vlaue (Cr)'!$C:$FB,60)</f>
        <v>203</v>
      </c>
      <c r="L121" s="51">
        <f>VLOOKUP($A121,'Data Vlaue (Cr)'!$C:$FB,62)*100</f>
        <v>71.63000000000001</v>
      </c>
      <c r="M121" s="51">
        <f>VLOOKUP($A121,'Data Vlaue (Cr)'!$C:$FB,63)</f>
        <v>257</v>
      </c>
      <c r="N121" s="51">
        <f>VLOOKUP($A121,'Data Vlaue (Cr)'!$C:$FB,64)</f>
        <v>105</v>
      </c>
      <c r="O121" s="51">
        <f>VLOOKUP($A121,'Data Vlaue (Cr)'!$C:$FB,66)*100</f>
        <v>144.01999999999998</v>
      </c>
    </row>
    <row r="122" spans="1:15" x14ac:dyDescent="0.25">
      <c r="A122" s="101" t="str">
        <f>'Data Vlaue (Cr)'!C117</f>
        <v>LAURUSLABS</v>
      </c>
      <c r="B122" s="50">
        <f>VLOOKUP($A122,'Data Vlaue (Cr)'!$C:$FB,8)</f>
        <v>863</v>
      </c>
      <c r="C122" s="50">
        <f>VLOOKUP($A122,'Data Vlaue (Cr)'!$C:$FB,11)*100</f>
        <v>-0.16</v>
      </c>
      <c r="D122" s="50">
        <f>VLOOKUP($A122,'Data Vlaue (Cr)'!$C:$FB,143)</f>
        <v>1190.18</v>
      </c>
      <c r="E122" s="50">
        <f>VLOOKUP($A122,'Data Vlaue (Cr)'!$C:$FB,144)</f>
        <v>1747.99</v>
      </c>
      <c r="F122" s="50">
        <f>VLOOKUP($A122,'Data Vlaue (Cr)'!$C:$FB,146)*100</f>
        <v>-31.91</v>
      </c>
      <c r="G122" s="49">
        <f>VLOOKUP($A122,'Data Vlaue (Cr)'!$C:$FB,43)</f>
        <v>229</v>
      </c>
      <c r="H122" s="49">
        <f>VLOOKUP($A122,'Data Vlaue (Cr)'!$C:$FB,44)</f>
        <v>394</v>
      </c>
      <c r="I122" s="49">
        <f>VLOOKUP($A122,'Data Vlaue (Cr)'!$C:$FB,46)*100</f>
        <v>-41.75</v>
      </c>
      <c r="J122" s="51">
        <f>VLOOKUP($A122,'Data Vlaue (Cr)'!$C:$FB,59)</f>
        <v>644</v>
      </c>
      <c r="K122" s="51">
        <f>VLOOKUP($A122,'Data Vlaue (Cr)'!$C:$FB,60)</f>
        <v>845</v>
      </c>
      <c r="L122" s="51">
        <f>VLOOKUP($A122,'Data Vlaue (Cr)'!$C:$FB,62)*100</f>
        <v>-23.86</v>
      </c>
      <c r="M122" s="51">
        <f>VLOOKUP($A122,'Data Vlaue (Cr)'!$C:$FB,63)</f>
        <v>283</v>
      </c>
      <c r="N122" s="51">
        <f>VLOOKUP($A122,'Data Vlaue (Cr)'!$C:$FB,64)</f>
        <v>449</v>
      </c>
      <c r="O122" s="51">
        <f>VLOOKUP($A122,'Data Vlaue (Cr)'!$C:$FB,66)*100</f>
        <v>-37.119999999999997</v>
      </c>
    </row>
    <row r="123" spans="1:15" x14ac:dyDescent="0.25">
      <c r="A123" s="101" t="str">
        <f>'Data Vlaue (Cr)'!C118</f>
        <v>LICHSGFIN</v>
      </c>
      <c r="B123" s="50">
        <f>VLOOKUP($A123,'Data Vlaue (Cr)'!$C:$FB,8)</f>
        <v>576.85</v>
      </c>
      <c r="C123" s="50">
        <f>VLOOKUP($A123,'Data Vlaue (Cr)'!$C:$FB,11)*100</f>
        <v>-0.27999999999999997</v>
      </c>
      <c r="D123" s="50">
        <f>VLOOKUP($A123,'Data Vlaue (Cr)'!$C:$FB,143)</f>
        <v>366.61</v>
      </c>
      <c r="E123" s="50">
        <f>VLOOKUP($A123,'Data Vlaue (Cr)'!$C:$FB,144)</f>
        <v>513.27</v>
      </c>
      <c r="F123" s="50">
        <f>VLOOKUP($A123,'Data Vlaue (Cr)'!$C:$FB,146)*100</f>
        <v>-28.57</v>
      </c>
      <c r="G123" s="49">
        <f>VLOOKUP($A123,'Data Vlaue (Cr)'!$C:$FB,43)</f>
        <v>113</v>
      </c>
      <c r="H123" s="49">
        <f>VLOOKUP($A123,'Data Vlaue (Cr)'!$C:$FB,44)</f>
        <v>154</v>
      </c>
      <c r="I123" s="49">
        <f>VLOOKUP($A123,'Data Vlaue (Cr)'!$C:$FB,46)*100</f>
        <v>-26.419999999999998</v>
      </c>
      <c r="J123" s="51">
        <f>VLOOKUP($A123,'Data Vlaue (Cr)'!$C:$FB,59)</f>
        <v>199</v>
      </c>
      <c r="K123" s="51">
        <f>VLOOKUP($A123,'Data Vlaue (Cr)'!$C:$FB,60)</f>
        <v>267</v>
      </c>
      <c r="L123" s="51">
        <f>VLOOKUP($A123,'Data Vlaue (Cr)'!$C:$FB,62)*100</f>
        <v>-25.45</v>
      </c>
      <c r="M123" s="51">
        <f>VLOOKUP($A123,'Data Vlaue (Cr)'!$C:$FB,63)</f>
        <v>48</v>
      </c>
      <c r="N123" s="51">
        <f>VLOOKUP($A123,'Data Vlaue (Cr)'!$C:$FB,64)</f>
        <v>83</v>
      </c>
      <c r="O123" s="51">
        <f>VLOOKUP($A123,'Data Vlaue (Cr)'!$C:$FB,66)*100</f>
        <v>-41.85</v>
      </c>
    </row>
    <row r="124" spans="1:15" x14ac:dyDescent="0.25">
      <c r="A124" s="101" t="str">
        <f>'Data Vlaue (Cr)'!C119</f>
        <v>LICI</v>
      </c>
      <c r="B124" s="50">
        <f>VLOOKUP($A124,'Data Vlaue (Cr)'!$C:$FB,8)</f>
        <v>907.15</v>
      </c>
      <c r="C124" s="50">
        <f>VLOOKUP($A124,'Data Vlaue (Cr)'!$C:$FB,11)*100</f>
        <v>0.21</v>
      </c>
      <c r="D124" s="50">
        <f>VLOOKUP($A124,'Data Vlaue (Cr)'!$C:$FB,143)</f>
        <v>384.59</v>
      </c>
      <c r="E124" s="50">
        <f>VLOOKUP($A124,'Data Vlaue (Cr)'!$C:$FB,144)</f>
        <v>470.61</v>
      </c>
      <c r="F124" s="50">
        <f>VLOOKUP($A124,'Data Vlaue (Cr)'!$C:$FB,146)*100</f>
        <v>-18.279999999999998</v>
      </c>
      <c r="G124" s="49">
        <f>VLOOKUP($A124,'Data Vlaue (Cr)'!$C:$FB,43)</f>
        <v>111</v>
      </c>
      <c r="H124" s="49">
        <f>VLOOKUP($A124,'Data Vlaue (Cr)'!$C:$FB,44)</f>
        <v>107</v>
      </c>
      <c r="I124" s="49">
        <f>VLOOKUP($A124,'Data Vlaue (Cr)'!$C:$FB,46)*100</f>
        <v>3.88</v>
      </c>
      <c r="J124" s="51">
        <f>VLOOKUP($A124,'Data Vlaue (Cr)'!$C:$FB,59)</f>
        <v>208</v>
      </c>
      <c r="K124" s="51">
        <f>VLOOKUP($A124,'Data Vlaue (Cr)'!$C:$FB,60)</f>
        <v>272</v>
      </c>
      <c r="L124" s="51">
        <f>VLOOKUP($A124,'Data Vlaue (Cr)'!$C:$FB,62)*100</f>
        <v>-23.48</v>
      </c>
      <c r="M124" s="51">
        <f>VLOOKUP($A124,'Data Vlaue (Cr)'!$C:$FB,63)</f>
        <v>59</v>
      </c>
      <c r="N124" s="51">
        <f>VLOOKUP($A124,'Data Vlaue (Cr)'!$C:$FB,64)</f>
        <v>80</v>
      </c>
      <c r="O124" s="51">
        <f>VLOOKUP($A124,'Data Vlaue (Cr)'!$C:$FB,66)*100</f>
        <v>-26.52</v>
      </c>
    </row>
    <row r="125" spans="1:15" x14ac:dyDescent="0.25">
      <c r="A125" s="101" t="str">
        <f>'Data Vlaue (Cr)'!C120</f>
        <v>LODHA</v>
      </c>
      <c r="B125" s="50">
        <f>VLOOKUP($A125,'Data Vlaue (Cr)'!$C:$FB,8)</f>
        <v>1115.0999999999999</v>
      </c>
      <c r="C125" s="50">
        <f>VLOOKUP($A125,'Data Vlaue (Cr)'!$C:$FB,11)*100</f>
        <v>0.19</v>
      </c>
      <c r="D125" s="50">
        <f>VLOOKUP($A125,'Data Vlaue (Cr)'!$C:$FB,143)</f>
        <v>753.49</v>
      </c>
      <c r="E125" s="50">
        <f>VLOOKUP($A125,'Data Vlaue (Cr)'!$C:$FB,144)</f>
        <v>792.29</v>
      </c>
      <c r="F125" s="50">
        <f>VLOOKUP($A125,'Data Vlaue (Cr)'!$C:$FB,146)*100</f>
        <v>-4.9000000000000004</v>
      </c>
      <c r="G125" s="49">
        <f>VLOOKUP($A125,'Data Vlaue (Cr)'!$C:$FB,43)</f>
        <v>175</v>
      </c>
      <c r="H125" s="49">
        <f>VLOOKUP($A125,'Data Vlaue (Cr)'!$C:$FB,44)</f>
        <v>212</v>
      </c>
      <c r="I125" s="49">
        <f>VLOOKUP($A125,'Data Vlaue (Cr)'!$C:$FB,46)*100</f>
        <v>-17.68</v>
      </c>
      <c r="J125" s="51">
        <f>VLOOKUP($A125,'Data Vlaue (Cr)'!$C:$FB,59)</f>
        <v>432</v>
      </c>
      <c r="K125" s="51">
        <f>VLOOKUP($A125,'Data Vlaue (Cr)'!$C:$FB,60)</f>
        <v>381</v>
      </c>
      <c r="L125" s="51">
        <f>VLOOKUP($A125,'Data Vlaue (Cr)'!$C:$FB,62)*100</f>
        <v>13.270000000000001</v>
      </c>
      <c r="M125" s="51">
        <f>VLOOKUP($A125,'Data Vlaue (Cr)'!$C:$FB,63)</f>
        <v>119</v>
      </c>
      <c r="N125" s="51">
        <f>VLOOKUP($A125,'Data Vlaue (Cr)'!$C:$FB,64)</f>
        <v>171</v>
      </c>
      <c r="O125" s="51">
        <f>VLOOKUP($A125,'Data Vlaue (Cr)'!$C:$FB,66)*100</f>
        <v>-30.42</v>
      </c>
    </row>
    <row r="126" spans="1:15" x14ac:dyDescent="0.25">
      <c r="A126" s="101" t="str">
        <f>'Data Vlaue (Cr)'!C121</f>
        <v>LT</v>
      </c>
      <c r="B126" s="50">
        <f>VLOOKUP($A126,'Data Vlaue (Cr)'!$C:$FB,8)</f>
        <v>3737</v>
      </c>
      <c r="C126" s="50">
        <f>VLOOKUP($A126,'Data Vlaue (Cr)'!$C:$FB,11)*100</f>
        <v>0.1</v>
      </c>
      <c r="D126" s="50">
        <f>VLOOKUP($A126,'Data Vlaue (Cr)'!$C:$FB,143)</f>
        <v>5849.04</v>
      </c>
      <c r="E126" s="50">
        <f>VLOOKUP($A126,'Data Vlaue (Cr)'!$C:$FB,144)</f>
        <v>5290.83</v>
      </c>
      <c r="F126" s="50">
        <f>VLOOKUP($A126,'Data Vlaue (Cr)'!$C:$FB,146)*100</f>
        <v>10.549999999999999</v>
      </c>
      <c r="G126" s="49">
        <f>VLOOKUP($A126,'Data Vlaue (Cr)'!$C:$FB,43)</f>
        <v>672</v>
      </c>
      <c r="H126" s="49">
        <f>VLOOKUP($A126,'Data Vlaue (Cr)'!$C:$FB,44)</f>
        <v>948</v>
      </c>
      <c r="I126" s="49">
        <f>VLOOKUP($A126,'Data Vlaue (Cr)'!$C:$FB,46)*100</f>
        <v>-29.080000000000002</v>
      </c>
      <c r="J126" s="51">
        <f>VLOOKUP($A126,'Data Vlaue (Cr)'!$C:$FB,59)</f>
        <v>3944</v>
      </c>
      <c r="K126" s="51">
        <f>VLOOKUP($A126,'Data Vlaue (Cr)'!$C:$FB,60)</f>
        <v>3169</v>
      </c>
      <c r="L126" s="51">
        <f>VLOOKUP($A126,'Data Vlaue (Cr)'!$C:$FB,62)*100</f>
        <v>24.45</v>
      </c>
      <c r="M126" s="51">
        <f>VLOOKUP($A126,'Data Vlaue (Cr)'!$C:$FB,63)</f>
        <v>1105</v>
      </c>
      <c r="N126" s="51">
        <f>VLOOKUP($A126,'Data Vlaue (Cr)'!$C:$FB,64)</f>
        <v>1125</v>
      </c>
      <c r="O126" s="51">
        <f>VLOOKUP($A126,'Data Vlaue (Cr)'!$C:$FB,66)*100</f>
        <v>-1.82</v>
      </c>
    </row>
    <row r="127" spans="1:15" x14ac:dyDescent="0.25">
      <c r="A127" s="101" t="str">
        <f>'Data Vlaue (Cr)'!C122</f>
        <v>LTF</v>
      </c>
      <c r="B127" s="50">
        <f>VLOOKUP($A127,'Data Vlaue (Cr)'!$C:$FB,8)</f>
        <v>259.87</v>
      </c>
      <c r="C127" s="50">
        <f>VLOOKUP($A127,'Data Vlaue (Cr)'!$C:$FB,11)*100</f>
        <v>-0.94000000000000006</v>
      </c>
      <c r="D127" s="50">
        <f>VLOOKUP($A127,'Data Vlaue (Cr)'!$C:$FB,143)</f>
        <v>2907.33</v>
      </c>
      <c r="E127" s="50">
        <f>VLOOKUP($A127,'Data Vlaue (Cr)'!$C:$FB,144)</f>
        <v>2415.61</v>
      </c>
      <c r="F127" s="50">
        <f>VLOOKUP($A127,'Data Vlaue (Cr)'!$C:$FB,146)*100</f>
        <v>20.36</v>
      </c>
      <c r="G127" s="49">
        <f>VLOOKUP($A127,'Data Vlaue (Cr)'!$C:$FB,43)</f>
        <v>733</v>
      </c>
      <c r="H127" s="49">
        <f>VLOOKUP($A127,'Data Vlaue (Cr)'!$C:$FB,44)</f>
        <v>507</v>
      </c>
      <c r="I127" s="49">
        <f>VLOOKUP($A127,'Data Vlaue (Cr)'!$C:$FB,46)*100</f>
        <v>44.440000000000005</v>
      </c>
      <c r="J127" s="51">
        <f>VLOOKUP($A127,'Data Vlaue (Cr)'!$C:$FB,59)</f>
        <v>1393</v>
      </c>
      <c r="K127" s="51">
        <f>VLOOKUP($A127,'Data Vlaue (Cr)'!$C:$FB,60)</f>
        <v>1226</v>
      </c>
      <c r="L127" s="51">
        <f>VLOOKUP($A127,'Data Vlaue (Cr)'!$C:$FB,62)*100</f>
        <v>13.56</v>
      </c>
      <c r="M127" s="51">
        <f>VLOOKUP($A127,'Data Vlaue (Cr)'!$C:$FB,63)</f>
        <v>768</v>
      </c>
      <c r="N127" s="51">
        <f>VLOOKUP($A127,'Data Vlaue (Cr)'!$C:$FB,64)</f>
        <v>644</v>
      </c>
      <c r="O127" s="51">
        <f>VLOOKUP($A127,'Data Vlaue (Cr)'!$C:$FB,66)*100</f>
        <v>19.25</v>
      </c>
    </row>
    <row r="128" spans="1:15" x14ac:dyDescent="0.25">
      <c r="A128" s="101" t="str">
        <f>'Data Vlaue (Cr)'!C123</f>
        <v>LTIM</v>
      </c>
      <c r="B128" s="50">
        <f>VLOOKUP($A128,'Data Vlaue (Cr)'!$C:$FB,8)</f>
        <v>5274</v>
      </c>
      <c r="C128" s="50">
        <f>VLOOKUP($A128,'Data Vlaue (Cr)'!$C:$FB,11)*100</f>
        <v>3.01</v>
      </c>
      <c r="D128" s="50">
        <f>VLOOKUP($A128,'Data Vlaue (Cr)'!$C:$FB,143)</f>
        <v>1887.3</v>
      </c>
      <c r="E128" s="50">
        <f>VLOOKUP($A128,'Data Vlaue (Cr)'!$C:$FB,144)</f>
        <v>646.02</v>
      </c>
      <c r="F128" s="50">
        <f>VLOOKUP($A128,'Data Vlaue (Cr)'!$C:$FB,146)*100</f>
        <v>192.14</v>
      </c>
      <c r="G128" s="49">
        <f>VLOOKUP($A128,'Data Vlaue (Cr)'!$C:$FB,43)</f>
        <v>287</v>
      </c>
      <c r="H128" s="49">
        <f>VLOOKUP($A128,'Data Vlaue (Cr)'!$C:$FB,44)</f>
        <v>165</v>
      </c>
      <c r="I128" s="49">
        <f>VLOOKUP($A128,'Data Vlaue (Cr)'!$C:$FB,46)*100</f>
        <v>74.52</v>
      </c>
      <c r="J128" s="51">
        <f>VLOOKUP($A128,'Data Vlaue (Cr)'!$C:$FB,59)</f>
        <v>1264</v>
      </c>
      <c r="K128" s="51">
        <f>VLOOKUP($A128,'Data Vlaue (Cr)'!$C:$FB,60)</f>
        <v>349</v>
      </c>
      <c r="L128" s="51">
        <f>VLOOKUP($A128,'Data Vlaue (Cr)'!$C:$FB,62)*100</f>
        <v>261.85999999999996</v>
      </c>
      <c r="M128" s="51">
        <f>VLOOKUP($A128,'Data Vlaue (Cr)'!$C:$FB,63)</f>
        <v>292</v>
      </c>
      <c r="N128" s="51">
        <f>VLOOKUP($A128,'Data Vlaue (Cr)'!$C:$FB,64)</f>
        <v>126</v>
      </c>
      <c r="O128" s="51">
        <f>VLOOKUP($A128,'Data Vlaue (Cr)'!$C:$FB,66)*100</f>
        <v>131.75</v>
      </c>
    </row>
    <row r="129" spans="1:15" x14ac:dyDescent="0.25">
      <c r="A129" s="101" t="str">
        <f>'Data Vlaue (Cr)'!C124</f>
        <v>LUPIN</v>
      </c>
      <c r="B129" s="50">
        <f>VLOOKUP($A129,'Data Vlaue (Cr)'!$C:$FB,8)</f>
        <v>1937.3</v>
      </c>
      <c r="C129" s="50">
        <f>VLOOKUP($A129,'Data Vlaue (Cr)'!$C:$FB,11)*100</f>
        <v>-1.8399999999999999</v>
      </c>
      <c r="D129" s="50">
        <f>VLOOKUP($A129,'Data Vlaue (Cr)'!$C:$FB,143)</f>
        <v>1784.61</v>
      </c>
      <c r="E129" s="50">
        <f>VLOOKUP($A129,'Data Vlaue (Cr)'!$C:$FB,144)</f>
        <v>989.43</v>
      </c>
      <c r="F129" s="50">
        <f>VLOOKUP($A129,'Data Vlaue (Cr)'!$C:$FB,146)*100</f>
        <v>80.36999999999999</v>
      </c>
      <c r="G129" s="49">
        <f>VLOOKUP($A129,'Data Vlaue (Cr)'!$C:$FB,43)</f>
        <v>316</v>
      </c>
      <c r="H129" s="49">
        <f>VLOOKUP($A129,'Data Vlaue (Cr)'!$C:$FB,44)</f>
        <v>177</v>
      </c>
      <c r="I129" s="49">
        <f>VLOOKUP($A129,'Data Vlaue (Cr)'!$C:$FB,46)*100</f>
        <v>78.59</v>
      </c>
      <c r="J129" s="51">
        <f>VLOOKUP($A129,'Data Vlaue (Cr)'!$C:$FB,59)</f>
        <v>874</v>
      </c>
      <c r="K129" s="51">
        <f>VLOOKUP($A129,'Data Vlaue (Cr)'!$C:$FB,60)</f>
        <v>486</v>
      </c>
      <c r="L129" s="51">
        <f>VLOOKUP($A129,'Data Vlaue (Cr)'!$C:$FB,62)*100</f>
        <v>79.72</v>
      </c>
      <c r="M129" s="51">
        <f>VLOOKUP($A129,'Data Vlaue (Cr)'!$C:$FB,63)</f>
        <v>555</v>
      </c>
      <c r="N129" s="51">
        <f>VLOOKUP($A129,'Data Vlaue (Cr)'!$C:$FB,64)</f>
        <v>289</v>
      </c>
      <c r="O129" s="51">
        <f>VLOOKUP($A129,'Data Vlaue (Cr)'!$C:$FB,66)*100</f>
        <v>92.22</v>
      </c>
    </row>
    <row r="130" spans="1:15" x14ac:dyDescent="0.25">
      <c r="A130" s="101" t="str">
        <f>'Data Vlaue (Cr)'!C125</f>
        <v>M&amp;M</v>
      </c>
      <c r="B130" s="50">
        <f>VLOOKUP($A130,'Data Vlaue (Cr)'!$C:$FB,8)</f>
        <v>3472</v>
      </c>
      <c r="C130" s="50">
        <f>VLOOKUP($A130,'Data Vlaue (Cr)'!$C:$FB,11)*100</f>
        <v>0.28999999999999998</v>
      </c>
      <c r="D130" s="50">
        <f>VLOOKUP($A130,'Data Vlaue (Cr)'!$C:$FB,143)</f>
        <v>2875.4</v>
      </c>
      <c r="E130" s="50">
        <f>VLOOKUP($A130,'Data Vlaue (Cr)'!$C:$FB,144)</f>
        <v>4667.7299999999996</v>
      </c>
      <c r="F130" s="50">
        <f>VLOOKUP($A130,'Data Vlaue (Cr)'!$C:$FB,146)*100</f>
        <v>-38.4</v>
      </c>
      <c r="G130" s="49">
        <f>VLOOKUP($A130,'Data Vlaue (Cr)'!$C:$FB,43)</f>
        <v>453</v>
      </c>
      <c r="H130" s="49">
        <f>VLOOKUP($A130,'Data Vlaue (Cr)'!$C:$FB,44)</f>
        <v>1144</v>
      </c>
      <c r="I130" s="49">
        <f>VLOOKUP($A130,'Data Vlaue (Cr)'!$C:$FB,46)*100</f>
        <v>-60.41</v>
      </c>
      <c r="J130" s="51">
        <f>VLOOKUP($A130,'Data Vlaue (Cr)'!$C:$FB,59)</f>
        <v>1673</v>
      </c>
      <c r="K130" s="51">
        <f>VLOOKUP($A130,'Data Vlaue (Cr)'!$C:$FB,60)</f>
        <v>2219</v>
      </c>
      <c r="L130" s="51">
        <f>VLOOKUP($A130,'Data Vlaue (Cr)'!$C:$FB,62)*100</f>
        <v>-24.63</v>
      </c>
      <c r="M130" s="51">
        <f>VLOOKUP($A130,'Data Vlaue (Cr)'!$C:$FB,63)</f>
        <v>700</v>
      </c>
      <c r="N130" s="51">
        <f>VLOOKUP($A130,'Data Vlaue (Cr)'!$C:$FB,64)</f>
        <v>1254</v>
      </c>
      <c r="O130" s="51">
        <f>VLOOKUP($A130,'Data Vlaue (Cr)'!$C:$FB,66)*100</f>
        <v>-44.14</v>
      </c>
    </row>
    <row r="131" spans="1:15" x14ac:dyDescent="0.25">
      <c r="A131" s="101" t="str">
        <f>'Data Vlaue (Cr)'!C126</f>
        <v>MANAPPURAM</v>
      </c>
      <c r="B131" s="50">
        <f>VLOOKUP($A131,'Data Vlaue (Cr)'!$C:$FB,8)</f>
        <v>290.75</v>
      </c>
      <c r="C131" s="50">
        <f>VLOOKUP($A131,'Data Vlaue (Cr)'!$C:$FB,11)*100</f>
        <v>1.59</v>
      </c>
      <c r="D131" s="50">
        <f>VLOOKUP($A131,'Data Vlaue (Cr)'!$C:$FB,143)</f>
        <v>910.09</v>
      </c>
      <c r="E131" s="50">
        <f>VLOOKUP($A131,'Data Vlaue (Cr)'!$C:$FB,144)</f>
        <v>378.66</v>
      </c>
      <c r="F131" s="50">
        <f>VLOOKUP($A131,'Data Vlaue (Cr)'!$C:$FB,146)*100</f>
        <v>140.34</v>
      </c>
      <c r="G131" s="49">
        <f>VLOOKUP($A131,'Data Vlaue (Cr)'!$C:$FB,43)</f>
        <v>181</v>
      </c>
      <c r="H131" s="49">
        <f>VLOOKUP($A131,'Data Vlaue (Cr)'!$C:$FB,44)</f>
        <v>92</v>
      </c>
      <c r="I131" s="49">
        <f>VLOOKUP($A131,'Data Vlaue (Cr)'!$C:$FB,46)*100</f>
        <v>97.03</v>
      </c>
      <c r="J131" s="51">
        <f>VLOOKUP($A131,'Data Vlaue (Cr)'!$C:$FB,59)</f>
        <v>544</v>
      </c>
      <c r="K131" s="51">
        <f>VLOOKUP($A131,'Data Vlaue (Cr)'!$C:$FB,60)</f>
        <v>214</v>
      </c>
      <c r="L131" s="51">
        <f>VLOOKUP($A131,'Data Vlaue (Cr)'!$C:$FB,62)*100</f>
        <v>154.28</v>
      </c>
      <c r="M131" s="51">
        <f>VLOOKUP($A131,'Data Vlaue (Cr)'!$C:$FB,63)</f>
        <v>166</v>
      </c>
      <c r="N131" s="51">
        <f>VLOOKUP($A131,'Data Vlaue (Cr)'!$C:$FB,64)</f>
        <v>72</v>
      </c>
      <c r="O131" s="51">
        <f>VLOOKUP($A131,'Data Vlaue (Cr)'!$C:$FB,66)*100</f>
        <v>132.02000000000001</v>
      </c>
    </row>
    <row r="132" spans="1:15" x14ac:dyDescent="0.25">
      <c r="A132" s="101" t="str">
        <f>'Data Vlaue (Cr)'!C127</f>
        <v>MANKIND</v>
      </c>
      <c r="B132" s="50">
        <f>VLOOKUP($A132,'Data Vlaue (Cr)'!$C:$FB,8)</f>
        <v>2456.3000000000002</v>
      </c>
      <c r="C132" s="50">
        <f>VLOOKUP($A132,'Data Vlaue (Cr)'!$C:$FB,11)*100</f>
        <v>0.33999999999999997</v>
      </c>
      <c r="D132" s="50">
        <f>VLOOKUP($A132,'Data Vlaue (Cr)'!$C:$FB,143)</f>
        <v>247.61</v>
      </c>
      <c r="E132" s="50">
        <f>VLOOKUP($A132,'Data Vlaue (Cr)'!$C:$FB,144)</f>
        <v>238.32</v>
      </c>
      <c r="F132" s="50">
        <f>VLOOKUP($A132,'Data Vlaue (Cr)'!$C:$FB,146)*100</f>
        <v>3.9</v>
      </c>
      <c r="G132" s="49">
        <f>VLOOKUP($A132,'Data Vlaue (Cr)'!$C:$FB,43)</f>
        <v>85</v>
      </c>
      <c r="H132" s="49">
        <f>VLOOKUP($A132,'Data Vlaue (Cr)'!$C:$FB,44)</f>
        <v>99</v>
      </c>
      <c r="I132" s="49">
        <f>VLOOKUP($A132,'Data Vlaue (Cr)'!$C:$FB,46)*100</f>
        <v>-14.49</v>
      </c>
      <c r="J132" s="51">
        <f>VLOOKUP($A132,'Data Vlaue (Cr)'!$C:$FB,59)</f>
        <v>105</v>
      </c>
      <c r="K132" s="51">
        <f>VLOOKUP($A132,'Data Vlaue (Cr)'!$C:$FB,60)</f>
        <v>86</v>
      </c>
      <c r="L132" s="51">
        <f>VLOOKUP($A132,'Data Vlaue (Cr)'!$C:$FB,62)*100</f>
        <v>21.91</v>
      </c>
      <c r="M132" s="51">
        <f>VLOOKUP($A132,'Data Vlaue (Cr)'!$C:$FB,63)</f>
        <v>55</v>
      </c>
      <c r="N132" s="51">
        <f>VLOOKUP($A132,'Data Vlaue (Cr)'!$C:$FB,64)</f>
        <v>50</v>
      </c>
      <c r="O132" s="51">
        <f>VLOOKUP($A132,'Data Vlaue (Cr)'!$C:$FB,66)*100</f>
        <v>10.69</v>
      </c>
    </row>
    <row r="133" spans="1:15" x14ac:dyDescent="0.25">
      <c r="A133" s="101" t="str">
        <f>'Data Vlaue (Cr)'!C128</f>
        <v>MARICO</v>
      </c>
      <c r="B133" s="50">
        <f>VLOOKUP($A133,'Data Vlaue (Cr)'!$C:$FB,8)</f>
        <v>715.55</v>
      </c>
      <c r="C133" s="50">
        <f>VLOOKUP($A133,'Data Vlaue (Cr)'!$C:$FB,11)*100</f>
        <v>0.65</v>
      </c>
      <c r="D133" s="50">
        <f>VLOOKUP($A133,'Data Vlaue (Cr)'!$C:$FB,143)</f>
        <v>908.95</v>
      </c>
      <c r="E133" s="50">
        <f>VLOOKUP($A133,'Data Vlaue (Cr)'!$C:$FB,144)</f>
        <v>603.88</v>
      </c>
      <c r="F133" s="50">
        <f>VLOOKUP($A133,'Data Vlaue (Cr)'!$C:$FB,146)*100</f>
        <v>50.519999999999996</v>
      </c>
      <c r="G133" s="49">
        <f>VLOOKUP($A133,'Data Vlaue (Cr)'!$C:$FB,43)</f>
        <v>213</v>
      </c>
      <c r="H133" s="49">
        <f>VLOOKUP($A133,'Data Vlaue (Cr)'!$C:$FB,44)</f>
        <v>169</v>
      </c>
      <c r="I133" s="49">
        <f>VLOOKUP($A133,'Data Vlaue (Cr)'!$C:$FB,46)*100</f>
        <v>26.119999999999997</v>
      </c>
      <c r="J133" s="51">
        <f>VLOOKUP($A133,'Data Vlaue (Cr)'!$C:$FB,59)</f>
        <v>451</v>
      </c>
      <c r="K133" s="51">
        <f>VLOOKUP($A133,'Data Vlaue (Cr)'!$C:$FB,60)</f>
        <v>308</v>
      </c>
      <c r="L133" s="51">
        <f>VLOOKUP($A133,'Data Vlaue (Cr)'!$C:$FB,62)*100</f>
        <v>46.39</v>
      </c>
      <c r="M133" s="51">
        <f>VLOOKUP($A133,'Data Vlaue (Cr)'!$C:$FB,63)</f>
        <v>239</v>
      </c>
      <c r="N133" s="51">
        <f>VLOOKUP($A133,'Data Vlaue (Cr)'!$C:$FB,64)</f>
        <v>123</v>
      </c>
      <c r="O133" s="51">
        <f>VLOOKUP($A133,'Data Vlaue (Cr)'!$C:$FB,66)*100</f>
        <v>94.05</v>
      </c>
    </row>
    <row r="134" spans="1:15" x14ac:dyDescent="0.25">
      <c r="A134" s="101" t="str">
        <f>'Data Vlaue (Cr)'!C129</f>
        <v>MARUTI</v>
      </c>
      <c r="B134" s="50">
        <f>VLOOKUP($A134,'Data Vlaue (Cr)'!$C:$FB,8)</f>
        <v>15998</v>
      </c>
      <c r="C134" s="50">
        <f>VLOOKUP($A134,'Data Vlaue (Cr)'!$C:$FB,11)*100</f>
        <v>1.21</v>
      </c>
      <c r="D134" s="50">
        <f>VLOOKUP($A134,'Data Vlaue (Cr)'!$C:$FB,143)</f>
        <v>12140.81</v>
      </c>
      <c r="E134" s="50">
        <f>VLOOKUP($A134,'Data Vlaue (Cr)'!$C:$FB,144)</f>
        <v>12750.61</v>
      </c>
      <c r="F134" s="50">
        <f>VLOOKUP($A134,'Data Vlaue (Cr)'!$C:$FB,146)*100</f>
        <v>-4.78</v>
      </c>
      <c r="G134" s="49">
        <f>VLOOKUP($A134,'Data Vlaue (Cr)'!$C:$FB,43)</f>
        <v>900</v>
      </c>
      <c r="H134" s="49">
        <f>VLOOKUP($A134,'Data Vlaue (Cr)'!$C:$FB,44)</f>
        <v>1309</v>
      </c>
      <c r="I134" s="49">
        <f>VLOOKUP($A134,'Data Vlaue (Cr)'!$C:$FB,46)*100</f>
        <v>-31.22</v>
      </c>
      <c r="J134" s="51">
        <f>VLOOKUP($A134,'Data Vlaue (Cr)'!$C:$FB,59)</f>
        <v>7720</v>
      </c>
      <c r="K134" s="51">
        <f>VLOOKUP($A134,'Data Vlaue (Cr)'!$C:$FB,60)</f>
        <v>7365</v>
      </c>
      <c r="L134" s="51">
        <f>VLOOKUP($A134,'Data Vlaue (Cr)'!$C:$FB,62)*100</f>
        <v>4.83</v>
      </c>
      <c r="M134" s="51">
        <f>VLOOKUP($A134,'Data Vlaue (Cr)'!$C:$FB,63)</f>
        <v>3302</v>
      </c>
      <c r="N134" s="51">
        <f>VLOOKUP($A134,'Data Vlaue (Cr)'!$C:$FB,64)</f>
        <v>3878</v>
      </c>
      <c r="O134" s="51">
        <f>VLOOKUP($A134,'Data Vlaue (Cr)'!$C:$FB,66)*100</f>
        <v>-14.860000000000001</v>
      </c>
    </row>
    <row r="135" spans="1:15" x14ac:dyDescent="0.25">
      <c r="A135" s="101" t="str">
        <f>'Data Vlaue (Cr)'!C130</f>
        <v>MAXHEALTH</v>
      </c>
      <c r="B135" s="50">
        <f>VLOOKUP($A135,'Data Vlaue (Cr)'!$C:$FB,8)</f>
        <v>1139.7</v>
      </c>
      <c r="C135" s="50">
        <f>VLOOKUP($A135,'Data Vlaue (Cr)'!$C:$FB,11)*100</f>
        <v>6.59</v>
      </c>
      <c r="D135" s="50">
        <f>VLOOKUP($A135,'Data Vlaue (Cr)'!$C:$FB,143)</f>
        <v>6406.48</v>
      </c>
      <c r="E135" s="50">
        <f>VLOOKUP($A135,'Data Vlaue (Cr)'!$C:$FB,144)</f>
        <v>3198.8</v>
      </c>
      <c r="F135" s="50">
        <f>VLOOKUP($A135,'Data Vlaue (Cr)'!$C:$FB,146)*100</f>
        <v>100.27999999999999</v>
      </c>
      <c r="G135" s="49">
        <f>VLOOKUP($A135,'Data Vlaue (Cr)'!$C:$FB,43)</f>
        <v>932</v>
      </c>
      <c r="H135" s="49">
        <f>VLOOKUP($A135,'Data Vlaue (Cr)'!$C:$FB,44)</f>
        <v>499</v>
      </c>
      <c r="I135" s="49">
        <f>VLOOKUP($A135,'Data Vlaue (Cr)'!$C:$FB,46)*100</f>
        <v>86.68</v>
      </c>
      <c r="J135" s="51">
        <f>VLOOKUP($A135,'Data Vlaue (Cr)'!$C:$FB,59)</f>
        <v>3725</v>
      </c>
      <c r="K135" s="51">
        <f>VLOOKUP($A135,'Data Vlaue (Cr)'!$C:$FB,60)</f>
        <v>1524</v>
      </c>
      <c r="L135" s="51">
        <f>VLOOKUP($A135,'Data Vlaue (Cr)'!$C:$FB,62)*100</f>
        <v>144.38999999999999</v>
      </c>
      <c r="M135" s="51">
        <f>VLOOKUP($A135,'Data Vlaue (Cr)'!$C:$FB,63)</f>
        <v>1727</v>
      </c>
      <c r="N135" s="51">
        <f>VLOOKUP($A135,'Data Vlaue (Cr)'!$C:$FB,64)</f>
        <v>1286</v>
      </c>
      <c r="O135" s="51">
        <f>VLOOKUP($A135,'Data Vlaue (Cr)'!$C:$FB,66)*100</f>
        <v>34.260000000000005</v>
      </c>
    </row>
    <row r="136" spans="1:15" x14ac:dyDescent="0.25">
      <c r="A136" s="101" t="str">
        <f>'Data Vlaue (Cr)'!C131</f>
        <v>MAZDOCK</v>
      </c>
      <c r="B136" s="50">
        <f>VLOOKUP($A136,'Data Vlaue (Cr)'!$C:$FB,8)</f>
        <v>2888</v>
      </c>
      <c r="C136" s="50">
        <f>VLOOKUP($A136,'Data Vlaue (Cr)'!$C:$FB,11)*100</f>
        <v>0.22999999999999998</v>
      </c>
      <c r="D136" s="50">
        <f>VLOOKUP($A136,'Data Vlaue (Cr)'!$C:$FB,143)</f>
        <v>1030.22</v>
      </c>
      <c r="E136" s="50">
        <f>VLOOKUP($A136,'Data Vlaue (Cr)'!$C:$FB,144)</f>
        <v>1172.03</v>
      </c>
      <c r="F136" s="50">
        <f>VLOOKUP($A136,'Data Vlaue (Cr)'!$C:$FB,146)*100</f>
        <v>-12.1</v>
      </c>
      <c r="G136" s="49">
        <f>VLOOKUP($A136,'Data Vlaue (Cr)'!$C:$FB,43)</f>
        <v>135</v>
      </c>
      <c r="H136" s="49">
        <f>VLOOKUP($A136,'Data Vlaue (Cr)'!$C:$FB,44)</f>
        <v>175</v>
      </c>
      <c r="I136" s="49">
        <f>VLOOKUP($A136,'Data Vlaue (Cr)'!$C:$FB,46)*100</f>
        <v>-22.97</v>
      </c>
      <c r="J136" s="51">
        <f>VLOOKUP($A136,'Data Vlaue (Cr)'!$C:$FB,59)</f>
        <v>621</v>
      </c>
      <c r="K136" s="51">
        <f>VLOOKUP($A136,'Data Vlaue (Cr)'!$C:$FB,60)</f>
        <v>775</v>
      </c>
      <c r="L136" s="51">
        <f>VLOOKUP($A136,'Data Vlaue (Cr)'!$C:$FB,62)*100</f>
        <v>-19.869999999999997</v>
      </c>
      <c r="M136" s="51">
        <f>VLOOKUP($A136,'Data Vlaue (Cr)'!$C:$FB,63)</f>
        <v>240</v>
      </c>
      <c r="N136" s="51">
        <f>VLOOKUP($A136,'Data Vlaue (Cr)'!$C:$FB,64)</f>
        <v>192</v>
      </c>
      <c r="O136" s="51">
        <f>VLOOKUP($A136,'Data Vlaue (Cr)'!$C:$FB,66)*100</f>
        <v>24.93</v>
      </c>
    </row>
    <row r="137" spans="1:15" x14ac:dyDescent="0.25">
      <c r="A137" s="101" t="str">
        <f>'Data Vlaue (Cr)'!C132</f>
        <v>MCX</v>
      </c>
      <c r="B137" s="50">
        <f>VLOOKUP($A137,'Data Vlaue (Cr)'!$C:$FB,8)</f>
        <v>8192</v>
      </c>
      <c r="C137" s="50">
        <f>VLOOKUP($A137,'Data Vlaue (Cr)'!$C:$FB,11)*100</f>
        <v>0.57999999999999996</v>
      </c>
      <c r="D137" s="50">
        <f>VLOOKUP($A137,'Data Vlaue (Cr)'!$C:$FB,143)</f>
        <v>4324.0200000000004</v>
      </c>
      <c r="E137" s="50">
        <f>VLOOKUP($A137,'Data Vlaue (Cr)'!$C:$FB,144)</f>
        <v>6122.29</v>
      </c>
      <c r="F137" s="50">
        <f>VLOOKUP($A137,'Data Vlaue (Cr)'!$C:$FB,146)*100</f>
        <v>-29.37</v>
      </c>
      <c r="G137" s="49">
        <f>VLOOKUP($A137,'Data Vlaue (Cr)'!$C:$FB,43)</f>
        <v>564</v>
      </c>
      <c r="H137" s="49">
        <f>VLOOKUP($A137,'Data Vlaue (Cr)'!$C:$FB,44)</f>
        <v>655</v>
      </c>
      <c r="I137" s="49">
        <f>VLOOKUP($A137,'Data Vlaue (Cr)'!$C:$FB,46)*100</f>
        <v>-13.969999999999999</v>
      </c>
      <c r="J137" s="51">
        <f>VLOOKUP($A137,'Data Vlaue (Cr)'!$C:$FB,59)</f>
        <v>2519</v>
      </c>
      <c r="K137" s="51">
        <f>VLOOKUP($A137,'Data Vlaue (Cr)'!$C:$FB,60)</f>
        <v>3885</v>
      </c>
      <c r="L137" s="51">
        <f>VLOOKUP($A137,'Data Vlaue (Cr)'!$C:$FB,62)*100</f>
        <v>-35.18</v>
      </c>
      <c r="M137" s="51">
        <f>VLOOKUP($A137,'Data Vlaue (Cr)'!$C:$FB,63)</f>
        <v>1152</v>
      </c>
      <c r="N137" s="51">
        <f>VLOOKUP($A137,'Data Vlaue (Cr)'!$C:$FB,64)</f>
        <v>1469</v>
      </c>
      <c r="O137" s="51">
        <f>VLOOKUP($A137,'Data Vlaue (Cr)'!$C:$FB,66)*100</f>
        <v>-21.63</v>
      </c>
    </row>
    <row r="138" spans="1:15" x14ac:dyDescent="0.25">
      <c r="A138" s="101" t="str">
        <f>'Data Vlaue (Cr)'!C133</f>
        <v>MFSL</v>
      </c>
      <c r="B138" s="50">
        <f>VLOOKUP($A138,'Data Vlaue (Cr)'!$C:$FB,8)</f>
        <v>1605.4</v>
      </c>
      <c r="C138" s="50">
        <f>VLOOKUP($A138,'Data Vlaue (Cr)'!$C:$FB,11)*100</f>
        <v>0.08</v>
      </c>
      <c r="D138" s="50">
        <f>VLOOKUP($A138,'Data Vlaue (Cr)'!$C:$FB,143)</f>
        <v>468.56</v>
      </c>
      <c r="E138" s="50">
        <f>VLOOKUP($A138,'Data Vlaue (Cr)'!$C:$FB,144)</f>
        <v>456.8</v>
      </c>
      <c r="F138" s="50">
        <f>VLOOKUP($A138,'Data Vlaue (Cr)'!$C:$FB,146)*100</f>
        <v>2.5700000000000003</v>
      </c>
      <c r="G138" s="49">
        <f>VLOOKUP($A138,'Data Vlaue (Cr)'!$C:$FB,43)</f>
        <v>176</v>
      </c>
      <c r="H138" s="49">
        <f>VLOOKUP($A138,'Data Vlaue (Cr)'!$C:$FB,44)</f>
        <v>180</v>
      </c>
      <c r="I138" s="49">
        <f>VLOOKUP($A138,'Data Vlaue (Cr)'!$C:$FB,46)*100</f>
        <v>-2.29</v>
      </c>
      <c r="J138" s="51">
        <f>VLOOKUP($A138,'Data Vlaue (Cr)'!$C:$FB,59)</f>
        <v>219</v>
      </c>
      <c r="K138" s="51">
        <f>VLOOKUP($A138,'Data Vlaue (Cr)'!$C:$FB,60)</f>
        <v>194</v>
      </c>
      <c r="L138" s="51">
        <f>VLOOKUP($A138,'Data Vlaue (Cr)'!$C:$FB,62)*100</f>
        <v>12.920000000000002</v>
      </c>
      <c r="M138" s="51">
        <f>VLOOKUP($A138,'Data Vlaue (Cr)'!$C:$FB,63)</f>
        <v>61</v>
      </c>
      <c r="N138" s="51">
        <f>VLOOKUP($A138,'Data Vlaue (Cr)'!$C:$FB,64)</f>
        <v>72</v>
      </c>
      <c r="O138" s="51">
        <f>VLOOKUP($A138,'Data Vlaue (Cr)'!$C:$FB,66)*100</f>
        <v>-14.39</v>
      </c>
    </row>
    <row r="139" spans="1:15" x14ac:dyDescent="0.25">
      <c r="A139" s="101" t="str">
        <f>'Data Vlaue (Cr)'!C134</f>
        <v>MIDCPNIFTY</v>
      </c>
      <c r="B139" s="50">
        <f>VLOOKUP($A139,'Data Vlaue (Cr)'!$C:$FB,8)</f>
        <v>12944.95</v>
      </c>
      <c r="C139" s="50">
        <f>VLOOKUP($A139,'Data Vlaue (Cr)'!$C:$FB,11)*100</f>
        <v>1.18</v>
      </c>
      <c r="D139" s="50">
        <f>VLOOKUP($A139,'Data Vlaue (Cr)'!$C:$FB,143)</f>
        <v>36391.800000000003</v>
      </c>
      <c r="E139" s="50">
        <f>VLOOKUP($A139,'Data Vlaue (Cr)'!$C:$FB,144)</f>
        <v>29369.55</v>
      </c>
      <c r="F139" s="50">
        <f>VLOOKUP($A139,'Data Vlaue (Cr)'!$C:$FB,146)*100</f>
        <v>23.91</v>
      </c>
      <c r="G139" s="49">
        <f>VLOOKUP($A139,'Data Vlaue (Cr)'!$C:$FB,43)</f>
        <v>570</v>
      </c>
      <c r="H139" s="49">
        <f>VLOOKUP($A139,'Data Vlaue (Cr)'!$C:$FB,44)</f>
        <v>462</v>
      </c>
      <c r="I139" s="49">
        <f>VLOOKUP($A139,'Data Vlaue (Cr)'!$C:$FB,46)*100</f>
        <v>23.43</v>
      </c>
      <c r="J139" s="51">
        <f>VLOOKUP($A139,'Data Vlaue (Cr)'!$C:$FB,59)</f>
        <v>16083</v>
      </c>
      <c r="K139" s="51">
        <f>VLOOKUP($A139,'Data Vlaue (Cr)'!$C:$FB,60)</f>
        <v>14654</v>
      </c>
      <c r="L139" s="51">
        <f>VLOOKUP($A139,'Data Vlaue (Cr)'!$C:$FB,62)*100</f>
        <v>9.75</v>
      </c>
      <c r="M139" s="51">
        <f>VLOOKUP($A139,'Data Vlaue (Cr)'!$C:$FB,63)</f>
        <v>20206</v>
      </c>
      <c r="N139" s="51">
        <f>VLOOKUP($A139,'Data Vlaue (Cr)'!$C:$FB,64)</f>
        <v>14666</v>
      </c>
      <c r="O139" s="51">
        <f>VLOOKUP($A139,'Data Vlaue (Cr)'!$C:$FB,66)*100</f>
        <v>37.769999999999996</v>
      </c>
    </row>
    <row r="140" spans="1:15" x14ac:dyDescent="0.25">
      <c r="A140" s="101" t="str">
        <f>'Data Vlaue (Cr)'!C135</f>
        <v>MOTHERSON</v>
      </c>
      <c r="B140" s="50">
        <f>VLOOKUP($A140,'Data Vlaue (Cr)'!$C:$FB,8)</f>
        <v>106.22</v>
      </c>
      <c r="C140" s="50">
        <f>VLOOKUP($A140,'Data Vlaue (Cr)'!$C:$FB,11)*100</f>
        <v>-0.42</v>
      </c>
      <c r="D140" s="50">
        <f>VLOOKUP($A140,'Data Vlaue (Cr)'!$C:$FB,143)</f>
        <v>502.4</v>
      </c>
      <c r="E140" s="50">
        <f>VLOOKUP($A140,'Data Vlaue (Cr)'!$C:$FB,144)</f>
        <v>647.5</v>
      </c>
      <c r="F140" s="50">
        <f>VLOOKUP($A140,'Data Vlaue (Cr)'!$C:$FB,146)*100</f>
        <v>-22.41</v>
      </c>
      <c r="G140" s="49">
        <f>VLOOKUP($A140,'Data Vlaue (Cr)'!$C:$FB,43)</f>
        <v>114</v>
      </c>
      <c r="H140" s="49">
        <f>VLOOKUP($A140,'Data Vlaue (Cr)'!$C:$FB,44)</f>
        <v>163</v>
      </c>
      <c r="I140" s="49">
        <f>VLOOKUP($A140,'Data Vlaue (Cr)'!$C:$FB,46)*100</f>
        <v>-30.099999999999998</v>
      </c>
      <c r="J140" s="51">
        <f>VLOOKUP($A140,'Data Vlaue (Cr)'!$C:$FB,59)</f>
        <v>253</v>
      </c>
      <c r="K140" s="51">
        <f>VLOOKUP($A140,'Data Vlaue (Cr)'!$C:$FB,60)</f>
        <v>318</v>
      </c>
      <c r="L140" s="51">
        <f>VLOOKUP($A140,'Data Vlaue (Cr)'!$C:$FB,62)*100</f>
        <v>-20.43</v>
      </c>
      <c r="M140" s="51">
        <f>VLOOKUP($A140,'Data Vlaue (Cr)'!$C:$FB,63)</f>
        <v>118</v>
      </c>
      <c r="N140" s="51">
        <f>VLOOKUP($A140,'Data Vlaue (Cr)'!$C:$FB,64)</f>
        <v>148</v>
      </c>
      <c r="O140" s="51">
        <f>VLOOKUP($A140,'Data Vlaue (Cr)'!$C:$FB,66)*100</f>
        <v>-20.54</v>
      </c>
    </row>
    <row r="141" spans="1:15" x14ac:dyDescent="0.25">
      <c r="A141" s="101" t="str">
        <f>'Data Vlaue (Cr)'!C136</f>
        <v>MPHASIS</v>
      </c>
      <c r="B141" s="50">
        <f>VLOOKUP($A141,'Data Vlaue (Cr)'!$C:$FB,8)</f>
        <v>2792.3</v>
      </c>
      <c r="C141" s="50">
        <f>VLOOKUP($A141,'Data Vlaue (Cr)'!$C:$FB,11)*100</f>
        <v>2.02</v>
      </c>
      <c r="D141" s="50">
        <f>VLOOKUP($A141,'Data Vlaue (Cr)'!$C:$FB,143)</f>
        <v>824.38</v>
      </c>
      <c r="E141" s="50">
        <f>VLOOKUP($A141,'Data Vlaue (Cr)'!$C:$FB,144)</f>
        <v>630.70000000000005</v>
      </c>
      <c r="F141" s="50">
        <f>VLOOKUP($A141,'Data Vlaue (Cr)'!$C:$FB,146)*100</f>
        <v>30.709999999999997</v>
      </c>
      <c r="G141" s="49">
        <f>VLOOKUP($A141,'Data Vlaue (Cr)'!$C:$FB,43)</f>
        <v>258</v>
      </c>
      <c r="H141" s="49">
        <f>VLOOKUP($A141,'Data Vlaue (Cr)'!$C:$FB,44)</f>
        <v>242</v>
      </c>
      <c r="I141" s="49">
        <f>VLOOKUP($A141,'Data Vlaue (Cr)'!$C:$FB,46)*100</f>
        <v>6.7</v>
      </c>
      <c r="J141" s="51">
        <f>VLOOKUP($A141,'Data Vlaue (Cr)'!$C:$FB,59)</f>
        <v>409</v>
      </c>
      <c r="K141" s="51">
        <f>VLOOKUP($A141,'Data Vlaue (Cr)'!$C:$FB,60)</f>
        <v>288</v>
      </c>
      <c r="L141" s="51">
        <f>VLOOKUP($A141,'Data Vlaue (Cr)'!$C:$FB,62)*100</f>
        <v>41.89</v>
      </c>
      <c r="M141" s="51">
        <f>VLOOKUP($A141,'Data Vlaue (Cr)'!$C:$FB,63)</f>
        <v>147</v>
      </c>
      <c r="N141" s="51">
        <f>VLOOKUP($A141,'Data Vlaue (Cr)'!$C:$FB,64)</f>
        <v>105</v>
      </c>
      <c r="O141" s="51">
        <f>VLOOKUP($A141,'Data Vlaue (Cr)'!$C:$FB,66)*100</f>
        <v>39.629999999999995</v>
      </c>
    </row>
    <row r="142" spans="1:15" x14ac:dyDescent="0.25">
      <c r="A142" s="101" t="str">
        <f>'Data Vlaue (Cr)'!C137</f>
        <v>MUTHOOTFIN</v>
      </c>
      <c r="B142" s="50">
        <f>VLOOKUP($A142,'Data Vlaue (Cr)'!$C:$FB,8)</f>
        <v>3227.7</v>
      </c>
      <c r="C142" s="50">
        <f>VLOOKUP($A142,'Data Vlaue (Cr)'!$C:$FB,11)*100</f>
        <v>1.9</v>
      </c>
      <c r="D142" s="50">
        <f>VLOOKUP($A142,'Data Vlaue (Cr)'!$C:$FB,143)</f>
        <v>2282.6</v>
      </c>
      <c r="E142" s="50">
        <f>VLOOKUP($A142,'Data Vlaue (Cr)'!$C:$FB,144)</f>
        <v>1288.3900000000001</v>
      </c>
      <c r="F142" s="50">
        <f>VLOOKUP($A142,'Data Vlaue (Cr)'!$C:$FB,146)*100</f>
        <v>77.17</v>
      </c>
      <c r="G142" s="49">
        <f>VLOOKUP($A142,'Data Vlaue (Cr)'!$C:$FB,43)</f>
        <v>265</v>
      </c>
      <c r="H142" s="49">
        <f>VLOOKUP($A142,'Data Vlaue (Cr)'!$C:$FB,44)</f>
        <v>249</v>
      </c>
      <c r="I142" s="49">
        <f>VLOOKUP($A142,'Data Vlaue (Cr)'!$C:$FB,46)*100</f>
        <v>6.39</v>
      </c>
      <c r="J142" s="51">
        <f>VLOOKUP($A142,'Data Vlaue (Cr)'!$C:$FB,59)</f>
        <v>1399</v>
      </c>
      <c r="K142" s="51">
        <f>VLOOKUP($A142,'Data Vlaue (Cr)'!$C:$FB,60)</f>
        <v>629</v>
      </c>
      <c r="L142" s="51">
        <f>VLOOKUP($A142,'Data Vlaue (Cr)'!$C:$FB,62)*100</f>
        <v>122.29</v>
      </c>
      <c r="M142" s="51">
        <f>VLOOKUP($A142,'Data Vlaue (Cr)'!$C:$FB,63)</f>
        <v>595</v>
      </c>
      <c r="N142" s="51">
        <f>VLOOKUP($A142,'Data Vlaue (Cr)'!$C:$FB,64)</f>
        <v>425</v>
      </c>
      <c r="O142" s="51">
        <f>VLOOKUP($A142,'Data Vlaue (Cr)'!$C:$FB,66)*100</f>
        <v>40.200000000000003</v>
      </c>
    </row>
    <row r="143" spans="1:15" x14ac:dyDescent="0.25">
      <c r="A143" s="101" t="str">
        <f>'Data Vlaue (Cr)'!C138</f>
        <v>NATIONALUM</v>
      </c>
      <c r="B143" s="50">
        <f>VLOOKUP($A143,'Data Vlaue (Cr)'!$C:$FB,8)</f>
        <v>217.15</v>
      </c>
      <c r="C143" s="50">
        <f>VLOOKUP($A143,'Data Vlaue (Cr)'!$C:$FB,11)*100</f>
        <v>-1.81</v>
      </c>
      <c r="D143" s="50">
        <f>VLOOKUP($A143,'Data Vlaue (Cr)'!$C:$FB,143)</f>
        <v>2208.63</v>
      </c>
      <c r="E143" s="50">
        <f>VLOOKUP($A143,'Data Vlaue (Cr)'!$C:$FB,144)</f>
        <v>4832.3900000000003</v>
      </c>
      <c r="F143" s="50">
        <f>VLOOKUP($A143,'Data Vlaue (Cr)'!$C:$FB,146)*100</f>
        <v>-54.300000000000004</v>
      </c>
      <c r="G143" s="49">
        <f>VLOOKUP($A143,'Data Vlaue (Cr)'!$C:$FB,43)</f>
        <v>443</v>
      </c>
      <c r="H143" s="49">
        <f>VLOOKUP($A143,'Data Vlaue (Cr)'!$C:$FB,44)</f>
        <v>733</v>
      </c>
      <c r="I143" s="49">
        <f>VLOOKUP($A143,'Data Vlaue (Cr)'!$C:$FB,46)*100</f>
        <v>-39.56</v>
      </c>
      <c r="J143" s="51">
        <f>VLOOKUP($A143,'Data Vlaue (Cr)'!$C:$FB,59)</f>
        <v>1159</v>
      </c>
      <c r="K143" s="51">
        <f>VLOOKUP($A143,'Data Vlaue (Cr)'!$C:$FB,60)</f>
        <v>2711</v>
      </c>
      <c r="L143" s="51">
        <f>VLOOKUP($A143,'Data Vlaue (Cr)'!$C:$FB,62)*100</f>
        <v>-57.230000000000004</v>
      </c>
      <c r="M143" s="51">
        <f>VLOOKUP($A143,'Data Vlaue (Cr)'!$C:$FB,63)</f>
        <v>523</v>
      </c>
      <c r="N143" s="51">
        <f>VLOOKUP($A143,'Data Vlaue (Cr)'!$C:$FB,64)</f>
        <v>1189</v>
      </c>
      <c r="O143" s="51">
        <f>VLOOKUP($A143,'Data Vlaue (Cr)'!$C:$FB,66)*100</f>
        <v>-55.97</v>
      </c>
    </row>
    <row r="144" spans="1:15" x14ac:dyDescent="0.25">
      <c r="A144" s="101" t="str">
        <f>'Data Vlaue (Cr)'!C139</f>
        <v>NAUKRI</v>
      </c>
      <c r="B144" s="50">
        <f>VLOOKUP($A144,'Data Vlaue (Cr)'!$C:$FB,8)</f>
        <v>1379.9</v>
      </c>
      <c r="C144" s="50">
        <f>VLOOKUP($A144,'Data Vlaue (Cr)'!$C:$FB,11)*100</f>
        <v>3.45</v>
      </c>
      <c r="D144" s="50">
        <f>VLOOKUP($A144,'Data Vlaue (Cr)'!$C:$FB,143)</f>
        <v>869.86</v>
      </c>
      <c r="E144" s="50">
        <f>VLOOKUP($A144,'Data Vlaue (Cr)'!$C:$FB,144)</f>
        <v>246.72</v>
      </c>
      <c r="F144" s="50">
        <f>VLOOKUP($A144,'Data Vlaue (Cr)'!$C:$FB,146)*100</f>
        <v>252.57999999999998</v>
      </c>
      <c r="G144" s="49">
        <f>VLOOKUP($A144,'Data Vlaue (Cr)'!$C:$FB,43)</f>
        <v>157</v>
      </c>
      <c r="H144" s="49">
        <f>VLOOKUP($A144,'Data Vlaue (Cr)'!$C:$FB,44)</f>
        <v>88</v>
      </c>
      <c r="I144" s="49">
        <f>VLOOKUP($A144,'Data Vlaue (Cr)'!$C:$FB,46)*100</f>
        <v>78.86</v>
      </c>
      <c r="J144" s="51">
        <f>VLOOKUP($A144,'Data Vlaue (Cr)'!$C:$FB,59)</f>
        <v>502</v>
      </c>
      <c r="K144" s="51">
        <f>VLOOKUP($A144,'Data Vlaue (Cr)'!$C:$FB,60)</f>
        <v>105</v>
      </c>
      <c r="L144" s="51">
        <f>VLOOKUP($A144,'Data Vlaue (Cr)'!$C:$FB,62)*100</f>
        <v>379.66</v>
      </c>
      <c r="M144" s="51">
        <f>VLOOKUP($A144,'Data Vlaue (Cr)'!$C:$FB,63)</f>
        <v>204</v>
      </c>
      <c r="N144" s="51">
        <f>VLOOKUP($A144,'Data Vlaue (Cr)'!$C:$FB,64)</f>
        <v>56</v>
      </c>
      <c r="O144" s="51">
        <f>VLOOKUP($A144,'Data Vlaue (Cr)'!$C:$FB,66)*100</f>
        <v>262.87</v>
      </c>
    </row>
    <row r="145" spans="1:15" x14ac:dyDescent="0.25">
      <c r="A145" s="101" t="str">
        <f>'Data Vlaue (Cr)'!C140</f>
        <v>NBCC</v>
      </c>
      <c r="B145" s="50">
        <f>VLOOKUP($A145,'Data Vlaue (Cr)'!$C:$FB,8)</f>
        <v>111.34</v>
      </c>
      <c r="C145" s="50">
        <f>VLOOKUP($A145,'Data Vlaue (Cr)'!$C:$FB,11)*100</f>
        <v>-1.5699999999999998</v>
      </c>
      <c r="D145" s="50">
        <f>VLOOKUP($A145,'Data Vlaue (Cr)'!$C:$FB,143)</f>
        <v>418.94</v>
      </c>
      <c r="E145" s="50">
        <f>VLOOKUP($A145,'Data Vlaue (Cr)'!$C:$FB,144)</f>
        <v>672.37</v>
      </c>
      <c r="F145" s="50">
        <f>VLOOKUP($A145,'Data Vlaue (Cr)'!$C:$FB,146)*100</f>
        <v>-37.69</v>
      </c>
      <c r="G145" s="49">
        <f>VLOOKUP($A145,'Data Vlaue (Cr)'!$C:$FB,43)</f>
        <v>117</v>
      </c>
      <c r="H145" s="49">
        <f>VLOOKUP($A145,'Data Vlaue (Cr)'!$C:$FB,44)</f>
        <v>174</v>
      </c>
      <c r="I145" s="49">
        <f>VLOOKUP($A145,'Data Vlaue (Cr)'!$C:$FB,46)*100</f>
        <v>-32.58</v>
      </c>
      <c r="J145" s="51">
        <f>VLOOKUP($A145,'Data Vlaue (Cr)'!$C:$FB,59)</f>
        <v>217</v>
      </c>
      <c r="K145" s="51">
        <f>VLOOKUP($A145,'Data Vlaue (Cr)'!$C:$FB,60)</f>
        <v>365</v>
      </c>
      <c r="L145" s="51">
        <f>VLOOKUP($A145,'Data Vlaue (Cr)'!$C:$FB,62)*100</f>
        <v>-40.550000000000004</v>
      </c>
      <c r="M145" s="51">
        <f>VLOOKUP($A145,'Data Vlaue (Cr)'!$C:$FB,63)</f>
        <v>71</v>
      </c>
      <c r="N145" s="51">
        <f>VLOOKUP($A145,'Data Vlaue (Cr)'!$C:$FB,64)</f>
        <v>113</v>
      </c>
      <c r="O145" s="51">
        <f>VLOOKUP($A145,'Data Vlaue (Cr)'!$C:$FB,66)*100</f>
        <v>-37.18</v>
      </c>
    </row>
    <row r="146" spans="1:15" x14ac:dyDescent="0.25">
      <c r="A146" s="101" t="str">
        <f>'Data Vlaue (Cr)'!C141</f>
        <v>NCC</v>
      </c>
      <c r="B146" s="50">
        <f>VLOOKUP($A146,'Data Vlaue (Cr)'!$C:$FB,8)</f>
        <v>210.42</v>
      </c>
      <c r="C146" s="50">
        <f>VLOOKUP($A146,'Data Vlaue (Cr)'!$C:$FB,11)*100</f>
        <v>0.02</v>
      </c>
      <c r="D146" s="50">
        <f>VLOOKUP($A146,'Data Vlaue (Cr)'!$C:$FB,143)</f>
        <v>90.64</v>
      </c>
      <c r="E146" s="50">
        <f>VLOOKUP($A146,'Data Vlaue (Cr)'!$C:$FB,144)</f>
        <v>88.99</v>
      </c>
      <c r="F146" s="50">
        <f>VLOOKUP($A146,'Data Vlaue (Cr)'!$C:$FB,146)*100</f>
        <v>1.8499999999999999</v>
      </c>
      <c r="G146" s="49">
        <f>VLOOKUP($A146,'Data Vlaue (Cr)'!$C:$FB,43)</f>
        <v>34</v>
      </c>
      <c r="H146" s="49">
        <f>VLOOKUP($A146,'Data Vlaue (Cr)'!$C:$FB,44)</f>
        <v>41</v>
      </c>
      <c r="I146" s="49">
        <f>VLOOKUP($A146,'Data Vlaue (Cr)'!$C:$FB,46)*100</f>
        <v>-17.669999999999998</v>
      </c>
      <c r="J146" s="51">
        <f>VLOOKUP($A146,'Data Vlaue (Cr)'!$C:$FB,59)</f>
        <v>39</v>
      </c>
      <c r="K146" s="51">
        <f>VLOOKUP($A146,'Data Vlaue (Cr)'!$C:$FB,60)</f>
        <v>31</v>
      </c>
      <c r="L146" s="51">
        <f>VLOOKUP($A146,'Data Vlaue (Cr)'!$C:$FB,62)*100</f>
        <v>25.740000000000002</v>
      </c>
      <c r="M146" s="51">
        <f>VLOOKUP($A146,'Data Vlaue (Cr)'!$C:$FB,63)</f>
        <v>16</v>
      </c>
      <c r="N146" s="51">
        <f>VLOOKUP($A146,'Data Vlaue (Cr)'!$C:$FB,64)</f>
        <v>16</v>
      </c>
      <c r="O146" s="51">
        <f>VLOOKUP($A146,'Data Vlaue (Cr)'!$C:$FB,66)*100</f>
        <v>1.79</v>
      </c>
    </row>
    <row r="147" spans="1:15" x14ac:dyDescent="0.25">
      <c r="A147" s="101" t="str">
        <f>'Data Vlaue (Cr)'!C142</f>
        <v>NESTLEIND</v>
      </c>
      <c r="B147" s="50">
        <f>VLOOKUP($A147,'Data Vlaue (Cr)'!$C:$FB,8)</f>
        <v>1181.7</v>
      </c>
      <c r="C147" s="50">
        <f>VLOOKUP($A147,'Data Vlaue (Cr)'!$C:$FB,11)*100</f>
        <v>1.01</v>
      </c>
      <c r="D147" s="50">
        <f>VLOOKUP($A147,'Data Vlaue (Cr)'!$C:$FB,143)</f>
        <v>665.28</v>
      </c>
      <c r="E147" s="50">
        <f>VLOOKUP($A147,'Data Vlaue (Cr)'!$C:$FB,144)</f>
        <v>460.67</v>
      </c>
      <c r="F147" s="50">
        <f>VLOOKUP($A147,'Data Vlaue (Cr)'!$C:$FB,146)*100</f>
        <v>44.42</v>
      </c>
      <c r="G147" s="49">
        <f>VLOOKUP($A147,'Data Vlaue (Cr)'!$C:$FB,43)</f>
        <v>136</v>
      </c>
      <c r="H147" s="49">
        <f>VLOOKUP($A147,'Data Vlaue (Cr)'!$C:$FB,44)</f>
        <v>121</v>
      </c>
      <c r="I147" s="49">
        <f>VLOOKUP($A147,'Data Vlaue (Cr)'!$C:$FB,46)*100</f>
        <v>12.16</v>
      </c>
      <c r="J147" s="51">
        <f>VLOOKUP($A147,'Data Vlaue (Cr)'!$C:$FB,59)</f>
        <v>358</v>
      </c>
      <c r="K147" s="51">
        <f>VLOOKUP($A147,'Data Vlaue (Cr)'!$C:$FB,60)</f>
        <v>249</v>
      </c>
      <c r="L147" s="51">
        <f>VLOOKUP($A147,'Data Vlaue (Cr)'!$C:$FB,62)*100</f>
        <v>43.76</v>
      </c>
      <c r="M147" s="51">
        <f>VLOOKUP($A147,'Data Vlaue (Cr)'!$C:$FB,63)</f>
        <v>166</v>
      </c>
      <c r="N147" s="51">
        <f>VLOOKUP($A147,'Data Vlaue (Cr)'!$C:$FB,64)</f>
        <v>89</v>
      </c>
      <c r="O147" s="51">
        <f>VLOOKUP($A147,'Data Vlaue (Cr)'!$C:$FB,66)*100</f>
        <v>86.31</v>
      </c>
    </row>
    <row r="148" spans="1:15" x14ac:dyDescent="0.25">
      <c r="A148" s="101" t="str">
        <f>'Data Vlaue (Cr)'!C143</f>
        <v>NHPC</v>
      </c>
      <c r="B148" s="50">
        <f>VLOOKUP($A148,'Data Vlaue (Cr)'!$C:$FB,8)</f>
        <v>86.61</v>
      </c>
      <c r="C148" s="50">
        <f>VLOOKUP($A148,'Data Vlaue (Cr)'!$C:$FB,11)*100</f>
        <v>-0.37</v>
      </c>
      <c r="D148" s="50">
        <f>VLOOKUP($A148,'Data Vlaue (Cr)'!$C:$FB,143)</f>
        <v>121.65</v>
      </c>
      <c r="E148" s="50">
        <f>VLOOKUP($A148,'Data Vlaue (Cr)'!$C:$FB,144)</f>
        <v>164.94</v>
      </c>
      <c r="F148" s="50">
        <f>VLOOKUP($A148,'Data Vlaue (Cr)'!$C:$FB,146)*100</f>
        <v>-26.25</v>
      </c>
      <c r="G148" s="49">
        <f>VLOOKUP($A148,'Data Vlaue (Cr)'!$C:$FB,43)</f>
        <v>38</v>
      </c>
      <c r="H148" s="49">
        <f>VLOOKUP($A148,'Data Vlaue (Cr)'!$C:$FB,44)</f>
        <v>58</v>
      </c>
      <c r="I148" s="49">
        <f>VLOOKUP($A148,'Data Vlaue (Cr)'!$C:$FB,46)*100</f>
        <v>-34.1</v>
      </c>
      <c r="J148" s="51">
        <f>VLOOKUP($A148,'Data Vlaue (Cr)'!$C:$FB,59)</f>
        <v>64</v>
      </c>
      <c r="K148" s="51">
        <f>VLOOKUP($A148,'Data Vlaue (Cr)'!$C:$FB,60)</f>
        <v>70</v>
      </c>
      <c r="L148" s="51">
        <f>VLOOKUP($A148,'Data Vlaue (Cr)'!$C:$FB,62)*100</f>
        <v>-9.2899999999999991</v>
      </c>
      <c r="M148" s="51">
        <f>VLOOKUP($A148,'Data Vlaue (Cr)'!$C:$FB,63)</f>
        <v>17</v>
      </c>
      <c r="N148" s="51">
        <f>VLOOKUP($A148,'Data Vlaue (Cr)'!$C:$FB,64)</f>
        <v>34</v>
      </c>
      <c r="O148" s="51">
        <f>VLOOKUP($A148,'Data Vlaue (Cr)'!$C:$FB,66)*100</f>
        <v>-50.749999999999993</v>
      </c>
    </row>
    <row r="149" spans="1:15" x14ac:dyDescent="0.25">
      <c r="A149" s="101" t="str">
        <f>'Data Vlaue (Cr)'!C144</f>
        <v>NIFTY</v>
      </c>
      <c r="B149" s="50">
        <f>VLOOKUP($A149,'Data Vlaue (Cr)'!$C:$FB,8)</f>
        <v>25077.65</v>
      </c>
      <c r="C149" s="50">
        <f>VLOOKUP($A149,'Data Vlaue (Cr)'!$C:$FB,11)*100</f>
        <v>0.74</v>
      </c>
      <c r="D149" s="50">
        <f>VLOOKUP($A149,'Data Vlaue (Cr)'!$C:$FB,143)</f>
        <v>27396324.559999999</v>
      </c>
      <c r="E149" s="50">
        <f>VLOOKUP($A149,'Data Vlaue (Cr)'!$C:$FB,144)</f>
        <v>18556781.870000001</v>
      </c>
      <c r="F149" s="50">
        <f>VLOOKUP($A149,'Data Vlaue (Cr)'!$C:$FB,146)*100</f>
        <v>47.64</v>
      </c>
      <c r="G149" s="49">
        <f>VLOOKUP($A149,'Data Vlaue (Cr)'!$C:$FB,43)</f>
        <v>15081</v>
      </c>
      <c r="H149" s="49">
        <f>VLOOKUP($A149,'Data Vlaue (Cr)'!$C:$FB,44)</f>
        <v>12367</v>
      </c>
      <c r="I149" s="49">
        <f>VLOOKUP($A149,'Data Vlaue (Cr)'!$C:$FB,46)*100</f>
        <v>21.94</v>
      </c>
      <c r="J149" s="51">
        <f>VLOOKUP($A149,'Data Vlaue (Cr)'!$C:$FB,59)</f>
        <v>14651081</v>
      </c>
      <c r="K149" s="51">
        <f>VLOOKUP($A149,'Data Vlaue (Cr)'!$C:$FB,60)</f>
        <v>9783700</v>
      </c>
      <c r="L149" s="51">
        <f>VLOOKUP($A149,'Data Vlaue (Cr)'!$C:$FB,62)*100</f>
        <v>49.75</v>
      </c>
      <c r="M149" s="51">
        <f>VLOOKUP($A149,'Data Vlaue (Cr)'!$C:$FB,63)</f>
        <v>12953021</v>
      </c>
      <c r="N149" s="51">
        <f>VLOOKUP($A149,'Data Vlaue (Cr)'!$C:$FB,64)</f>
        <v>9000293</v>
      </c>
      <c r="O149" s="51">
        <f>VLOOKUP($A149,'Data Vlaue (Cr)'!$C:$FB,66)*100</f>
        <v>43.919999999999995</v>
      </c>
    </row>
    <row r="150" spans="1:15" x14ac:dyDescent="0.25">
      <c r="A150" s="101" t="str">
        <f>'Data Vlaue (Cr)'!C145</f>
        <v>NIFTYNXT50</v>
      </c>
      <c r="B150" s="50">
        <f>VLOOKUP($A150,'Data Vlaue (Cr)'!$C:$FB,8)</f>
        <v>68590.25</v>
      </c>
      <c r="C150" s="50">
        <f>VLOOKUP($A150,'Data Vlaue (Cr)'!$C:$FB,11)*100</f>
        <v>0.33999999999999997</v>
      </c>
      <c r="D150" s="50">
        <f>VLOOKUP($A150,'Data Vlaue (Cr)'!$C:$FB,143)</f>
        <v>81.47</v>
      </c>
      <c r="E150" s="50">
        <f>VLOOKUP($A150,'Data Vlaue (Cr)'!$C:$FB,144)</f>
        <v>55.82</v>
      </c>
      <c r="F150" s="50">
        <f>VLOOKUP($A150,'Data Vlaue (Cr)'!$C:$FB,146)*100</f>
        <v>45.96</v>
      </c>
      <c r="G150" s="49">
        <f>VLOOKUP($A150,'Data Vlaue (Cr)'!$C:$FB,43)</f>
        <v>42</v>
      </c>
      <c r="H150" s="49">
        <f>VLOOKUP($A150,'Data Vlaue (Cr)'!$C:$FB,44)</f>
        <v>39</v>
      </c>
      <c r="I150" s="49">
        <f>VLOOKUP($A150,'Data Vlaue (Cr)'!$C:$FB,46)*100</f>
        <v>7.89</v>
      </c>
      <c r="J150" s="51">
        <f>VLOOKUP($A150,'Data Vlaue (Cr)'!$C:$FB,59)</f>
        <v>22</v>
      </c>
      <c r="K150" s="51">
        <f>VLOOKUP($A150,'Data Vlaue (Cr)'!$C:$FB,60)</f>
        <v>12</v>
      </c>
      <c r="L150" s="51">
        <f>VLOOKUP($A150,'Data Vlaue (Cr)'!$C:$FB,62)*100</f>
        <v>81.430000000000007</v>
      </c>
      <c r="M150" s="51">
        <f>VLOOKUP($A150,'Data Vlaue (Cr)'!$C:$FB,63)</f>
        <v>17</v>
      </c>
      <c r="N150" s="51">
        <f>VLOOKUP($A150,'Data Vlaue (Cr)'!$C:$FB,64)</f>
        <v>5</v>
      </c>
      <c r="O150" s="51">
        <f>VLOOKUP($A150,'Data Vlaue (Cr)'!$C:$FB,66)*100</f>
        <v>270.37</v>
      </c>
    </row>
    <row r="151" spans="1:15" x14ac:dyDescent="0.25">
      <c r="A151" s="101" t="str">
        <f>'Data Vlaue (Cr)'!C146</f>
        <v>NMDC</v>
      </c>
      <c r="B151" s="50">
        <f>VLOOKUP($A151,'Data Vlaue (Cr)'!$C:$FB,8)</f>
        <v>76.06</v>
      </c>
      <c r="C151" s="50">
        <f>VLOOKUP($A151,'Data Vlaue (Cr)'!$C:$FB,11)*100</f>
        <v>-1.35</v>
      </c>
      <c r="D151" s="50">
        <f>VLOOKUP($A151,'Data Vlaue (Cr)'!$C:$FB,143)</f>
        <v>1189.8399999999999</v>
      </c>
      <c r="E151" s="50">
        <f>VLOOKUP($A151,'Data Vlaue (Cr)'!$C:$FB,144)</f>
        <v>1835.45</v>
      </c>
      <c r="F151" s="50">
        <f>VLOOKUP($A151,'Data Vlaue (Cr)'!$C:$FB,146)*100</f>
        <v>-35.17</v>
      </c>
      <c r="G151" s="49">
        <f>VLOOKUP($A151,'Data Vlaue (Cr)'!$C:$FB,43)</f>
        <v>245</v>
      </c>
      <c r="H151" s="49">
        <f>VLOOKUP($A151,'Data Vlaue (Cr)'!$C:$FB,44)</f>
        <v>349</v>
      </c>
      <c r="I151" s="49">
        <f>VLOOKUP($A151,'Data Vlaue (Cr)'!$C:$FB,46)*100</f>
        <v>-29.78</v>
      </c>
      <c r="J151" s="51">
        <f>VLOOKUP($A151,'Data Vlaue (Cr)'!$C:$FB,59)</f>
        <v>637</v>
      </c>
      <c r="K151" s="51">
        <f>VLOOKUP($A151,'Data Vlaue (Cr)'!$C:$FB,60)</f>
        <v>1004</v>
      </c>
      <c r="L151" s="51">
        <f>VLOOKUP($A151,'Data Vlaue (Cr)'!$C:$FB,62)*100</f>
        <v>-36.54</v>
      </c>
      <c r="M151" s="51">
        <f>VLOOKUP($A151,'Data Vlaue (Cr)'!$C:$FB,63)</f>
        <v>273</v>
      </c>
      <c r="N151" s="51">
        <f>VLOOKUP($A151,'Data Vlaue (Cr)'!$C:$FB,64)</f>
        <v>416</v>
      </c>
      <c r="O151" s="51">
        <f>VLOOKUP($A151,'Data Vlaue (Cr)'!$C:$FB,66)*100</f>
        <v>-34.339999999999996</v>
      </c>
    </row>
    <row r="152" spans="1:15" x14ac:dyDescent="0.25">
      <c r="A152" s="101" t="str">
        <f>'Data Vlaue (Cr)'!C147</f>
        <v>NTPC</v>
      </c>
      <c r="B152" s="50">
        <f>VLOOKUP($A152,'Data Vlaue (Cr)'!$C:$FB,8)</f>
        <v>339.1</v>
      </c>
      <c r="C152" s="50">
        <f>VLOOKUP($A152,'Data Vlaue (Cr)'!$C:$FB,11)*100</f>
        <v>-0.85000000000000009</v>
      </c>
      <c r="D152" s="50">
        <f>VLOOKUP($A152,'Data Vlaue (Cr)'!$C:$FB,143)</f>
        <v>1690.37</v>
      </c>
      <c r="E152" s="50">
        <f>VLOOKUP($A152,'Data Vlaue (Cr)'!$C:$FB,144)</f>
        <v>1501.4</v>
      </c>
      <c r="F152" s="50">
        <f>VLOOKUP($A152,'Data Vlaue (Cr)'!$C:$FB,146)*100</f>
        <v>12.590000000000002</v>
      </c>
      <c r="G152" s="49">
        <f>VLOOKUP($A152,'Data Vlaue (Cr)'!$C:$FB,43)</f>
        <v>295</v>
      </c>
      <c r="H152" s="49">
        <f>VLOOKUP($A152,'Data Vlaue (Cr)'!$C:$FB,44)</f>
        <v>308</v>
      </c>
      <c r="I152" s="49">
        <f>VLOOKUP($A152,'Data Vlaue (Cr)'!$C:$FB,46)*100</f>
        <v>-4.1500000000000004</v>
      </c>
      <c r="J152" s="51">
        <f>VLOOKUP($A152,'Data Vlaue (Cr)'!$C:$FB,59)</f>
        <v>955</v>
      </c>
      <c r="K152" s="51">
        <f>VLOOKUP($A152,'Data Vlaue (Cr)'!$C:$FB,60)</f>
        <v>770</v>
      </c>
      <c r="L152" s="51">
        <f>VLOOKUP($A152,'Data Vlaue (Cr)'!$C:$FB,62)*100</f>
        <v>23.93</v>
      </c>
      <c r="M152" s="51">
        <f>VLOOKUP($A152,'Data Vlaue (Cr)'!$C:$FB,63)</f>
        <v>412</v>
      </c>
      <c r="N152" s="51">
        <f>VLOOKUP($A152,'Data Vlaue (Cr)'!$C:$FB,64)</f>
        <v>392</v>
      </c>
      <c r="O152" s="51">
        <f>VLOOKUP($A152,'Data Vlaue (Cr)'!$C:$FB,66)*100</f>
        <v>5.17</v>
      </c>
    </row>
    <row r="153" spans="1:15" x14ac:dyDescent="0.25">
      <c r="A153" s="101" t="str">
        <f>'Data Vlaue (Cr)'!C148</f>
        <v>NUVAMA</v>
      </c>
      <c r="B153" s="50">
        <f>VLOOKUP($A153,'Data Vlaue (Cr)'!$C:$FB,8)</f>
        <v>6928</v>
      </c>
      <c r="C153" s="50">
        <f>VLOOKUP($A153,'Data Vlaue (Cr)'!$C:$FB,11)*100</f>
        <v>2.5700000000000003</v>
      </c>
      <c r="D153" s="50">
        <f>VLOOKUP($A153,'Data Vlaue (Cr)'!$C:$FB,143)</f>
        <v>1253.1500000000001</v>
      </c>
      <c r="E153" s="50">
        <f>VLOOKUP($A153,'Data Vlaue (Cr)'!$C:$FB,144)</f>
        <v>2163.36</v>
      </c>
      <c r="F153" s="50">
        <f>VLOOKUP($A153,'Data Vlaue (Cr)'!$C:$FB,146)*100</f>
        <v>-42.07</v>
      </c>
      <c r="G153" s="49">
        <f>VLOOKUP($A153,'Data Vlaue (Cr)'!$C:$FB,43)</f>
        <v>133</v>
      </c>
      <c r="H153" s="49">
        <f>VLOOKUP($A153,'Data Vlaue (Cr)'!$C:$FB,44)</f>
        <v>227</v>
      </c>
      <c r="I153" s="49">
        <f>VLOOKUP($A153,'Data Vlaue (Cr)'!$C:$FB,46)*100</f>
        <v>-41.52</v>
      </c>
      <c r="J153" s="51">
        <f>VLOOKUP($A153,'Data Vlaue (Cr)'!$C:$FB,59)</f>
        <v>805</v>
      </c>
      <c r="K153" s="51">
        <f>VLOOKUP($A153,'Data Vlaue (Cr)'!$C:$FB,60)</f>
        <v>1479</v>
      </c>
      <c r="L153" s="51">
        <f>VLOOKUP($A153,'Data Vlaue (Cr)'!$C:$FB,62)*100</f>
        <v>-45.58</v>
      </c>
      <c r="M153" s="51">
        <f>VLOOKUP($A153,'Data Vlaue (Cr)'!$C:$FB,63)</f>
        <v>318</v>
      </c>
      <c r="N153" s="51">
        <f>VLOOKUP($A153,'Data Vlaue (Cr)'!$C:$FB,64)</f>
        <v>457</v>
      </c>
      <c r="O153" s="51">
        <f>VLOOKUP($A153,'Data Vlaue (Cr)'!$C:$FB,66)*100</f>
        <v>-30.490000000000002</v>
      </c>
    </row>
    <row r="154" spans="1:15" x14ac:dyDescent="0.25">
      <c r="A154" s="101" t="str">
        <f>'Data Vlaue (Cr)'!C149</f>
        <v>NYKAA</v>
      </c>
      <c r="B154" s="50">
        <f>VLOOKUP($A154,'Data Vlaue (Cr)'!$C:$FB,8)</f>
        <v>255.34</v>
      </c>
      <c r="C154" s="50">
        <f>VLOOKUP($A154,'Data Vlaue (Cr)'!$C:$FB,11)*100</f>
        <v>6.4799999999999995</v>
      </c>
      <c r="D154" s="50">
        <f>VLOOKUP($A154,'Data Vlaue (Cr)'!$C:$FB,143)</f>
        <v>3272.57</v>
      </c>
      <c r="E154" s="50">
        <f>VLOOKUP($A154,'Data Vlaue (Cr)'!$C:$FB,144)</f>
        <v>477.59</v>
      </c>
      <c r="F154" s="50">
        <f>VLOOKUP($A154,'Data Vlaue (Cr)'!$C:$FB,146)*100</f>
        <v>585.23</v>
      </c>
      <c r="G154" s="49">
        <f>VLOOKUP($A154,'Data Vlaue (Cr)'!$C:$FB,43)</f>
        <v>528</v>
      </c>
      <c r="H154" s="49">
        <f>VLOOKUP($A154,'Data Vlaue (Cr)'!$C:$FB,44)</f>
        <v>146</v>
      </c>
      <c r="I154" s="49">
        <f>VLOOKUP($A154,'Data Vlaue (Cr)'!$C:$FB,46)*100</f>
        <v>261.52999999999997</v>
      </c>
      <c r="J154" s="51">
        <f>VLOOKUP($A154,'Data Vlaue (Cr)'!$C:$FB,59)</f>
        <v>1994</v>
      </c>
      <c r="K154" s="51">
        <f>VLOOKUP($A154,'Data Vlaue (Cr)'!$C:$FB,60)</f>
        <v>269</v>
      </c>
      <c r="L154" s="51">
        <f>VLOOKUP($A154,'Data Vlaue (Cr)'!$C:$FB,62)*100</f>
        <v>640.97</v>
      </c>
      <c r="M154" s="51">
        <f>VLOOKUP($A154,'Data Vlaue (Cr)'!$C:$FB,63)</f>
        <v>730</v>
      </c>
      <c r="N154" s="51">
        <f>VLOOKUP($A154,'Data Vlaue (Cr)'!$C:$FB,64)</f>
        <v>80</v>
      </c>
      <c r="O154" s="51">
        <f>VLOOKUP($A154,'Data Vlaue (Cr)'!$C:$FB,66)*100</f>
        <v>817.18</v>
      </c>
    </row>
    <row r="155" spans="1:15" x14ac:dyDescent="0.25">
      <c r="A155" s="101" t="str">
        <f>'Data Vlaue (Cr)'!C150</f>
        <v>OBEROIRLTY</v>
      </c>
      <c r="B155" s="50">
        <f>VLOOKUP($A155,'Data Vlaue (Cr)'!$C:$FB,8)</f>
        <v>1622.3</v>
      </c>
      <c r="C155" s="50">
        <f>VLOOKUP($A155,'Data Vlaue (Cr)'!$C:$FB,11)*100</f>
        <v>1.05</v>
      </c>
      <c r="D155" s="50">
        <f>VLOOKUP($A155,'Data Vlaue (Cr)'!$C:$FB,143)</f>
        <v>412</v>
      </c>
      <c r="E155" s="50">
        <f>VLOOKUP($A155,'Data Vlaue (Cr)'!$C:$FB,144)</f>
        <v>228.39</v>
      </c>
      <c r="F155" s="50">
        <f>VLOOKUP($A155,'Data Vlaue (Cr)'!$C:$FB,146)*100</f>
        <v>80.39</v>
      </c>
      <c r="G155" s="49">
        <f>VLOOKUP($A155,'Data Vlaue (Cr)'!$C:$FB,43)</f>
        <v>97</v>
      </c>
      <c r="H155" s="49">
        <f>VLOOKUP($A155,'Data Vlaue (Cr)'!$C:$FB,44)</f>
        <v>104</v>
      </c>
      <c r="I155" s="49">
        <f>VLOOKUP($A155,'Data Vlaue (Cr)'!$C:$FB,46)*100</f>
        <v>-7.0000000000000009</v>
      </c>
      <c r="J155" s="51">
        <f>VLOOKUP($A155,'Data Vlaue (Cr)'!$C:$FB,59)</f>
        <v>248</v>
      </c>
      <c r="K155" s="51">
        <f>VLOOKUP($A155,'Data Vlaue (Cr)'!$C:$FB,60)</f>
        <v>96</v>
      </c>
      <c r="L155" s="51">
        <f>VLOOKUP($A155,'Data Vlaue (Cr)'!$C:$FB,62)*100</f>
        <v>158.83000000000001</v>
      </c>
      <c r="M155" s="51">
        <f>VLOOKUP($A155,'Data Vlaue (Cr)'!$C:$FB,63)</f>
        <v>62</v>
      </c>
      <c r="N155" s="51">
        <f>VLOOKUP($A155,'Data Vlaue (Cr)'!$C:$FB,64)</f>
        <v>27</v>
      </c>
      <c r="O155" s="51">
        <f>VLOOKUP($A155,'Data Vlaue (Cr)'!$C:$FB,66)*100</f>
        <v>126.42</v>
      </c>
    </row>
    <row r="156" spans="1:15" x14ac:dyDescent="0.25">
      <c r="A156" s="101" t="str">
        <f>'Data Vlaue (Cr)'!C151</f>
        <v>OFSS</v>
      </c>
      <c r="B156" s="50">
        <f>VLOOKUP($A156,'Data Vlaue (Cr)'!$C:$FB,8)</f>
        <v>9093.5</v>
      </c>
      <c r="C156" s="50">
        <f>VLOOKUP($A156,'Data Vlaue (Cr)'!$C:$FB,11)*100</f>
        <v>1.47</v>
      </c>
      <c r="D156" s="50">
        <f>VLOOKUP($A156,'Data Vlaue (Cr)'!$C:$FB,143)</f>
        <v>1334.19</v>
      </c>
      <c r="E156" s="50">
        <f>VLOOKUP($A156,'Data Vlaue (Cr)'!$C:$FB,144)</f>
        <v>1868.29</v>
      </c>
      <c r="F156" s="50">
        <f>VLOOKUP($A156,'Data Vlaue (Cr)'!$C:$FB,146)*100</f>
        <v>-28.59</v>
      </c>
      <c r="G156" s="49">
        <f>VLOOKUP($A156,'Data Vlaue (Cr)'!$C:$FB,43)</f>
        <v>226</v>
      </c>
      <c r="H156" s="49">
        <f>VLOOKUP($A156,'Data Vlaue (Cr)'!$C:$FB,44)</f>
        <v>290</v>
      </c>
      <c r="I156" s="49">
        <f>VLOOKUP($A156,'Data Vlaue (Cr)'!$C:$FB,46)*100</f>
        <v>-22.189999999999998</v>
      </c>
      <c r="J156" s="51">
        <f>VLOOKUP($A156,'Data Vlaue (Cr)'!$C:$FB,59)</f>
        <v>806</v>
      </c>
      <c r="K156" s="51">
        <f>VLOOKUP($A156,'Data Vlaue (Cr)'!$C:$FB,60)</f>
        <v>1175</v>
      </c>
      <c r="L156" s="51">
        <f>VLOOKUP($A156,'Data Vlaue (Cr)'!$C:$FB,62)*100</f>
        <v>-31.46</v>
      </c>
      <c r="M156" s="51">
        <f>VLOOKUP($A156,'Data Vlaue (Cr)'!$C:$FB,63)</f>
        <v>281</v>
      </c>
      <c r="N156" s="51">
        <f>VLOOKUP($A156,'Data Vlaue (Cr)'!$C:$FB,64)</f>
        <v>396</v>
      </c>
      <c r="O156" s="51">
        <f>VLOOKUP($A156,'Data Vlaue (Cr)'!$C:$FB,66)*100</f>
        <v>-29.049999999999997</v>
      </c>
    </row>
    <row r="157" spans="1:15" x14ac:dyDescent="0.25">
      <c r="A157" s="101" t="str">
        <f>'Data Vlaue (Cr)'!C152</f>
        <v>OIL</v>
      </c>
      <c r="B157" s="50">
        <f>VLOOKUP($A157,'Data Vlaue (Cr)'!$C:$FB,8)</f>
        <v>419.2</v>
      </c>
      <c r="C157" s="50">
        <f>VLOOKUP($A157,'Data Vlaue (Cr)'!$C:$FB,11)*100</f>
        <v>1.0900000000000001</v>
      </c>
      <c r="D157" s="50">
        <f>VLOOKUP($A157,'Data Vlaue (Cr)'!$C:$FB,143)</f>
        <v>385.88</v>
      </c>
      <c r="E157" s="50">
        <f>VLOOKUP($A157,'Data Vlaue (Cr)'!$C:$FB,144)</f>
        <v>327.06</v>
      </c>
      <c r="F157" s="50">
        <f>VLOOKUP($A157,'Data Vlaue (Cr)'!$C:$FB,146)*100</f>
        <v>17.98</v>
      </c>
      <c r="G157" s="49">
        <f>VLOOKUP($A157,'Data Vlaue (Cr)'!$C:$FB,43)</f>
        <v>112</v>
      </c>
      <c r="H157" s="49">
        <f>VLOOKUP($A157,'Data Vlaue (Cr)'!$C:$FB,44)</f>
        <v>103</v>
      </c>
      <c r="I157" s="49">
        <f>VLOOKUP($A157,'Data Vlaue (Cr)'!$C:$FB,46)*100</f>
        <v>8.7900000000000009</v>
      </c>
      <c r="J157" s="51">
        <f>VLOOKUP($A157,'Data Vlaue (Cr)'!$C:$FB,59)</f>
        <v>198</v>
      </c>
      <c r="K157" s="51">
        <f>VLOOKUP($A157,'Data Vlaue (Cr)'!$C:$FB,60)</f>
        <v>157</v>
      </c>
      <c r="L157" s="51">
        <f>VLOOKUP($A157,'Data Vlaue (Cr)'!$C:$FB,62)*100</f>
        <v>25.779999999999998</v>
      </c>
      <c r="M157" s="51">
        <f>VLOOKUP($A157,'Data Vlaue (Cr)'!$C:$FB,63)</f>
        <v>68</v>
      </c>
      <c r="N157" s="51">
        <f>VLOOKUP($A157,'Data Vlaue (Cr)'!$C:$FB,64)</f>
        <v>64</v>
      </c>
      <c r="O157" s="51">
        <f>VLOOKUP($A157,'Data Vlaue (Cr)'!$C:$FB,66)*100</f>
        <v>6.25</v>
      </c>
    </row>
    <row r="158" spans="1:15" x14ac:dyDescent="0.25">
      <c r="A158" s="101" t="str">
        <f>'Data Vlaue (Cr)'!C153</f>
        <v>ONGC</v>
      </c>
      <c r="B158" s="50">
        <f>VLOOKUP($A158,'Data Vlaue (Cr)'!$C:$FB,8)</f>
        <v>245.86</v>
      </c>
      <c r="C158" s="50">
        <f>VLOOKUP($A158,'Data Vlaue (Cr)'!$C:$FB,11)*100</f>
        <v>0.89999999999999991</v>
      </c>
      <c r="D158" s="50">
        <f>VLOOKUP($A158,'Data Vlaue (Cr)'!$C:$FB,143)</f>
        <v>2588.56</v>
      </c>
      <c r="E158" s="50">
        <f>VLOOKUP($A158,'Data Vlaue (Cr)'!$C:$FB,144)</f>
        <v>1821.61</v>
      </c>
      <c r="F158" s="50">
        <f>VLOOKUP($A158,'Data Vlaue (Cr)'!$C:$FB,146)*100</f>
        <v>42.1</v>
      </c>
      <c r="G158" s="49">
        <f>VLOOKUP($A158,'Data Vlaue (Cr)'!$C:$FB,43)</f>
        <v>394</v>
      </c>
      <c r="H158" s="49">
        <f>VLOOKUP($A158,'Data Vlaue (Cr)'!$C:$FB,44)</f>
        <v>340</v>
      </c>
      <c r="I158" s="49">
        <f>VLOOKUP($A158,'Data Vlaue (Cr)'!$C:$FB,46)*100</f>
        <v>16.079999999999998</v>
      </c>
      <c r="J158" s="51">
        <f>VLOOKUP($A158,'Data Vlaue (Cr)'!$C:$FB,59)</f>
        <v>1516</v>
      </c>
      <c r="K158" s="51">
        <f>VLOOKUP($A158,'Data Vlaue (Cr)'!$C:$FB,60)</f>
        <v>1043</v>
      </c>
      <c r="L158" s="51">
        <f>VLOOKUP($A158,'Data Vlaue (Cr)'!$C:$FB,62)*100</f>
        <v>45.379999999999995</v>
      </c>
      <c r="M158" s="51">
        <f>VLOOKUP($A158,'Data Vlaue (Cr)'!$C:$FB,63)</f>
        <v>644</v>
      </c>
      <c r="N158" s="51">
        <f>VLOOKUP($A158,'Data Vlaue (Cr)'!$C:$FB,64)</f>
        <v>429</v>
      </c>
      <c r="O158" s="51">
        <f>VLOOKUP($A158,'Data Vlaue (Cr)'!$C:$FB,66)*100</f>
        <v>50.06</v>
      </c>
    </row>
    <row r="159" spans="1:15" x14ac:dyDescent="0.25">
      <c r="A159" s="101" t="str">
        <f>'Data Vlaue (Cr)'!C154</f>
        <v>PAGEIND</v>
      </c>
      <c r="B159" s="50">
        <f>VLOOKUP($A159,'Data Vlaue (Cr)'!$C:$FB,8)</f>
        <v>42195</v>
      </c>
      <c r="C159" s="50">
        <f>VLOOKUP($A159,'Data Vlaue (Cr)'!$C:$FB,11)*100</f>
        <v>-1.59</v>
      </c>
      <c r="D159" s="50">
        <f>VLOOKUP($A159,'Data Vlaue (Cr)'!$C:$FB,143)</f>
        <v>583.96</v>
      </c>
      <c r="E159" s="50">
        <f>VLOOKUP($A159,'Data Vlaue (Cr)'!$C:$FB,144)</f>
        <v>1184.44</v>
      </c>
      <c r="F159" s="50">
        <f>VLOOKUP($A159,'Data Vlaue (Cr)'!$C:$FB,146)*100</f>
        <v>-50.7</v>
      </c>
      <c r="G159" s="49">
        <f>VLOOKUP($A159,'Data Vlaue (Cr)'!$C:$FB,43)</f>
        <v>111</v>
      </c>
      <c r="H159" s="49">
        <f>VLOOKUP($A159,'Data Vlaue (Cr)'!$C:$FB,44)</f>
        <v>184</v>
      </c>
      <c r="I159" s="49">
        <f>VLOOKUP($A159,'Data Vlaue (Cr)'!$C:$FB,46)*100</f>
        <v>-39.85</v>
      </c>
      <c r="J159" s="51">
        <f>VLOOKUP($A159,'Data Vlaue (Cr)'!$C:$FB,59)</f>
        <v>384</v>
      </c>
      <c r="K159" s="51">
        <f>VLOOKUP($A159,'Data Vlaue (Cr)'!$C:$FB,60)</f>
        <v>755</v>
      </c>
      <c r="L159" s="51">
        <f>VLOOKUP($A159,'Data Vlaue (Cr)'!$C:$FB,62)*100</f>
        <v>-49.16</v>
      </c>
      <c r="M159" s="51">
        <f>VLOOKUP($A159,'Data Vlaue (Cr)'!$C:$FB,63)</f>
        <v>59</v>
      </c>
      <c r="N159" s="51">
        <f>VLOOKUP($A159,'Data Vlaue (Cr)'!$C:$FB,64)</f>
        <v>194</v>
      </c>
      <c r="O159" s="51">
        <f>VLOOKUP($A159,'Data Vlaue (Cr)'!$C:$FB,66)*100</f>
        <v>-69.42</v>
      </c>
    </row>
    <row r="160" spans="1:15" x14ac:dyDescent="0.25">
      <c r="A160" s="101" t="str">
        <f>'Data Vlaue (Cr)'!C155</f>
        <v>PATANJALI</v>
      </c>
      <c r="B160" s="50">
        <f>VLOOKUP($A160,'Data Vlaue (Cr)'!$C:$FB,8)</f>
        <v>597.54999999999995</v>
      </c>
      <c r="C160" s="50">
        <f>VLOOKUP($A160,'Data Vlaue (Cr)'!$C:$FB,11)*100</f>
        <v>1.55</v>
      </c>
      <c r="D160" s="50">
        <f>VLOOKUP($A160,'Data Vlaue (Cr)'!$C:$FB,143)</f>
        <v>771.11</v>
      </c>
      <c r="E160" s="50">
        <f>VLOOKUP($A160,'Data Vlaue (Cr)'!$C:$FB,144)</f>
        <v>580.32000000000005</v>
      </c>
      <c r="F160" s="50">
        <f>VLOOKUP($A160,'Data Vlaue (Cr)'!$C:$FB,146)*100</f>
        <v>32.879999999999995</v>
      </c>
      <c r="G160" s="49">
        <f>VLOOKUP($A160,'Data Vlaue (Cr)'!$C:$FB,43)</f>
        <v>222</v>
      </c>
      <c r="H160" s="49">
        <f>VLOOKUP($A160,'Data Vlaue (Cr)'!$C:$FB,44)</f>
        <v>194</v>
      </c>
      <c r="I160" s="49">
        <f>VLOOKUP($A160,'Data Vlaue (Cr)'!$C:$FB,46)*100</f>
        <v>14.08</v>
      </c>
      <c r="J160" s="51">
        <f>VLOOKUP($A160,'Data Vlaue (Cr)'!$C:$FB,59)</f>
        <v>395</v>
      </c>
      <c r="K160" s="51">
        <f>VLOOKUP($A160,'Data Vlaue (Cr)'!$C:$FB,60)</f>
        <v>239</v>
      </c>
      <c r="L160" s="51">
        <f>VLOOKUP($A160,'Data Vlaue (Cr)'!$C:$FB,62)*100</f>
        <v>65.039999999999992</v>
      </c>
      <c r="M160" s="51">
        <f>VLOOKUP($A160,'Data Vlaue (Cr)'!$C:$FB,63)</f>
        <v>143</v>
      </c>
      <c r="N160" s="51">
        <f>VLOOKUP($A160,'Data Vlaue (Cr)'!$C:$FB,64)</f>
        <v>149</v>
      </c>
      <c r="O160" s="51">
        <f>VLOOKUP($A160,'Data Vlaue (Cr)'!$C:$FB,66)*100</f>
        <v>-4.1300000000000008</v>
      </c>
    </row>
    <row r="161" spans="1:15" x14ac:dyDescent="0.25">
      <c r="A161" s="101" t="str">
        <f>'Data Vlaue (Cr)'!C156</f>
        <v>PAYTM</v>
      </c>
      <c r="B161" s="50">
        <f>VLOOKUP($A161,'Data Vlaue (Cr)'!$C:$FB,8)</f>
        <v>1224.2</v>
      </c>
      <c r="C161" s="50">
        <f>VLOOKUP($A161,'Data Vlaue (Cr)'!$C:$FB,11)*100</f>
        <v>4.8099999999999996</v>
      </c>
      <c r="D161" s="50">
        <f>VLOOKUP($A161,'Data Vlaue (Cr)'!$C:$FB,143)</f>
        <v>5791.31</v>
      </c>
      <c r="E161" s="50">
        <f>VLOOKUP($A161,'Data Vlaue (Cr)'!$C:$FB,144)</f>
        <v>2301.33</v>
      </c>
      <c r="F161" s="50">
        <f>VLOOKUP($A161,'Data Vlaue (Cr)'!$C:$FB,146)*100</f>
        <v>151.65</v>
      </c>
      <c r="G161" s="49">
        <f>VLOOKUP($A161,'Data Vlaue (Cr)'!$C:$FB,43)</f>
        <v>973</v>
      </c>
      <c r="H161" s="49">
        <f>VLOOKUP($A161,'Data Vlaue (Cr)'!$C:$FB,44)</f>
        <v>501</v>
      </c>
      <c r="I161" s="49">
        <f>VLOOKUP($A161,'Data Vlaue (Cr)'!$C:$FB,46)*100</f>
        <v>94.38</v>
      </c>
      <c r="J161" s="51">
        <f>VLOOKUP($A161,'Data Vlaue (Cr)'!$C:$FB,59)</f>
        <v>3172</v>
      </c>
      <c r="K161" s="51">
        <f>VLOOKUP($A161,'Data Vlaue (Cr)'!$C:$FB,60)</f>
        <v>1313</v>
      </c>
      <c r="L161" s="51">
        <f>VLOOKUP($A161,'Data Vlaue (Cr)'!$C:$FB,62)*100</f>
        <v>141.54</v>
      </c>
      <c r="M161" s="51">
        <f>VLOOKUP($A161,'Data Vlaue (Cr)'!$C:$FB,63)</f>
        <v>1609</v>
      </c>
      <c r="N161" s="51">
        <f>VLOOKUP($A161,'Data Vlaue (Cr)'!$C:$FB,64)</f>
        <v>549</v>
      </c>
      <c r="O161" s="51">
        <f>VLOOKUP($A161,'Data Vlaue (Cr)'!$C:$FB,66)*100</f>
        <v>193.09</v>
      </c>
    </row>
    <row r="162" spans="1:15" x14ac:dyDescent="0.25">
      <c r="A162" s="101" t="str">
        <f>'Data Vlaue (Cr)'!C157</f>
        <v>PERSISTENT</v>
      </c>
      <c r="B162" s="50">
        <f>VLOOKUP($A162,'Data Vlaue (Cr)'!$C:$FB,8)</f>
        <v>5189.3</v>
      </c>
      <c r="C162" s="50">
        <f>VLOOKUP($A162,'Data Vlaue (Cr)'!$C:$FB,11)*100</f>
        <v>2.3800000000000003</v>
      </c>
      <c r="D162" s="50">
        <f>VLOOKUP($A162,'Data Vlaue (Cr)'!$C:$FB,143)</f>
        <v>2181.7800000000002</v>
      </c>
      <c r="E162" s="50">
        <f>VLOOKUP($A162,'Data Vlaue (Cr)'!$C:$FB,144)</f>
        <v>1408.87</v>
      </c>
      <c r="F162" s="50">
        <f>VLOOKUP($A162,'Data Vlaue (Cr)'!$C:$FB,146)*100</f>
        <v>54.86</v>
      </c>
      <c r="G162" s="49">
        <f>VLOOKUP($A162,'Data Vlaue (Cr)'!$C:$FB,43)</f>
        <v>353</v>
      </c>
      <c r="H162" s="49">
        <f>VLOOKUP($A162,'Data Vlaue (Cr)'!$C:$FB,44)</f>
        <v>260</v>
      </c>
      <c r="I162" s="49">
        <f>VLOOKUP($A162,'Data Vlaue (Cr)'!$C:$FB,46)*100</f>
        <v>35.79</v>
      </c>
      <c r="J162" s="51">
        <f>VLOOKUP($A162,'Data Vlaue (Cr)'!$C:$FB,59)</f>
        <v>1233</v>
      </c>
      <c r="K162" s="51">
        <f>VLOOKUP($A162,'Data Vlaue (Cr)'!$C:$FB,60)</f>
        <v>828</v>
      </c>
      <c r="L162" s="51">
        <f>VLOOKUP($A162,'Data Vlaue (Cr)'!$C:$FB,62)*100</f>
        <v>48.9</v>
      </c>
      <c r="M162" s="51">
        <f>VLOOKUP($A162,'Data Vlaue (Cr)'!$C:$FB,63)</f>
        <v>546</v>
      </c>
      <c r="N162" s="51">
        <f>VLOOKUP($A162,'Data Vlaue (Cr)'!$C:$FB,64)</f>
        <v>321</v>
      </c>
      <c r="O162" s="51">
        <f>VLOOKUP($A162,'Data Vlaue (Cr)'!$C:$FB,66)*100</f>
        <v>70.240000000000009</v>
      </c>
    </row>
    <row r="163" spans="1:15" x14ac:dyDescent="0.25">
      <c r="A163" s="101" t="str">
        <f>'Data Vlaue (Cr)'!C158</f>
        <v>PETRONET</v>
      </c>
      <c r="B163" s="50">
        <f>VLOOKUP($A163,'Data Vlaue (Cr)'!$C:$FB,8)</f>
        <v>280.3</v>
      </c>
      <c r="C163" s="50">
        <f>VLOOKUP($A163,'Data Vlaue (Cr)'!$C:$FB,11)*100</f>
        <v>0.48</v>
      </c>
      <c r="D163" s="50">
        <f>VLOOKUP($A163,'Data Vlaue (Cr)'!$C:$FB,143)</f>
        <v>438.39</v>
      </c>
      <c r="E163" s="50">
        <f>VLOOKUP($A163,'Data Vlaue (Cr)'!$C:$FB,144)</f>
        <v>334.66</v>
      </c>
      <c r="F163" s="50">
        <f>VLOOKUP($A163,'Data Vlaue (Cr)'!$C:$FB,146)*100</f>
        <v>30.990000000000002</v>
      </c>
      <c r="G163" s="49">
        <f>VLOOKUP($A163,'Data Vlaue (Cr)'!$C:$FB,43)</f>
        <v>62</v>
      </c>
      <c r="H163" s="49">
        <f>VLOOKUP($A163,'Data Vlaue (Cr)'!$C:$FB,44)</f>
        <v>119</v>
      </c>
      <c r="I163" s="49">
        <f>VLOOKUP($A163,'Data Vlaue (Cr)'!$C:$FB,46)*100</f>
        <v>-47.620000000000005</v>
      </c>
      <c r="J163" s="51">
        <f>VLOOKUP($A163,'Data Vlaue (Cr)'!$C:$FB,59)</f>
        <v>297</v>
      </c>
      <c r="K163" s="51">
        <f>VLOOKUP($A163,'Data Vlaue (Cr)'!$C:$FB,60)</f>
        <v>134</v>
      </c>
      <c r="L163" s="51">
        <f>VLOOKUP($A163,'Data Vlaue (Cr)'!$C:$FB,62)*100</f>
        <v>122.25999999999999</v>
      </c>
      <c r="M163" s="51">
        <f>VLOOKUP($A163,'Data Vlaue (Cr)'!$C:$FB,63)</f>
        <v>70</v>
      </c>
      <c r="N163" s="51">
        <f>VLOOKUP($A163,'Data Vlaue (Cr)'!$C:$FB,64)</f>
        <v>80</v>
      </c>
      <c r="O163" s="51">
        <f>VLOOKUP($A163,'Data Vlaue (Cr)'!$C:$FB,66)*100</f>
        <v>-12.629999999999999</v>
      </c>
    </row>
    <row r="164" spans="1:15" x14ac:dyDescent="0.25">
      <c r="A164" s="101" t="str">
        <f>'Data Vlaue (Cr)'!C159</f>
        <v>PFC</v>
      </c>
      <c r="B164" s="50">
        <f>VLOOKUP($A164,'Data Vlaue (Cr)'!$C:$FB,8)</f>
        <v>405.9</v>
      </c>
      <c r="C164" s="50">
        <f>VLOOKUP($A164,'Data Vlaue (Cr)'!$C:$FB,11)*100</f>
        <v>-1.53</v>
      </c>
      <c r="D164" s="50">
        <f>VLOOKUP($A164,'Data Vlaue (Cr)'!$C:$FB,143)</f>
        <v>1651.35</v>
      </c>
      <c r="E164" s="50">
        <f>VLOOKUP($A164,'Data Vlaue (Cr)'!$C:$FB,144)</f>
        <v>1631.79</v>
      </c>
      <c r="F164" s="50">
        <f>VLOOKUP($A164,'Data Vlaue (Cr)'!$C:$FB,146)*100</f>
        <v>1.2</v>
      </c>
      <c r="G164" s="49">
        <f>VLOOKUP($A164,'Data Vlaue (Cr)'!$C:$FB,43)</f>
        <v>334</v>
      </c>
      <c r="H164" s="49">
        <f>VLOOKUP($A164,'Data Vlaue (Cr)'!$C:$FB,44)</f>
        <v>301</v>
      </c>
      <c r="I164" s="49">
        <f>VLOOKUP($A164,'Data Vlaue (Cr)'!$C:$FB,46)*100</f>
        <v>11.05</v>
      </c>
      <c r="J164" s="51">
        <f>VLOOKUP($A164,'Data Vlaue (Cr)'!$C:$FB,59)</f>
        <v>858</v>
      </c>
      <c r="K164" s="51">
        <f>VLOOKUP($A164,'Data Vlaue (Cr)'!$C:$FB,60)</f>
        <v>846</v>
      </c>
      <c r="L164" s="51">
        <f>VLOOKUP($A164,'Data Vlaue (Cr)'!$C:$FB,62)*100</f>
        <v>1.47</v>
      </c>
      <c r="M164" s="51">
        <f>VLOOKUP($A164,'Data Vlaue (Cr)'!$C:$FB,63)</f>
        <v>413</v>
      </c>
      <c r="N164" s="51">
        <f>VLOOKUP($A164,'Data Vlaue (Cr)'!$C:$FB,64)</f>
        <v>430</v>
      </c>
      <c r="O164" s="51">
        <f>VLOOKUP($A164,'Data Vlaue (Cr)'!$C:$FB,66)*100</f>
        <v>-3.8</v>
      </c>
    </row>
    <row r="165" spans="1:15" x14ac:dyDescent="0.25">
      <c r="A165" s="101" t="str">
        <f>'Data Vlaue (Cr)'!C160</f>
        <v>PGEL</v>
      </c>
      <c r="B165" s="50">
        <f>VLOOKUP($A165,'Data Vlaue (Cr)'!$C:$FB,8)</f>
        <v>517.20000000000005</v>
      </c>
      <c r="C165" s="50">
        <f>VLOOKUP($A165,'Data Vlaue (Cr)'!$C:$FB,11)*100</f>
        <v>0.59</v>
      </c>
      <c r="D165" s="50">
        <f>VLOOKUP($A165,'Data Vlaue (Cr)'!$C:$FB,143)</f>
        <v>456.91</v>
      </c>
      <c r="E165" s="50">
        <f>VLOOKUP($A165,'Data Vlaue (Cr)'!$C:$FB,144)</f>
        <v>369.53</v>
      </c>
      <c r="F165" s="50">
        <f>VLOOKUP($A165,'Data Vlaue (Cr)'!$C:$FB,146)*100</f>
        <v>23.65</v>
      </c>
      <c r="G165" s="49">
        <f>VLOOKUP($A165,'Data Vlaue (Cr)'!$C:$FB,43)</f>
        <v>103</v>
      </c>
      <c r="H165" s="49">
        <f>VLOOKUP($A165,'Data Vlaue (Cr)'!$C:$FB,44)</f>
        <v>84</v>
      </c>
      <c r="I165" s="49">
        <f>VLOOKUP($A165,'Data Vlaue (Cr)'!$C:$FB,46)*100</f>
        <v>23.36</v>
      </c>
      <c r="J165" s="51">
        <f>VLOOKUP($A165,'Data Vlaue (Cr)'!$C:$FB,59)</f>
        <v>243</v>
      </c>
      <c r="K165" s="51">
        <f>VLOOKUP($A165,'Data Vlaue (Cr)'!$C:$FB,60)</f>
        <v>211</v>
      </c>
      <c r="L165" s="51">
        <f>VLOOKUP($A165,'Data Vlaue (Cr)'!$C:$FB,62)*100</f>
        <v>15.440000000000001</v>
      </c>
      <c r="M165" s="51">
        <f>VLOOKUP($A165,'Data Vlaue (Cr)'!$C:$FB,63)</f>
        <v>98</v>
      </c>
      <c r="N165" s="51">
        <f>VLOOKUP($A165,'Data Vlaue (Cr)'!$C:$FB,64)</f>
        <v>61</v>
      </c>
      <c r="O165" s="51">
        <f>VLOOKUP($A165,'Data Vlaue (Cr)'!$C:$FB,66)*100</f>
        <v>60.709999999999994</v>
      </c>
    </row>
    <row r="166" spans="1:15" x14ac:dyDescent="0.25">
      <c r="A166" s="101" t="str">
        <f>'Data Vlaue (Cr)'!C161</f>
        <v>PHOENIXLTD</v>
      </c>
      <c r="B166" s="50">
        <f>VLOOKUP($A166,'Data Vlaue (Cr)'!$C:$FB,8)</f>
        <v>1594.4</v>
      </c>
      <c r="C166" s="50">
        <f>VLOOKUP($A166,'Data Vlaue (Cr)'!$C:$FB,11)*100</f>
        <v>2.04</v>
      </c>
      <c r="D166" s="50">
        <f>VLOOKUP($A166,'Data Vlaue (Cr)'!$C:$FB,143)</f>
        <v>258.49</v>
      </c>
      <c r="E166" s="50">
        <f>VLOOKUP($A166,'Data Vlaue (Cr)'!$C:$FB,144)</f>
        <v>123.2</v>
      </c>
      <c r="F166" s="50">
        <f>VLOOKUP($A166,'Data Vlaue (Cr)'!$C:$FB,146)*100</f>
        <v>109.81</v>
      </c>
      <c r="G166" s="49">
        <f>VLOOKUP($A166,'Data Vlaue (Cr)'!$C:$FB,43)</f>
        <v>72</v>
      </c>
      <c r="H166" s="49">
        <f>VLOOKUP($A166,'Data Vlaue (Cr)'!$C:$FB,44)</f>
        <v>62</v>
      </c>
      <c r="I166" s="49">
        <f>VLOOKUP($A166,'Data Vlaue (Cr)'!$C:$FB,46)*100</f>
        <v>17.740000000000002</v>
      </c>
      <c r="J166" s="51">
        <f>VLOOKUP($A166,'Data Vlaue (Cr)'!$C:$FB,59)</f>
        <v>146</v>
      </c>
      <c r="K166" s="51">
        <f>VLOOKUP($A166,'Data Vlaue (Cr)'!$C:$FB,60)</f>
        <v>41</v>
      </c>
      <c r="L166" s="51">
        <f>VLOOKUP($A166,'Data Vlaue (Cr)'!$C:$FB,62)*100</f>
        <v>256.75</v>
      </c>
      <c r="M166" s="51">
        <f>VLOOKUP($A166,'Data Vlaue (Cr)'!$C:$FB,63)</f>
        <v>36</v>
      </c>
      <c r="N166" s="51">
        <f>VLOOKUP($A166,'Data Vlaue (Cr)'!$C:$FB,64)</f>
        <v>22</v>
      </c>
      <c r="O166" s="51">
        <f>VLOOKUP($A166,'Data Vlaue (Cr)'!$C:$FB,66)*100</f>
        <v>65.03</v>
      </c>
    </row>
    <row r="167" spans="1:15" x14ac:dyDescent="0.25">
      <c r="A167" s="101" t="str">
        <f>'Data Vlaue (Cr)'!C162</f>
        <v>PIDILITIND</v>
      </c>
      <c r="B167" s="50">
        <f>VLOOKUP($A167,'Data Vlaue (Cr)'!$C:$FB,8)</f>
        <v>1489</v>
      </c>
      <c r="C167" s="50">
        <f>VLOOKUP($A167,'Data Vlaue (Cr)'!$C:$FB,11)*100</f>
        <v>-0.04</v>
      </c>
      <c r="D167" s="50">
        <f>VLOOKUP($A167,'Data Vlaue (Cr)'!$C:$FB,143)</f>
        <v>173.35</v>
      </c>
      <c r="E167" s="50">
        <f>VLOOKUP($A167,'Data Vlaue (Cr)'!$C:$FB,144)</f>
        <v>360.59</v>
      </c>
      <c r="F167" s="50">
        <f>VLOOKUP($A167,'Data Vlaue (Cr)'!$C:$FB,146)*100</f>
        <v>-51.93</v>
      </c>
      <c r="G167" s="49">
        <f>VLOOKUP($A167,'Data Vlaue (Cr)'!$C:$FB,43)</f>
        <v>66</v>
      </c>
      <c r="H167" s="49">
        <f>VLOOKUP($A167,'Data Vlaue (Cr)'!$C:$FB,44)</f>
        <v>132</v>
      </c>
      <c r="I167" s="49">
        <f>VLOOKUP($A167,'Data Vlaue (Cr)'!$C:$FB,46)*100</f>
        <v>-50.4</v>
      </c>
      <c r="J167" s="51">
        <f>VLOOKUP($A167,'Data Vlaue (Cr)'!$C:$FB,59)</f>
        <v>69</v>
      </c>
      <c r="K167" s="51">
        <f>VLOOKUP($A167,'Data Vlaue (Cr)'!$C:$FB,60)</f>
        <v>167</v>
      </c>
      <c r="L167" s="51">
        <f>VLOOKUP($A167,'Data Vlaue (Cr)'!$C:$FB,62)*100</f>
        <v>-58.42</v>
      </c>
      <c r="M167" s="51">
        <f>VLOOKUP($A167,'Data Vlaue (Cr)'!$C:$FB,63)</f>
        <v>37</v>
      </c>
      <c r="N167" s="51">
        <f>VLOOKUP($A167,'Data Vlaue (Cr)'!$C:$FB,64)</f>
        <v>59</v>
      </c>
      <c r="O167" s="51">
        <f>VLOOKUP($A167,'Data Vlaue (Cr)'!$C:$FB,66)*100</f>
        <v>-37.93</v>
      </c>
    </row>
    <row r="168" spans="1:15" x14ac:dyDescent="0.25">
      <c r="A168" s="101" t="str">
        <f>'Data Vlaue (Cr)'!C163</f>
        <v>PIIND</v>
      </c>
      <c r="B168" s="50">
        <f>VLOOKUP($A168,'Data Vlaue (Cr)'!$C:$FB,8)</f>
        <v>3630.4</v>
      </c>
      <c r="C168" s="50">
        <f>VLOOKUP($A168,'Data Vlaue (Cr)'!$C:$FB,11)*100</f>
        <v>0.37</v>
      </c>
      <c r="D168" s="50">
        <f>VLOOKUP($A168,'Data Vlaue (Cr)'!$C:$FB,143)</f>
        <v>411.17</v>
      </c>
      <c r="E168" s="50">
        <f>VLOOKUP($A168,'Data Vlaue (Cr)'!$C:$FB,144)</f>
        <v>249.78</v>
      </c>
      <c r="F168" s="50">
        <f>VLOOKUP($A168,'Data Vlaue (Cr)'!$C:$FB,146)*100</f>
        <v>64.61</v>
      </c>
      <c r="G168" s="49">
        <f>VLOOKUP($A168,'Data Vlaue (Cr)'!$C:$FB,43)</f>
        <v>143</v>
      </c>
      <c r="H168" s="49">
        <f>VLOOKUP($A168,'Data Vlaue (Cr)'!$C:$FB,44)</f>
        <v>87</v>
      </c>
      <c r="I168" s="49">
        <f>VLOOKUP($A168,'Data Vlaue (Cr)'!$C:$FB,46)*100</f>
        <v>64.680000000000007</v>
      </c>
      <c r="J168" s="51">
        <f>VLOOKUP($A168,'Data Vlaue (Cr)'!$C:$FB,59)</f>
        <v>176</v>
      </c>
      <c r="K168" s="51">
        <f>VLOOKUP($A168,'Data Vlaue (Cr)'!$C:$FB,60)</f>
        <v>102</v>
      </c>
      <c r="L168" s="51">
        <f>VLOOKUP($A168,'Data Vlaue (Cr)'!$C:$FB,62)*100</f>
        <v>72.61</v>
      </c>
      <c r="M168" s="51">
        <f>VLOOKUP($A168,'Data Vlaue (Cr)'!$C:$FB,63)</f>
        <v>88</v>
      </c>
      <c r="N168" s="51">
        <f>VLOOKUP($A168,'Data Vlaue (Cr)'!$C:$FB,64)</f>
        <v>59</v>
      </c>
      <c r="O168" s="51">
        <f>VLOOKUP($A168,'Data Vlaue (Cr)'!$C:$FB,66)*100</f>
        <v>50.760000000000005</v>
      </c>
    </row>
    <row r="169" spans="1:15" x14ac:dyDescent="0.25">
      <c r="A169" s="101" t="str">
        <f>'Data Vlaue (Cr)'!C164</f>
        <v>PNB</v>
      </c>
      <c r="B169" s="50">
        <f>VLOOKUP($A169,'Data Vlaue (Cr)'!$C:$FB,8)</f>
        <v>114.54</v>
      </c>
      <c r="C169" s="50">
        <f>VLOOKUP($A169,'Data Vlaue (Cr)'!$C:$FB,11)*100</f>
        <v>0.15</v>
      </c>
      <c r="D169" s="50">
        <f>VLOOKUP($A169,'Data Vlaue (Cr)'!$C:$FB,143)</f>
        <v>3167.45</v>
      </c>
      <c r="E169" s="50">
        <f>VLOOKUP($A169,'Data Vlaue (Cr)'!$C:$FB,144)</f>
        <v>3984.78</v>
      </c>
      <c r="F169" s="50">
        <f>VLOOKUP($A169,'Data Vlaue (Cr)'!$C:$FB,146)*100</f>
        <v>-20.51</v>
      </c>
      <c r="G169" s="49">
        <f>VLOOKUP($A169,'Data Vlaue (Cr)'!$C:$FB,43)</f>
        <v>547</v>
      </c>
      <c r="H169" s="49">
        <f>VLOOKUP($A169,'Data Vlaue (Cr)'!$C:$FB,44)</f>
        <v>677</v>
      </c>
      <c r="I169" s="49">
        <f>VLOOKUP($A169,'Data Vlaue (Cr)'!$C:$FB,46)*100</f>
        <v>-19.139999999999997</v>
      </c>
      <c r="J169" s="51">
        <f>VLOOKUP($A169,'Data Vlaue (Cr)'!$C:$FB,59)</f>
        <v>1800</v>
      </c>
      <c r="K169" s="51">
        <f>VLOOKUP($A169,'Data Vlaue (Cr)'!$C:$FB,60)</f>
        <v>2248</v>
      </c>
      <c r="L169" s="51">
        <f>VLOOKUP($A169,'Data Vlaue (Cr)'!$C:$FB,62)*100</f>
        <v>-19.91</v>
      </c>
      <c r="M169" s="51">
        <f>VLOOKUP($A169,'Data Vlaue (Cr)'!$C:$FB,63)</f>
        <v>752</v>
      </c>
      <c r="N169" s="51">
        <f>VLOOKUP($A169,'Data Vlaue (Cr)'!$C:$FB,64)</f>
        <v>1010</v>
      </c>
      <c r="O169" s="51">
        <f>VLOOKUP($A169,'Data Vlaue (Cr)'!$C:$FB,66)*100</f>
        <v>-25.569999999999997</v>
      </c>
    </row>
    <row r="170" spans="1:15" x14ac:dyDescent="0.25">
      <c r="A170" s="101" t="str">
        <f>'Data Vlaue (Cr)'!C165</f>
        <v>PNBHOUSING</v>
      </c>
      <c r="B170" s="50">
        <f>VLOOKUP($A170,'Data Vlaue (Cr)'!$C:$FB,8)</f>
        <v>895.05</v>
      </c>
      <c r="C170" s="50">
        <f>VLOOKUP($A170,'Data Vlaue (Cr)'!$C:$FB,11)*100</f>
        <v>0.79</v>
      </c>
      <c r="D170" s="50">
        <f>VLOOKUP($A170,'Data Vlaue (Cr)'!$C:$FB,143)</f>
        <v>594.44000000000005</v>
      </c>
      <c r="E170" s="50">
        <f>VLOOKUP($A170,'Data Vlaue (Cr)'!$C:$FB,144)</f>
        <v>296.39</v>
      </c>
      <c r="F170" s="50">
        <f>VLOOKUP($A170,'Data Vlaue (Cr)'!$C:$FB,146)*100</f>
        <v>100.56</v>
      </c>
      <c r="G170" s="49">
        <f>VLOOKUP($A170,'Data Vlaue (Cr)'!$C:$FB,43)</f>
        <v>184</v>
      </c>
      <c r="H170" s="49">
        <f>VLOOKUP($A170,'Data Vlaue (Cr)'!$C:$FB,44)</f>
        <v>95</v>
      </c>
      <c r="I170" s="49">
        <f>VLOOKUP($A170,'Data Vlaue (Cr)'!$C:$FB,46)*100</f>
        <v>93.43</v>
      </c>
      <c r="J170" s="51">
        <f>VLOOKUP($A170,'Data Vlaue (Cr)'!$C:$FB,59)</f>
        <v>280</v>
      </c>
      <c r="K170" s="51">
        <f>VLOOKUP($A170,'Data Vlaue (Cr)'!$C:$FB,60)</f>
        <v>120</v>
      </c>
      <c r="L170" s="51">
        <f>VLOOKUP($A170,'Data Vlaue (Cr)'!$C:$FB,62)*100</f>
        <v>133.81</v>
      </c>
      <c r="M170" s="51">
        <f>VLOOKUP($A170,'Data Vlaue (Cr)'!$C:$FB,63)</f>
        <v>118</v>
      </c>
      <c r="N170" s="51">
        <f>VLOOKUP($A170,'Data Vlaue (Cr)'!$C:$FB,64)</f>
        <v>81</v>
      </c>
      <c r="O170" s="51">
        <f>VLOOKUP($A170,'Data Vlaue (Cr)'!$C:$FB,66)*100</f>
        <v>46.51</v>
      </c>
    </row>
    <row r="171" spans="1:15" x14ac:dyDescent="0.25">
      <c r="A171" s="101" t="str">
        <f>'Data Vlaue (Cr)'!C166</f>
        <v>POLICYBZR</v>
      </c>
      <c r="B171" s="50">
        <f>VLOOKUP($A171,'Data Vlaue (Cr)'!$C:$FB,8)</f>
        <v>1725.4</v>
      </c>
      <c r="C171" s="50">
        <f>VLOOKUP($A171,'Data Vlaue (Cr)'!$C:$FB,11)*100</f>
        <v>1.46</v>
      </c>
      <c r="D171" s="50">
        <f>VLOOKUP($A171,'Data Vlaue (Cr)'!$C:$FB,143)</f>
        <v>582.72</v>
      </c>
      <c r="E171" s="50">
        <f>VLOOKUP($A171,'Data Vlaue (Cr)'!$C:$FB,144)</f>
        <v>1026.51</v>
      </c>
      <c r="F171" s="50">
        <f>VLOOKUP($A171,'Data Vlaue (Cr)'!$C:$FB,146)*100</f>
        <v>-43.230000000000004</v>
      </c>
      <c r="G171" s="49">
        <f>VLOOKUP($A171,'Data Vlaue (Cr)'!$C:$FB,43)</f>
        <v>232</v>
      </c>
      <c r="H171" s="49">
        <f>VLOOKUP($A171,'Data Vlaue (Cr)'!$C:$FB,44)</f>
        <v>312</v>
      </c>
      <c r="I171" s="49">
        <f>VLOOKUP($A171,'Data Vlaue (Cr)'!$C:$FB,46)*100</f>
        <v>-25.419999999999998</v>
      </c>
      <c r="J171" s="51">
        <f>VLOOKUP($A171,'Data Vlaue (Cr)'!$C:$FB,59)</f>
        <v>205</v>
      </c>
      <c r="K171" s="51">
        <f>VLOOKUP($A171,'Data Vlaue (Cr)'!$C:$FB,60)</f>
        <v>302</v>
      </c>
      <c r="L171" s="51">
        <f>VLOOKUP($A171,'Data Vlaue (Cr)'!$C:$FB,62)*100</f>
        <v>-32.15</v>
      </c>
      <c r="M171" s="51">
        <f>VLOOKUP($A171,'Data Vlaue (Cr)'!$C:$FB,63)</f>
        <v>146</v>
      </c>
      <c r="N171" s="51">
        <f>VLOOKUP($A171,'Data Vlaue (Cr)'!$C:$FB,64)</f>
        <v>433</v>
      </c>
      <c r="O171" s="51">
        <f>VLOOKUP($A171,'Data Vlaue (Cr)'!$C:$FB,66)*100</f>
        <v>-66.41</v>
      </c>
    </row>
    <row r="172" spans="1:15" x14ac:dyDescent="0.25">
      <c r="A172" s="101" t="str">
        <f>'Data Vlaue (Cr)'!C167</f>
        <v>POLYCAB</v>
      </c>
      <c r="B172" s="50">
        <f>VLOOKUP($A172,'Data Vlaue (Cr)'!$C:$FB,8)</f>
        <v>7615.5</v>
      </c>
      <c r="C172" s="50">
        <f>VLOOKUP($A172,'Data Vlaue (Cr)'!$C:$FB,11)*100</f>
        <v>3.01</v>
      </c>
      <c r="D172" s="50">
        <f>VLOOKUP($A172,'Data Vlaue (Cr)'!$C:$FB,143)</f>
        <v>2102.5100000000002</v>
      </c>
      <c r="E172" s="50">
        <f>VLOOKUP($A172,'Data Vlaue (Cr)'!$C:$FB,144)</f>
        <v>657.21</v>
      </c>
      <c r="F172" s="50">
        <f>VLOOKUP($A172,'Data Vlaue (Cr)'!$C:$FB,146)*100</f>
        <v>219.91</v>
      </c>
      <c r="G172" s="49">
        <f>VLOOKUP($A172,'Data Vlaue (Cr)'!$C:$FB,43)</f>
        <v>386</v>
      </c>
      <c r="H172" s="49">
        <f>VLOOKUP($A172,'Data Vlaue (Cr)'!$C:$FB,44)</f>
        <v>152</v>
      </c>
      <c r="I172" s="49">
        <f>VLOOKUP($A172,'Data Vlaue (Cr)'!$C:$FB,46)*100</f>
        <v>153.13000000000002</v>
      </c>
      <c r="J172" s="51">
        <f>VLOOKUP($A172,'Data Vlaue (Cr)'!$C:$FB,59)</f>
        <v>1233</v>
      </c>
      <c r="K172" s="51">
        <f>VLOOKUP($A172,'Data Vlaue (Cr)'!$C:$FB,60)</f>
        <v>348</v>
      </c>
      <c r="L172" s="51">
        <f>VLOOKUP($A172,'Data Vlaue (Cr)'!$C:$FB,62)*100</f>
        <v>254.39</v>
      </c>
      <c r="M172" s="51">
        <f>VLOOKUP($A172,'Data Vlaue (Cr)'!$C:$FB,63)</f>
        <v>462</v>
      </c>
      <c r="N172" s="51">
        <f>VLOOKUP($A172,'Data Vlaue (Cr)'!$C:$FB,64)</f>
        <v>163</v>
      </c>
      <c r="O172" s="51">
        <f>VLOOKUP($A172,'Data Vlaue (Cr)'!$C:$FB,66)*100</f>
        <v>182.81</v>
      </c>
    </row>
    <row r="173" spans="1:15" x14ac:dyDescent="0.25">
      <c r="A173" s="101" t="str">
        <f>'Data Vlaue (Cr)'!C168</f>
        <v>POWERGRID</v>
      </c>
      <c r="B173" s="50">
        <f>VLOOKUP($A173,'Data Vlaue (Cr)'!$C:$FB,8)</f>
        <v>286.89999999999998</v>
      </c>
      <c r="C173" s="50">
        <f>VLOOKUP($A173,'Data Vlaue (Cr)'!$C:$FB,11)*100</f>
        <v>-0.97</v>
      </c>
      <c r="D173" s="50">
        <f>VLOOKUP($A173,'Data Vlaue (Cr)'!$C:$FB,143)</f>
        <v>1212.22</v>
      </c>
      <c r="E173" s="50">
        <f>VLOOKUP($A173,'Data Vlaue (Cr)'!$C:$FB,144)</f>
        <v>1893.6</v>
      </c>
      <c r="F173" s="50">
        <f>VLOOKUP($A173,'Data Vlaue (Cr)'!$C:$FB,146)*100</f>
        <v>-35.980000000000004</v>
      </c>
      <c r="G173" s="49">
        <f>VLOOKUP($A173,'Data Vlaue (Cr)'!$C:$FB,43)</f>
        <v>254</v>
      </c>
      <c r="H173" s="49">
        <f>VLOOKUP($A173,'Data Vlaue (Cr)'!$C:$FB,44)</f>
        <v>412</v>
      </c>
      <c r="I173" s="49">
        <f>VLOOKUP($A173,'Data Vlaue (Cr)'!$C:$FB,46)*100</f>
        <v>-38.36</v>
      </c>
      <c r="J173" s="51">
        <f>VLOOKUP($A173,'Data Vlaue (Cr)'!$C:$FB,59)</f>
        <v>636</v>
      </c>
      <c r="K173" s="51">
        <f>VLOOKUP($A173,'Data Vlaue (Cr)'!$C:$FB,60)</f>
        <v>1046</v>
      </c>
      <c r="L173" s="51">
        <f>VLOOKUP($A173,'Data Vlaue (Cr)'!$C:$FB,62)*100</f>
        <v>-39.160000000000004</v>
      </c>
      <c r="M173" s="51">
        <f>VLOOKUP($A173,'Data Vlaue (Cr)'!$C:$FB,63)</f>
        <v>302</v>
      </c>
      <c r="N173" s="51">
        <f>VLOOKUP($A173,'Data Vlaue (Cr)'!$C:$FB,64)</f>
        <v>404</v>
      </c>
      <c r="O173" s="51">
        <f>VLOOKUP($A173,'Data Vlaue (Cr)'!$C:$FB,66)*100</f>
        <v>-25.35</v>
      </c>
    </row>
    <row r="174" spans="1:15" x14ac:dyDescent="0.25">
      <c r="A174" s="101" t="str">
        <f>'Data Vlaue (Cr)'!C169</f>
        <v>POWERINDIA</v>
      </c>
      <c r="B174" s="50">
        <f>VLOOKUP($A174,'Data Vlaue (Cr)'!$C:$FB,8)</f>
        <v>18203</v>
      </c>
      <c r="C174" s="50">
        <f>VLOOKUP($A174,'Data Vlaue (Cr)'!$C:$FB,11)*100</f>
        <v>-0.11</v>
      </c>
      <c r="D174" s="50">
        <f>VLOOKUP($A174,'Data Vlaue (Cr)'!$C:$FB,143)</f>
        <v>65.05</v>
      </c>
      <c r="E174" s="50">
        <f>VLOOKUP($A174,'Data Vlaue (Cr)'!$C:$FB,144)</f>
        <v>102.65</v>
      </c>
      <c r="F174" s="50">
        <f>VLOOKUP($A174,'Data Vlaue (Cr)'!$C:$FB,146)*100</f>
        <v>-36.620000000000005</v>
      </c>
      <c r="G174" s="49">
        <f>VLOOKUP($A174,'Data Vlaue (Cr)'!$C:$FB,43)</f>
        <v>35</v>
      </c>
      <c r="H174" s="49">
        <f>VLOOKUP($A174,'Data Vlaue (Cr)'!$C:$FB,44)</f>
        <v>35</v>
      </c>
      <c r="I174" s="49">
        <f>VLOOKUP($A174,'Data Vlaue (Cr)'!$C:$FB,46)*100</f>
        <v>-1.55</v>
      </c>
      <c r="J174" s="51">
        <f>VLOOKUP($A174,'Data Vlaue (Cr)'!$C:$FB,59)</f>
        <v>22</v>
      </c>
      <c r="K174" s="51">
        <f>VLOOKUP($A174,'Data Vlaue (Cr)'!$C:$FB,60)</f>
        <v>55</v>
      </c>
      <c r="L174" s="51">
        <f>VLOOKUP($A174,'Data Vlaue (Cr)'!$C:$FB,62)*100</f>
        <v>-60.3</v>
      </c>
      <c r="M174" s="51">
        <f>VLOOKUP($A174,'Data Vlaue (Cr)'!$C:$FB,63)</f>
        <v>6</v>
      </c>
      <c r="N174" s="51">
        <f>VLOOKUP($A174,'Data Vlaue (Cr)'!$C:$FB,64)</f>
        <v>8</v>
      </c>
      <c r="O174" s="51">
        <f>VLOOKUP($A174,'Data Vlaue (Cr)'!$C:$FB,66)*100</f>
        <v>-19.32</v>
      </c>
    </row>
    <row r="175" spans="1:15" x14ac:dyDescent="0.25">
      <c r="A175" s="101" t="str">
        <f>'Data Vlaue (Cr)'!C170</f>
        <v>PPLPHARMA</v>
      </c>
      <c r="B175" s="50">
        <f>VLOOKUP($A175,'Data Vlaue (Cr)'!$C:$FB,8)</f>
        <v>195.61</v>
      </c>
      <c r="C175" s="50">
        <f>VLOOKUP($A175,'Data Vlaue (Cr)'!$C:$FB,11)*100</f>
        <v>-1.44</v>
      </c>
      <c r="D175" s="50">
        <f>VLOOKUP($A175,'Data Vlaue (Cr)'!$C:$FB,143)</f>
        <v>222.3</v>
      </c>
      <c r="E175" s="50">
        <f>VLOOKUP($A175,'Data Vlaue (Cr)'!$C:$FB,144)</f>
        <v>198.51</v>
      </c>
      <c r="F175" s="50">
        <f>VLOOKUP($A175,'Data Vlaue (Cr)'!$C:$FB,146)*100</f>
        <v>11.98</v>
      </c>
      <c r="G175" s="49">
        <f>VLOOKUP($A175,'Data Vlaue (Cr)'!$C:$FB,43)</f>
        <v>54</v>
      </c>
      <c r="H175" s="49">
        <f>VLOOKUP($A175,'Data Vlaue (Cr)'!$C:$FB,44)</f>
        <v>52</v>
      </c>
      <c r="I175" s="49">
        <f>VLOOKUP($A175,'Data Vlaue (Cr)'!$C:$FB,46)*100</f>
        <v>3.61</v>
      </c>
      <c r="J175" s="51">
        <f>VLOOKUP($A175,'Data Vlaue (Cr)'!$C:$FB,59)</f>
        <v>100</v>
      </c>
      <c r="K175" s="51">
        <f>VLOOKUP($A175,'Data Vlaue (Cr)'!$C:$FB,60)</f>
        <v>94</v>
      </c>
      <c r="L175" s="51">
        <f>VLOOKUP($A175,'Data Vlaue (Cr)'!$C:$FB,62)*100</f>
        <v>7.03</v>
      </c>
      <c r="M175" s="51">
        <f>VLOOKUP($A175,'Data Vlaue (Cr)'!$C:$FB,63)</f>
        <v>61</v>
      </c>
      <c r="N175" s="51">
        <f>VLOOKUP($A175,'Data Vlaue (Cr)'!$C:$FB,64)</f>
        <v>44</v>
      </c>
      <c r="O175" s="51">
        <f>VLOOKUP($A175,'Data Vlaue (Cr)'!$C:$FB,66)*100</f>
        <v>37.130000000000003</v>
      </c>
    </row>
    <row r="176" spans="1:15" x14ac:dyDescent="0.25">
      <c r="A176" s="101" t="str">
        <f>'Data Vlaue (Cr)'!C171</f>
        <v>PRESTIGE</v>
      </c>
      <c r="B176" s="50">
        <f>VLOOKUP($A176,'Data Vlaue (Cr)'!$C:$FB,8)</f>
        <v>1541.3</v>
      </c>
      <c r="C176" s="50">
        <f>VLOOKUP($A176,'Data Vlaue (Cr)'!$C:$FB,11)*100</f>
        <v>0.73</v>
      </c>
      <c r="D176" s="50">
        <f>VLOOKUP($A176,'Data Vlaue (Cr)'!$C:$FB,143)</f>
        <v>344.74</v>
      </c>
      <c r="E176" s="50">
        <f>VLOOKUP($A176,'Data Vlaue (Cr)'!$C:$FB,144)</f>
        <v>374.36</v>
      </c>
      <c r="F176" s="50">
        <f>VLOOKUP($A176,'Data Vlaue (Cr)'!$C:$FB,146)*100</f>
        <v>-7.91</v>
      </c>
      <c r="G176" s="49">
        <f>VLOOKUP($A176,'Data Vlaue (Cr)'!$C:$FB,43)</f>
        <v>104</v>
      </c>
      <c r="H176" s="49">
        <f>VLOOKUP($A176,'Data Vlaue (Cr)'!$C:$FB,44)</f>
        <v>139</v>
      </c>
      <c r="I176" s="49">
        <f>VLOOKUP($A176,'Data Vlaue (Cr)'!$C:$FB,46)*100</f>
        <v>-25.11</v>
      </c>
      <c r="J176" s="51">
        <f>VLOOKUP($A176,'Data Vlaue (Cr)'!$C:$FB,59)</f>
        <v>157</v>
      </c>
      <c r="K176" s="51">
        <f>VLOOKUP($A176,'Data Vlaue (Cr)'!$C:$FB,60)</f>
        <v>142</v>
      </c>
      <c r="L176" s="51">
        <f>VLOOKUP($A176,'Data Vlaue (Cr)'!$C:$FB,62)*100</f>
        <v>10.85</v>
      </c>
      <c r="M176" s="51">
        <f>VLOOKUP($A176,'Data Vlaue (Cr)'!$C:$FB,63)</f>
        <v>77</v>
      </c>
      <c r="N176" s="51">
        <f>VLOOKUP($A176,'Data Vlaue (Cr)'!$C:$FB,64)</f>
        <v>88</v>
      </c>
      <c r="O176" s="51">
        <f>VLOOKUP($A176,'Data Vlaue (Cr)'!$C:$FB,66)*100</f>
        <v>-12.02</v>
      </c>
    </row>
    <row r="177" spans="1:15" x14ac:dyDescent="0.25">
      <c r="A177" s="101" t="str">
        <f>'Data Vlaue (Cr)'!C172</f>
        <v>RBLBANK</v>
      </c>
      <c r="B177" s="50">
        <f>VLOOKUP($A177,'Data Vlaue (Cr)'!$C:$FB,8)</f>
        <v>275.60000000000002</v>
      </c>
      <c r="C177" s="50">
        <f>VLOOKUP($A177,'Data Vlaue (Cr)'!$C:$FB,11)*100</f>
        <v>-0.11</v>
      </c>
      <c r="D177" s="50">
        <f>VLOOKUP($A177,'Data Vlaue (Cr)'!$C:$FB,143)</f>
        <v>64.319999999999993</v>
      </c>
      <c r="E177" s="50">
        <f>VLOOKUP($A177,'Data Vlaue (Cr)'!$C:$FB,144)</f>
        <v>138.19999999999999</v>
      </c>
      <c r="F177" s="50">
        <f>VLOOKUP($A177,'Data Vlaue (Cr)'!$C:$FB,146)*100</f>
        <v>-53.459999999999994</v>
      </c>
      <c r="G177" s="49">
        <f>VLOOKUP($A177,'Data Vlaue (Cr)'!$C:$FB,43)</f>
        <v>36</v>
      </c>
      <c r="H177" s="49">
        <f>VLOOKUP($A177,'Data Vlaue (Cr)'!$C:$FB,44)</f>
        <v>104</v>
      </c>
      <c r="I177" s="49">
        <f>VLOOKUP($A177,'Data Vlaue (Cr)'!$C:$FB,46)*100</f>
        <v>-65.759999999999991</v>
      </c>
      <c r="J177" s="51">
        <f>VLOOKUP($A177,'Data Vlaue (Cr)'!$C:$FB,59)</f>
        <v>20</v>
      </c>
      <c r="K177" s="51">
        <f>VLOOKUP($A177,'Data Vlaue (Cr)'!$C:$FB,60)</f>
        <v>26</v>
      </c>
      <c r="L177" s="51">
        <f>VLOOKUP($A177,'Data Vlaue (Cr)'!$C:$FB,62)*100</f>
        <v>-22.56</v>
      </c>
      <c r="M177" s="51">
        <f>VLOOKUP($A177,'Data Vlaue (Cr)'!$C:$FB,63)</f>
        <v>7</v>
      </c>
      <c r="N177" s="51">
        <f>VLOOKUP($A177,'Data Vlaue (Cr)'!$C:$FB,64)</f>
        <v>6</v>
      </c>
      <c r="O177" s="51">
        <f>VLOOKUP($A177,'Data Vlaue (Cr)'!$C:$FB,66)*100</f>
        <v>14.08</v>
      </c>
    </row>
    <row r="178" spans="1:15" x14ac:dyDescent="0.25">
      <c r="A178" s="101" t="str">
        <f>'Data Vlaue (Cr)'!C173</f>
        <v>RECLTD</v>
      </c>
      <c r="B178" s="50">
        <f>VLOOKUP($A178,'Data Vlaue (Cr)'!$C:$FB,8)</f>
        <v>378.05</v>
      </c>
      <c r="C178" s="50">
        <f>VLOOKUP($A178,'Data Vlaue (Cr)'!$C:$FB,11)*100</f>
        <v>-0.6</v>
      </c>
      <c r="D178" s="50">
        <f>VLOOKUP($A178,'Data Vlaue (Cr)'!$C:$FB,143)</f>
        <v>944.24</v>
      </c>
      <c r="E178" s="50">
        <f>VLOOKUP($A178,'Data Vlaue (Cr)'!$C:$FB,144)</f>
        <v>1125.0999999999999</v>
      </c>
      <c r="F178" s="50">
        <f>VLOOKUP($A178,'Data Vlaue (Cr)'!$C:$FB,146)*100</f>
        <v>-16.07</v>
      </c>
      <c r="G178" s="49">
        <f>VLOOKUP($A178,'Data Vlaue (Cr)'!$C:$FB,43)</f>
        <v>194</v>
      </c>
      <c r="H178" s="49">
        <f>VLOOKUP($A178,'Data Vlaue (Cr)'!$C:$FB,44)</f>
        <v>224</v>
      </c>
      <c r="I178" s="49">
        <f>VLOOKUP($A178,'Data Vlaue (Cr)'!$C:$FB,46)*100</f>
        <v>-13.389999999999999</v>
      </c>
      <c r="J178" s="51">
        <f>VLOOKUP($A178,'Data Vlaue (Cr)'!$C:$FB,59)</f>
        <v>453</v>
      </c>
      <c r="K178" s="51">
        <f>VLOOKUP($A178,'Data Vlaue (Cr)'!$C:$FB,60)</f>
        <v>574</v>
      </c>
      <c r="L178" s="51">
        <f>VLOOKUP($A178,'Data Vlaue (Cr)'!$C:$FB,62)*100</f>
        <v>-21.08</v>
      </c>
      <c r="M178" s="51">
        <f>VLOOKUP($A178,'Data Vlaue (Cr)'!$C:$FB,63)</f>
        <v>282</v>
      </c>
      <c r="N178" s="51">
        <f>VLOOKUP($A178,'Data Vlaue (Cr)'!$C:$FB,64)</f>
        <v>303</v>
      </c>
      <c r="O178" s="51">
        <f>VLOOKUP($A178,'Data Vlaue (Cr)'!$C:$FB,66)*100</f>
        <v>-6.93</v>
      </c>
    </row>
    <row r="179" spans="1:15" x14ac:dyDescent="0.25">
      <c r="A179" s="101" t="str">
        <f>'Data Vlaue (Cr)'!C174</f>
        <v>RELIANCE</v>
      </c>
      <c r="B179" s="50">
        <f>VLOOKUP($A179,'Data Vlaue (Cr)'!$C:$FB,8)</f>
        <v>1375</v>
      </c>
      <c r="C179" s="50">
        <f>VLOOKUP($A179,'Data Vlaue (Cr)'!$C:$FB,11)*100</f>
        <v>0.85000000000000009</v>
      </c>
      <c r="D179" s="50">
        <f>VLOOKUP($A179,'Data Vlaue (Cr)'!$C:$FB,143)</f>
        <v>13170.58</v>
      </c>
      <c r="E179" s="50">
        <f>VLOOKUP($A179,'Data Vlaue (Cr)'!$C:$FB,144)</f>
        <v>10609.3</v>
      </c>
      <c r="F179" s="50">
        <f>VLOOKUP($A179,'Data Vlaue (Cr)'!$C:$FB,146)*100</f>
        <v>24.14</v>
      </c>
      <c r="G179" s="49">
        <f>VLOOKUP($A179,'Data Vlaue (Cr)'!$C:$FB,43)</f>
        <v>2178</v>
      </c>
      <c r="H179" s="49">
        <f>VLOOKUP($A179,'Data Vlaue (Cr)'!$C:$FB,44)</f>
        <v>1673</v>
      </c>
      <c r="I179" s="49">
        <f>VLOOKUP($A179,'Data Vlaue (Cr)'!$C:$FB,46)*100</f>
        <v>30.12</v>
      </c>
      <c r="J179" s="51">
        <f>VLOOKUP($A179,'Data Vlaue (Cr)'!$C:$FB,59)</f>
        <v>7220</v>
      </c>
      <c r="K179" s="51">
        <f>VLOOKUP($A179,'Data Vlaue (Cr)'!$C:$FB,60)</f>
        <v>5592</v>
      </c>
      <c r="L179" s="51">
        <f>VLOOKUP($A179,'Data Vlaue (Cr)'!$C:$FB,62)*100</f>
        <v>29.099999999999998</v>
      </c>
      <c r="M179" s="51">
        <f>VLOOKUP($A179,'Data Vlaue (Cr)'!$C:$FB,63)</f>
        <v>3641</v>
      </c>
      <c r="N179" s="51">
        <f>VLOOKUP($A179,'Data Vlaue (Cr)'!$C:$FB,64)</f>
        <v>3271</v>
      </c>
      <c r="O179" s="51">
        <f>VLOOKUP($A179,'Data Vlaue (Cr)'!$C:$FB,66)*100</f>
        <v>11.34</v>
      </c>
    </row>
    <row r="180" spans="1:15" x14ac:dyDescent="0.25">
      <c r="A180" s="101" t="str">
        <f>'Data Vlaue (Cr)'!C175</f>
        <v>RVNL</v>
      </c>
      <c r="B180" s="50">
        <f>VLOOKUP($A180,'Data Vlaue (Cr)'!$C:$FB,8)</f>
        <v>346.6</v>
      </c>
      <c r="C180" s="50">
        <f>VLOOKUP($A180,'Data Vlaue (Cr)'!$C:$FB,11)*100</f>
        <v>-0.13</v>
      </c>
      <c r="D180" s="50">
        <f>VLOOKUP($A180,'Data Vlaue (Cr)'!$C:$FB,143)</f>
        <v>512.51</v>
      </c>
      <c r="E180" s="50">
        <f>VLOOKUP($A180,'Data Vlaue (Cr)'!$C:$FB,144)</f>
        <v>628.75</v>
      </c>
      <c r="F180" s="50">
        <f>VLOOKUP($A180,'Data Vlaue (Cr)'!$C:$FB,146)*100</f>
        <v>-18.490000000000002</v>
      </c>
      <c r="G180" s="49">
        <f>VLOOKUP($A180,'Data Vlaue (Cr)'!$C:$FB,43)</f>
        <v>104</v>
      </c>
      <c r="H180" s="49">
        <f>VLOOKUP($A180,'Data Vlaue (Cr)'!$C:$FB,44)</f>
        <v>141</v>
      </c>
      <c r="I180" s="49">
        <f>VLOOKUP($A180,'Data Vlaue (Cr)'!$C:$FB,46)*100</f>
        <v>-25.95</v>
      </c>
      <c r="J180" s="51">
        <f>VLOOKUP($A180,'Data Vlaue (Cr)'!$C:$FB,59)</f>
        <v>319</v>
      </c>
      <c r="K180" s="51">
        <f>VLOOKUP($A180,'Data Vlaue (Cr)'!$C:$FB,60)</f>
        <v>374</v>
      </c>
      <c r="L180" s="51">
        <f>VLOOKUP($A180,'Data Vlaue (Cr)'!$C:$FB,62)*100</f>
        <v>-14.64</v>
      </c>
      <c r="M180" s="51">
        <f>VLOOKUP($A180,'Data Vlaue (Cr)'!$C:$FB,63)</f>
        <v>64</v>
      </c>
      <c r="N180" s="51">
        <f>VLOOKUP($A180,'Data Vlaue (Cr)'!$C:$FB,64)</f>
        <v>90</v>
      </c>
      <c r="O180" s="51">
        <f>VLOOKUP($A180,'Data Vlaue (Cr)'!$C:$FB,66)*100</f>
        <v>-28.189999999999998</v>
      </c>
    </row>
    <row r="181" spans="1:15" x14ac:dyDescent="0.25">
      <c r="A181" s="101" t="str">
        <f>'Data Vlaue (Cr)'!C176</f>
        <v>SAIL</v>
      </c>
      <c r="B181" s="50">
        <f>VLOOKUP($A181,'Data Vlaue (Cr)'!$C:$FB,8)</f>
        <v>132.62</v>
      </c>
      <c r="C181" s="50">
        <f>VLOOKUP($A181,'Data Vlaue (Cr)'!$C:$FB,11)*100</f>
        <v>-1.73</v>
      </c>
      <c r="D181" s="50">
        <f>VLOOKUP($A181,'Data Vlaue (Cr)'!$C:$FB,143)</f>
        <v>2544.37</v>
      </c>
      <c r="E181" s="50">
        <f>VLOOKUP($A181,'Data Vlaue (Cr)'!$C:$FB,144)</f>
        <v>1969.91</v>
      </c>
      <c r="F181" s="50">
        <f>VLOOKUP($A181,'Data Vlaue (Cr)'!$C:$FB,146)*100</f>
        <v>29.160000000000004</v>
      </c>
      <c r="G181" s="49">
        <f>VLOOKUP($A181,'Data Vlaue (Cr)'!$C:$FB,43)</f>
        <v>622</v>
      </c>
      <c r="H181" s="49">
        <f>VLOOKUP($A181,'Data Vlaue (Cr)'!$C:$FB,44)</f>
        <v>458</v>
      </c>
      <c r="I181" s="49">
        <f>VLOOKUP($A181,'Data Vlaue (Cr)'!$C:$FB,46)*100</f>
        <v>35.79</v>
      </c>
      <c r="J181" s="51">
        <f>VLOOKUP($A181,'Data Vlaue (Cr)'!$C:$FB,59)</f>
        <v>1221</v>
      </c>
      <c r="K181" s="51">
        <f>VLOOKUP($A181,'Data Vlaue (Cr)'!$C:$FB,60)</f>
        <v>1015</v>
      </c>
      <c r="L181" s="51">
        <f>VLOOKUP($A181,'Data Vlaue (Cr)'!$C:$FB,62)*100</f>
        <v>20.190000000000001</v>
      </c>
      <c r="M181" s="51">
        <f>VLOOKUP($A181,'Data Vlaue (Cr)'!$C:$FB,63)</f>
        <v>606</v>
      </c>
      <c r="N181" s="51">
        <f>VLOOKUP($A181,'Data Vlaue (Cr)'!$C:$FB,64)</f>
        <v>389</v>
      </c>
      <c r="O181" s="51">
        <f>VLOOKUP($A181,'Data Vlaue (Cr)'!$C:$FB,66)*100</f>
        <v>56.02</v>
      </c>
    </row>
    <row r="182" spans="1:15" x14ac:dyDescent="0.25">
      <c r="A182" s="101" t="str">
        <f>'Data Vlaue (Cr)'!C177</f>
        <v>SAMMAANCAP</v>
      </c>
      <c r="B182" s="50">
        <f>VLOOKUP($A182,'Data Vlaue (Cr)'!$C:$FB,8)</f>
        <v>159.94</v>
      </c>
      <c r="C182" s="50">
        <f>VLOOKUP($A182,'Data Vlaue (Cr)'!$C:$FB,11)*100</f>
        <v>-3.08</v>
      </c>
      <c r="D182" s="50">
        <f>VLOOKUP($A182,'Data Vlaue (Cr)'!$C:$FB,143)</f>
        <v>3429.86</v>
      </c>
      <c r="E182" s="50">
        <f>VLOOKUP($A182,'Data Vlaue (Cr)'!$C:$FB,144)</f>
        <v>184.57</v>
      </c>
      <c r="F182" s="50">
        <f>VLOOKUP($A182,'Data Vlaue (Cr)'!$C:$FB,146)*100</f>
        <v>1758.3300000000002</v>
      </c>
      <c r="G182" s="49">
        <f>VLOOKUP($A182,'Data Vlaue (Cr)'!$C:$FB,43)</f>
        <v>878</v>
      </c>
      <c r="H182" s="49">
        <f>VLOOKUP($A182,'Data Vlaue (Cr)'!$C:$FB,44)</f>
        <v>99</v>
      </c>
      <c r="I182" s="49">
        <f>VLOOKUP($A182,'Data Vlaue (Cr)'!$C:$FB,46)*100</f>
        <v>791.2</v>
      </c>
      <c r="J182" s="51">
        <f>VLOOKUP($A182,'Data Vlaue (Cr)'!$C:$FB,59)</f>
        <v>1491</v>
      </c>
      <c r="K182" s="51">
        <f>VLOOKUP($A182,'Data Vlaue (Cr)'!$C:$FB,60)</f>
        <v>66</v>
      </c>
      <c r="L182" s="51">
        <f>VLOOKUP($A182,'Data Vlaue (Cr)'!$C:$FB,62)*100</f>
        <v>2151.31</v>
      </c>
      <c r="M182" s="51">
        <f>VLOOKUP($A182,'Data Vlaue (Cr)'!$C:$FB,63)</f>
        <v>1049</v>
      </c>
      <c r="N182" s="51">
        <f>VLOOKUP($A182,'Data Vlaue (Cr)'!$C:$FB,64)</f>
        <v>17</v>
      </c>
      <c r="O182" s="51">
        <f>VLOOKUP($A182,'Data Vlaue (Cr)'!$C:$FB,66)*100</f>
        <v>6252.9400000000005</v>
      </c>
    </row>
    <row r="183" spans="1:15" x14ac:dyDescent="0.25">
      <c r="A183" s="101" t="str">
        <f>'Data Vlaue (Cr)'!C178</f>
        <v>SBICARD</v>
      </c>
      <c r="B183" s="50">
        <f>VLOOKUP($A183,'Data Vlaue (Cr)'!$C:$FB,8)</f>
        <v>902.6</v>
      </c>
      <c r="C183" s="50">
        <f>VLOOKUP($A183,'Data Vlaue (Cr)'!$C:$FB,11)*100</f>
        <v>1.18</v>
      </c>
      <c r="D183" s="50">
        <f>VLOOKUP($A183,'Data Vlaue (Cr)'!$C:$FB,143)</f>
        <v>2666.93</v>
      </c>
      <c r="E183" s="50">
        <f>VLOOKUP($A183,'Data Vlaue (Cr)'!$C:$FB,144)</f>
        <v>1198.27</v>
      </c>
      <c r="F183" s="50">
        <f>VLOOKUP($A183,'Data Vlaue (Cr)'!$C:$FB,146)*100</f>
        <v>122.57000000000001</v>
      </c>
      <c r="G183" s="49">
        <f>VLOOKUP($A183,'Data Vlaue (Cr)'!$C:$FB,43)</f>
        <v>535</v>
      </c>
      <c r="H183" s="49">
        <f>VLOOKUP($A183,'Data Vlaue (Cr)'!$C:$FB,44)</f>
        <v>383</v>
      </c>
      <c r="I183" s="49">
        <f>VLOOKUP($A183,'Data Vlaue (Cr)'!$C:$FB,46)*100</f>
        <v>39.47</v>
      </c>
      <c r="J183" s="51">
        <f>VLOOKUP($A183,'Data Vlaue (Cr)'!$C:$FB,59)</f>
        <v>1516</v>
      </c>
      <c r="K183" s="51">
        <f>VLOOKUP($A183,'Data Vlaue (Cr)'!$C:$FB,60)</f>
        <v>628</v>
      </c>
      <c r="L183" s="51">
        <f>VLOOKUP($A183,'Data Vlaue (Cr)'!$C:$FB,62)*100</f>
        <v>141.65</v>
      </c>
      <c r="M183" s="51">
        <f>VLOOKUP($A183,'Data Vlaue (Cr)'!$C:$FB,63)</f>
        <v>559</v>
      </c>
      <c r="N183" s="51">
        <f>VLOOKUP($A183,'Data Vlaue (Cr)'!$C:$FB,64)</f>
        <v>186</v>
      </c>
      <c r="O183" s="51">
        <f>VLOOKUP($A183,'Data Vlaue (Cr)'!$C:$FB,66)*100</f>
        <v>201.42000000000002</v>
      </c>
    </row>
    <row r="184" spans="1:15" x14ac:dyDescent="0.25">
      <c r="A184" s="101" t="str">
        <f>'Data Vlaue (Cr)'!C179</f>
        <v>SBILIFE</v>
      </c>
      <c r="B184" s="50">
        <f>VLOOKUP($A184,'Data Vlaue (Cr)'!$C:$FB,8)</f>
        <v>1770.9</v>
      </c>
      <c r="C184" s="50">
        <f>VLOOKUP($A184,'Data Vlaue (Cr)'!$C:$FB,11)*100</f>
        <v>-0.8</v>
      </c>
      <c r="D184" s="50">
        <f>VLOOKUP($A184,'Data Vlaue (Cr)'!$C:$FB,143)</f>
        <v>795.12</v>
      </c>
      <c r="E184" s="50">
        <f>VLOOKUP($A184,'Data Vlaue (Cr)'!$C:$FB,144)</f>
        <v>898.38</v>
      </c>
      <c r="F184" s="50">
        <f>VLOOKUP($A184,'Data Vlaue (Cr)'!$C:$FB,146)*100</f>
        <v>-11.49</v>
      </c>
      <c r="G184" s="49">
        <f>VLOOKUP($A184,'Data Vlaue (Cr)'!$C:$FB,43)</f>
        <v>327</v>
      </c>
      <c r="H184" s="49">
        <f>VLOOKUP($A184,'Data Vlaue (Cr)'!$C:$FB,44)</f>
        <v>195</v>
      </c>
      <c r="I184" s="49">
        <f>VLOOKUP($A184,'Data Vlaue (Cr)'!$C:$FB,46)*100</f>
        <v>67.52</v>
      </c>
      <c r="J184" s="51">
        <f>VLOOKUP($A184,'Data Vlaue (Cr)'!$C:$FB,59)</f>
        <v>313</v>
      </c>
      <c r="K184" s="51">
        <f>VLOOKUP($A184,'Data Vlaue (Cr)'!$C:$FB,60)</f>
        <v>521</v>
      </c>
      <c r="L184" s="51">
        <f>VLOOKUP($A184,'Data Vlaue (Cr)'!$C:$FB,62)*100</f>
        <v>-39.92</v>
      </c>
      <c r="M184" s="51">
        <f>VLOOKUP($A184,'Data Vlaue (Cr)'!$C:$FB,63)</f>
        <v>144</v>
      </c>
      <c r="N184" s="51">
        <f>VLOOKUP($A184,'Data Vlaue (Cr)'!$C:$FB,64)</f>
        <v>155</v>
      </c>
      <c r="O184" s="51">
        <f>VLOOKUP($A184,'Data Vlaue (Cr)'!$C:$FB,66)*100</f>
        <v>-7.62</v>
      </c>
    </row>
    <row r="185" spans="1:15" x14ac:dyDescent="0.25">
      <c r="A185" s="101" t="str">
        <f>'Data Vlaue (Cr)'!C180</f>
        <v>SBIN</v>
      </c>
      <c r="B185" s="50">
        <f>VLOOKUP($A185,'Data Vlaue (Cr)'!$C:$FB,8)</f>
        <v>874.05</v>
      </c>
      <c r="C185" s="50">
        <f>VLOOKUP($A185,'Data Vlaue (Cr)'!$C:$FB,11)*100</f>
        <v>0.77999999999999992</v>
      </c>
      <c r="D185" s="50">
        <f>VLOOKUP($A185,'Data Vlaue (Cr)'!$C:$FB,143)</f>
        <v>10199.18</v>
      </c>
      <c r="E185" s="50">
        <f>VLOOKUP($A185,'Data Vlaue (Cr)'!$C:$FB,144)</f>
        <v>10225.77</v>
      </c>
      <c r="F185" s="50">
        <f>VLOOKUP($A185,'Data Vlaue (Cr)'!$C:$FB,146)*100</f>
        <v>-0.26</v>
      </c>
      <c r="G185" s="49">
        <f>VLOOKUP($A185,'Data Vlaue (Cr)'!$C:$FB,43)</f>
        <v>1153</v>
      </c>
      <c r="H185" s="49">
        <f>VLOOKUP($A185,'Data Vlaue (Cr)'!$C:$FB,44)</f>
        <v>1077</v>
      </c>
      <c r="I185" s="49">
        <f>VLOOKUP($A185,'Data Vlaue (Cr)'!$C:$FB,46)*100</f>
        <v>6.98</v>
      </c>
      <c r="J185" s="51">
        <f>VLOOKUP($A185,'Data Vlaue (Cr)'!$C:$FB,59)</f>
        <v>5703</v>
      </c>
      <c r="K185" s="51">
        <f>VLOOKUP($A185,'Data Vlaue (Cr)'!$C:$FB,60)</f>
        <v>5560</v>
      </c>
      <c r="L185" s="51">
        <f>VLOOKUP($A185,'Data Vlaue (Cr)'!$C:$FB,62)*100</f>
        <v>2.59</v>
      </c>
      <c r="M185" s="51">
        <f>VLOOKUP($A185,'Data Vlaue (Cr)'!$C:$FB,63)</f>
        <v>3253</v>
      </c>
      <c r="N185" s="51">
        <f>VLOOKUP($A185,'Data Vlaue (Cr)'!$C:$FB,64)</f>
        <v>3497</v>
      </c>
      <c r="O185" s="51">
        <f>VLOOKUP($A185,'Data Vlaue (Cr)'!$C:$FB,66)*100</f>
        <v>-6.98</v>
      </c>
    </row>
    <row r="186" spans="1:15" x14ac:dyDescent="0.25">
      <c r="A186" s="101" t="str">
        <f>'Data Vlaue (Cr)'!C181</f>
        <v>SHREECEM</v>
      </c>
      <c r="B186" s="50">
        <f>VLOOKUP($A186,'Data Vlaue (Cr)'!$C:$FB,8)</f>
        <v>29295</v>
      </c>
      <c r="C186" s="50">
        <f>VLOOKUP($A186,'Data Vlaue (Cr)'!$C:$FB,11)*100</f>
        <v>0.38999999999999996</v>
      </c>
      <c r="D186" s="50">
        <f>VLOOKUP($A186,'Data Vlaue (Cr)'!$C:$FB,143)</f>
        <v>266.38</v>
      </c>
      <c r="E186" s="50">
        <f>VLOOKUP($A186,'Data Vlaue (Cr)'!$C:$FB,144)</f>
        <v>117.42</v>
      </c>
      <c r="F186" s="50">
        <f>VLOOKUP($A186,'Data Vlaue (Cr)'!$C:$FB,146)*100</f>
        <v>126.86999999999999</v>
      </c>
      <c r="G186" s="49">
        <f>VLOOKUP($A186,'Data Vlaue (Cr)'!$C:$FB,43)</f>
        <v>99</v>
      </c>
      <c r="H186" s="49">
        <f>VLOOKUP($A186,'Data Vlaue (Cr)'!$C:$FB,44)</f>
        <v>54</v>
      </c>
      <c r="I186" s="49">
        <f>VLOOKUP($A186,'Data Vlaue (Cr)'!$C:$FB,46)*100</f>
        <v>83.31</v>
      </c>
      <c r="J186" s="51">
        <f>VLOOKUP($A186,'Data Vlaue (Cr)'!$C:$FB,59)</f>
        <v>127</v>
      </c>
      <c r="K186" s="51">
        <f>VLOOKUP($A186,'Data Vlaue (Cr)'!$C:$FB,60)</f>
        <v>46</v>
      </c>
      <c r="L186" s="51">
        <f>VLOOKUP($A186,'Data Vlaue (Cr)'!$C:$FB,62)*100</f>
        <v>176.21</v>
      </c>
      <c r="M186" s="51">
        <f>VLOOKUP($A186,'Data Vlaue (Cr)'!$C:$FB,63)</f>
        <v>38</v>
      </c>
      <c r="N186" s="51">
        <f>VLOOKUP($A186,'Data Vlaue (Cr)'!$C:$FB,64)</f>
        <v>17</v>
      </c>
      <c r="O186" s="51">
        <f>VLOOKUP($A186,'Data Vlaue (Cr)'!$C:$FB,66)*100</f>
        <v>126.64</v>
      </c>
    </row>
    <row r="187" spans="1:15" x14ac:dyDescent="0.25">
      <c r="A187" s="101" t="str">
        <f>'Data Vlaue (Cr)'!C182</f>
        <v>SHRIRAMFIN</v>
      </c>
      <c r="B187" s="50">
        <f>VLOOKUP($A187,'Data Vlaue (Cr)'!$C:$FB,8)</f>
        <v>671.45</v>
      </c>
      <c r="C187" s="50">
        <f>VLOOKUP($A187,'Data Vlaue (Cr)'!$C:$FB,11)*100</f>
        <v>3.9699999999999998</v>
      </c>
      <c r="D187" s="50">
        <f>VLOOKUP($A187,'Data Vlaue (Cr)'!$C:$FB,143)</f>
        <v>4638.17</v>
      </c>
      <c r="E187" s="50">
        <f>VLOOKUP($A187,'Data Vlaue (Cr)'!$C:$FB,144)</f>
        <v>1742.53</v>
      </c>
      <c r="F187" s="50">
        <f>VLOOKUP($A187,'Data Vlaue (Cr)'!$C:$FB,146)*100</f>
        <v>166.17</v>
      </c>
      <c r="G187" s="49">
        <f>VLOOKUP($A187,'Data Vlaue (Cr)'!$C:$FB,43)</f>
        <v>799</v>
      </c>
      <c r="H187" s="49">
        <f>VLOOKUP($A187,'Data Vlaue (Cr)'!$C:$FB,44)</f>
        <v>573</v>
      </c>
      <c r="I187" s="49">
        <f>VLOOKUP($A187,'Data Vlaue (Cr)'!$C:$FB,46)*100</f>
        <v>39.489999999999995</v>
      </c>
      <c r="J187" s="51">
        <f>VLOOKUP($A187,'Data Vlaue (Cr)'!$C:$FB,59)</f>
        <v>2632</v>
      </c>
      <c r="K187" s="51">
        <f>VLOOKUP($A187,'Data Vlaue (Cr)'!$C:$FB,60)</f>
        <v>767</v>
      </c>
      <c r="L187" s="51">
        <f>VLOOKUP($A187,'Data Vlaue (Cr)'!$C:$FB,62)*100</f>
        <v>243.02</v>
      </c>
      <c r="M187" s="51">
        <f>VLOOKUP($A187,'Data Vlaue (Cr)'!$C:$FB,63)</f>
        <v>1156</v>
      </c>
      <c r="N187" s="51">
        <f>VLOOKUP($A187,'Data Vlaue (Cr)'!$C:$FB,64)</f>
        <v>440</v>
      </c>
      <c r="O187" s="51">
        <f>VLOOKUP($A187,'Data Vlaue (Cr)'!$C:$FB,66)*100</f>
        <v>162.54</v>
      </c>
    </row>
    <row r="188" spans="1:15" x14ac:dyDescent="0.25">
      <c r="A188" s="101" t="str">
        <f>'Data Vlaue (Cr)'!C183</f>
        <v>SIEMENS</v>
      </c>
      <c r="B188" s="50">
        <f>VLOOKUP($A188,'Data Vlaue (Cr)'!$C:$FB,8)</f>
        <v>3251.7</v>
      </c>
      <c r="C188" s="50">
        <f>VLOOKUP($A188,'Data Vlaue (Cr)'!$C:$FB,11)*100</f>
        <v>2.77</v>
      </c>
      <c r="D188" s="50">
        <f>VLOOKUP($A188,'Data Vlaue (Cr)'!$C:$FB,143)</f>
        <v>1281.43</v>
      </c>
      <c r="E188" s="50">
        <f>VLOOKUP($A188,'Data Vlaue (Cr)'!$C:$FB,144)</f>
        <v>422.52</v>
      </c>
      <c r="F188" s="50">
        <f>VLOOKUP($A188,'Data Vlaue (Cr)'!$C:$FB,146)*100</f>
        <v>203.28</v>
      </c>
      <c r="G188" s="49">
        <f>VLOOKUP($A188,'Data Vlaue (Cr)'!$C:$FB,43)</f>
        <v>199</v>
      </c>
      <c r="H188" s="49">
        <f>VLOOKUP($A188,'Data Vlaue (Cr)'!$C:$FB,44)</f>
        <v>93</v>
      </c>
      <c r="I188" s="49">
        <f>VLOOKUP($A188,'Data Vlaue (Cr)'!$C:$FB,46)*100</f>
        <v>115.41999999999999</v>
      </c>
      <c r="J188" s="51">
        <f>VLOOKUP($A188,'Data Vlaue (Cr)'!$C:$FB,59)</f>
        <v>809</v>
      </c>
      <c r="K188" s="51">
        <f>VLOOKUP($A188,'Data Vlaue (Cr)'!$C:$FB,60)</f>
        <v>239</v>
      </c>
      <c r="L188" s="51">
        <f>VLOOKUP($A188,'Data Vlaue (Cr)'!$C:$FB,62)*100</f>
        <v>239</v>
      </c>
      <c r="M188" s="51">
        <f>VLOOKUP($A188,'Data Vlaue (Cr)'!$C:$FB,63)</f>
        <v>254</v>
      </c>
      <c r="N188" s="51">
        <f>VLOOKUP($A188,'Data Vlaue (Cr)'!$C:$FB,64)</f>
        <v>95</v>
      </c>
      <c r="O188" s="51">
        <f>VLOOKUP($A188,'Data Vlaue (Cr)'!$C:$FB,66)*100</f>
        <v>167.4</v>
      </c>
    </row>
    <row r="189" spans="1:15" x14ac:dyDescent="0.25">
      <c r="A189" s="101" t="str">
        <f>'Data Vlaue (Cr)'!C216</f>
        <v>ZYDUSLIFE</v>
      </c>
      <c r="B189" s="50">
        <f>VLOOKUP($A189,'Data Vlaue (Cr)'!$C:$FB,8)</f>
        <v>994.65</v>
      </c>
      <c r="C189" s="50">
        <f>VLOOKUP($A189,'Data Vlaue (Cr)'!$C:$FB,11)*100</f>
        <v>0.64</v>
      </c>
      <c r="D189" s="50">
        <f>VLOOKUP($A189,'Data Vlaue (Cr)'!$C:$FB,143)</f>
        <v>335.94</v>
      </c>
      <c r="E189" s="50">
        <f>VLOOKUP($A189,'Data Vlaue (Cr)'!$C:$FB,144)</f>
        <v>297.70999999999998</v>
      </c>
      <c r="F189" s="50">
        <f>VLOOKUP($A189,'Data Vlaue (Cr)'!$C:$FB,146)*100</f>
        <v>12.839999999999998</v>
      </c>
      <c r="G189" s="49">
        <f>VLOOKUP($A189,'Data Vlaue (Cr)'!$C:$FB,43)</f>
        <v>76</v>
      </c>
      <c r="H189" s="49">
        <f>VLOOKUP($A189,'Data Vlaue (Cr)'!$C:$FB,44)</f>
        <v>99</v>
      </c>
      <c r="I189" s="49">
        <f>VLOOKUP($A189,'Data Vlaue (Cr)'!$C:$FB,46)*100</f>
        <v>-24.03</v>
      </c>
      <c r="J189" s="51">
        <f>VLOOKUP($A189,'Data Vlaue (Cr)'!$C:$FB,59)</f>
        <v>186</v>
      </c>
      <c r="K189" s="51">
        <f>VLOOKUP($A189,'Data Vlaue (Cr)'!$C:$FB,60)</f>
        <v>108</v>
      </c>
      <c r="L189" s="51">
        <f>VLOOKUP($A189,'Data Vlaue (Cr)'!$C:$FB,62)*100</f>
        <v>71.7</v>
      </c>
      <c r="M189" s="51">
        <f>VLOOKUP($A189,'Data Vlaue (Cr)'!$C:$FB,63)</f>
        <v>70</v>
      </c>
      <c r="N189" s="51">
        <f>VLOOKUP($A189,'Data Vlaue (Cr)'!$C:$FB,64)</f>
        <v>90</v>
      </c>
      <c r="O189" s="51">
        <f>VLOOKUP($A189,'Data Vlaue (Cr)'!$C:$FB,66)*100</f>
        <v>-22.040000000000003</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28357558.900000002</v>
      </c>
      <c r="E212" s="131">
        <f>SUM(E7:E211)</f>
        <v>19386974.080000006</v>
      </c>
      <c r="F212" s="132">
        <f>(D212-E212)/E212</f>
        <v>0.46271196231980488</v>
      </c>
      <c r="G212" s="131">
        <f>SUM(G7:G211)</f>
        <v>89755</v>
      </c>
      <c r="H212" s="131">
        <f>SUM(H7:H211)</f>
        <v>80003</v>
      </c>
      <c r="I212" s="132">
        <f>(G212-H212)/H212</f>
        <v>0.12189542892141544</v>
      </c>
      <c r="J212" s="131">
        <f>SUM(J7:J211)</f>
        <v>15165120</v>
      </c>
      <c r="K212" s="131">
        <f>SUM(K7:K211)</f>
        <v>10225722</v>
      </c>
      <c r="L212" s="132">
        <f>(J212-K212)/K212</f>
        <v>0.48303660122972247</v>
      </c>
      <c r="M212" s="131">
        <f>SUM(M7:M211)</f>
        <v>13319780</v>
      </c>
      <c r="N212" s="131">
        <f>SUM(N7:N211)</f>
        <v>9320734</v>
      </c>
      <c r="O212" s="132">
        <f>(M212-N212)/N212</f>
        <v>0.42904839897802038</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172"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45936</v>
      </c>
      <c r="C6" s="34" t="s">
        <v>328</v>
      </c>
      <c r="D6" s="21">
        <f>B6</f>
        <v>45936</v>
      </c>
      <c r="E6" s="34" t="s">
        <v>322</v>
      </c>
      <c r="F6" s="34" t="s">
        <v>328</v>
      </c>
      <c r="G6" s="21">
        <f>D6</f>
        <v>45936</v>
      </c>
      <c r="H6" s="34" t="s">
        <v>322</v>
      </c>
      <c r="I6" s="34" t="s">
        <v>328</v>
      </c>
      <c r="J6" s="21">
        <f>D6</f>
        <v>45936</v>
      </c>
      <c r="K6" s="34" t="s">
        <v>322</v>
      </c>
      <c r="L6" s="34" t="s">
        <v>328</v>
      </c>
      <c r="M6" s="21">
        <f>D6</f>
        <v>45936</v>
      </c>
      <c r="N6" s="34" t="s">
        <v>322</v>
      </c>
      <c r="O6" s="34" t="s">
        <v>328</v>
      </c>
    </row>
    <row r="7" spans="1:15" x14ac:dyDescent="0.25">
      <c r="A7" s="101" t="str">
        <f>'Data shares'!C2</f>
        <v>360ONE</v>
      </c>
      <c r="B7" s="50">
        <f>VLOOKUP($A7,'Data shares'!$C:$FB,7)</f>
        <v>1062.4000000000001</v>
      </c>
      <c r="C7" s="50">
        <f>VLOOKUP($A7,'Data shares'!$C:$FB,10)*100</f>
        <v>1.26</v>
      </c>
      <c r="D7" s="49">
        <f>VLOOKUP($A7,'Data shares'!$C:$FB,66)</f>
        <v>1396000</v>
      </c>
      <c r="E7" s="49">
        <f>VLOOKUP($A7,'Data shares'!$C:$FB,67)</f>
        <v>1454000</v>
      </c>
      <c r="F7" s="50">
        <f>VLOOKUP($A7,'Data shares'!$C:$FB,69)*100</f>
        <v>-3.9899999999999998</v>
      </c>
      <c r="G7" s="49">
        <f>VLOOKUP($A7,'Data shares'!$C:$FB,42)</f>
        <v>296500</v>
      </c>
      <c r="H7" s="49">
        <f>VLOOKUP($A7,'Data shares'!$C:$FB,43)</f>
        <v>427500</v>
      </c>
      <c r="I7" s="50">
        <f>VLOOKUP($A7,'Data shares'!$C:$FB,45)*100</f>
        <v>-30.64</v>
      </c>
      <c r="J7" s="49">
        <f>VLOOKUP($A7,'Data shares'!$C:$FB,58)</f>
        <v>951500</v>
      </c>
      <c r="K7" s="49">
        <f>VLOOKUP($A7,'Data shares'!$C:$FB,59)</f>
        <v>841000</v>
      </c>
      <c r="L7" s="50">
        <f>VLOOKUP($A7,'Data shares'!$C:$FB,61)*100</f>
        <v>13.139999999999999</v>
      </c>
      <c r="M7" s="49">
        <f>VLOOKUP($A7,'Data shares'!$C:$FB,62)</f>
        <v>148000</v>
      </c>
      <c r="N7" s="49">
        <f>VLOOKUP($A7,'Data shares'!$C:$FB,63)</f>
        <v>185500</v>
      </c>
      <c r="O7" s="140">
        <f>VLOOKUP($A7,'Data shares'!$C:$FB,65)*100</f>
        <v>-20.22</v>
      </c>
    </row>
    <row r="8" spans="1:15" x14ac:dyDescent="0.25">
      <c r="A8" s="101" t="str">
        <f>'Data shares'!C3</f>
        <v>ABB</v>
      </c>
      <c r="B8" s="50">
        <f>VLOOKUP($A8,'Data shares'!$C:$FB,7)</f>
        <v>5218</v>
      </c>
      <c r="C8" s="50">
        <f>VLOOKUP($A8,'Data shares'!$C:$FB,10)*100</f>
        <v>0.67</v>
      </c>
      <c r="D8" s="49">
        <f>VLOOKUP($A8,'Data shares'!$C:$FB,66)</f>
        <v>1925125</v>
      </c>
      <c r="E8" s="49">
        <f>VLOOKUP($A8,'Data shares'!$C:$FB,67)</f>
        <v>910500</v>
      </c>
      <c r="F8" s="50">
        <f>VLOOKUP($A8,'Data shares'!$C:$FB,69)*100</f>
        <v>111.44000000000001</v>
      </c>
      <c r="G8" s="49">
        <f>VLOOKUP($A8,'Data shares'!$C:$FB,42)</f>
        <v>410000</v>
      </c>
      <c r="H8" s="49">
        <f>VLOOKUP($A8,'Data shares'!$C:$FB,43)</f>
        <v>214500</v>
      </c>
      <c r="I8" s="50">
        <f>VLOOKUP($A8,'Data shares'!$C:$FB,45)*100</f>
        <v>91.14</v>
      </c>
      <c r="J8" s="49">
        <f>VLOOKUP($A8,'Data shares'!$C:$FB,58)</f>
        <v>1207875</v>
      </c>
      <c r="K8" s="49">
        <f>VLOOKUP($A8,'Data shares'!$C:$FB,59)</f>
        <v>458000</v>
      </c>
      <c r="L8" s="50">
        <f>VLOOKUP($A8,'Data shares'!$C:$FB,61)*100</f>
        <v>163.72999999999999</v>
      </c>
      <c r="M8" s="49">
        <f>VLOOKUP($A8,'Data shares'!$C:$FB,62)</f>
        <v>307250</v>
      </c>
      <c r="N8" s="49">
        <f>VLOOKUP($A8,'Data shares'!$C:$FB,63)</f>
        <v>238000</v>
      </c>
      <c r="O8" s="140">
        <f>VLOOKUP($A8,'Data shares'!$C:$FB,65)*100</f>
        <v>29.099999999999998</v>
      </c>
    </row>
    <row r="9" spans="1:15" x14ac:dyDescent="0.25">
      <c r="A9" s="101" t="str">
        <f>'Data shares'!C4</f>
        <v>ABCAPITAL</v>
      </c>
      <c r="B9" s="50">
        <f>VLOOKUP($A9,'Data shares'!$C:$FB,7)</f>
        <v>304.05</v>
      </c>
      <c r="C9" s="50">
        <f>VLOOKUP($A9,'Data shares'!$C:$FB,10)*100</f>
        <v>0.03</v>
      </c>
      <c r="D9" s="49">
        <f>VLOOKUP($A9,'Data shares'!$C:$FB,66)</f>
        <v>52687600</v>
      </c>
      <c r="E9" s="49">
        <f>VLOOKUP($A9,'Data shares'!$C:$FB,67)</f>
        <v>64241300</v>
      </c>
      <c r="F9" s="50">
        <f>VLOOKUP($A9,'Data shares'!$C:$FB,69)*100</f>
        <v>-17.98</v>
      </c>
      <c r="G9" s="49">
        <f>VLOOKUP($A9,'Data shares'!$C:$FB,42)</f>
        <v>13441600</v>
      </c>
      <c r="H9" s="49">
        <f>VLOOKUP($A9,'Data shares'!$C:$FB,43)</f>
        <v>14864500</v>
      </c>
      <c r="I9" s="50">
        <f>VLOOKUP($A9,'Data shares'!$C:$FB,45)*100</f>
        <v>-9.5699999999999985</v>
      </c>
      <c r="J9" s="49">
        <f>VLOOKUP($A9,'Data shares'!$C:$FB,58)</f>
        <v>26415100</v>
      </c>
      <c r="K9" s="49">
        <f>VLOOKUP($A9,'Data shares'!$C:$FB,59)</f>
        <v>33263000</v>
      </c>
      <c r="L9" s="50">
        <f>VLOOKUP($A9,'Data shares'!$C:$FB,61)*100</f>
        <v>-20.59</v>
      </c>
      <c r="M9" s="49">
        <f>VLOOKUP($A9,'Data shares'!$C:$FB,62)</f>
        <v>12830900</v>
      </c>
      <c r="N9" s="49">
        <f>VLOOKUP($A9,'Data shares'!$C:$FB,63)</f>
        <v>16113800</v>
      </c>
      <c r="O9" s="140">
        <f>VLOOKUP($A9,'Data shares'!$C:$FB,65)*100</f>
        <v>-20.369999999999997</v>
      </c>
    </row>
    <row r="10" spans="1:15" x14ac:dyDescent="0.25">
      <c r="A10" s="101" t="str">
        <f>'Data shares'!C5</f>
        <v>ADANIENSOL</v>
      </c>
      <c r="B10" s="50">
        <f>VLOOKUP($A10,'Data shares'!$C:$FB,7)</f>
        <v>926.65</v>
      </c>
      <c r="C10" s="50">
        <f>VLOOKUP($A10,'Data shares'!$C:$FB,10)*100</f>
        <v>1.1199999999999999</v>
      </c>
      <c r="D10" s="49">
        <f>VLOOKUP($A10,'Data shares'!$C:$FB,66)</f>
        <v>6002775</v>
      </c>
      <c r="E10" s="49">
        <f>VLOOKUP($A10,'Data shares'!$C:$FB,67)</f>
        <v>8389575</v>
      </c>
      <c r="F10" s="50">
        <f>VLOOKUP($A10,'Data shares'!$C:$FB,69)*100</f>
        <v>-28.449999999999996</v>
      </c>
      <c r="G10" s="49">
        <f>VLOOKUP($A10,'Data shares'!$C:$FB,42)</f>
        <v>1514025</v>
      </c>
      <c r="H10" s="49">
        <f>VLOOKUP($A10,'Data shares'!$C:$FB,43)</f>
        <v>2126250</v>
      </c>
      <c r="I10" s="50">
        <f>VLOOKUP($A10,'Data shares'!$C:$FB,45)*100</f>
        <v>-28.79</v>
      </c>
      <c r="J10" s="49">
        <f>VLOOKUP($A10,'Data shares'!$C:$FB,58)</f>
        <v>3424950</v>
      </c>
      <c r="K10" s="49">
        <f>VLOOKUP($A10,'Data shares'!$C:$FB,59)</f>
        <v>4732425</v>
      </c>
      <c r="L10" s="50">
        <f>VLOOKUP($A10,'Data shares'!$C:$FB,61)*100</f>
        <v>-27.63</v>
      </c>
      <c r="M10" s="49">
        <f>VLOOKUP($A10,'Data shares'!$C:$FB,62)</f>
        <v>1063800</v>
      </c>
      <c r="N10" s="49">
        <f>VLOOKUP($A10,'Data shares'!$C:$FB,63)</f>
        <v>1530900</v>
      </c>
      <c r="O10" s="140">
        <f>VLOOKUP($A10,'Data shares'!$C:$FB,65)*100</f>
        <v>-30.509999999999998</v>
      </c>
    </row>
    <row r="11" spans="1:15" x14ac:dyDescent="0.25">
      <c r="A11" s="101" t="str">
        <f>'Data shares'!C6</f>
        <v>ADANIENT</v>
      </c>
      <c r="B11" s="50">
        <f>VLOOKUP($A11,'Data shares'!$C:$FB,7)</f>
        <v>2573.5</v>
      </c>
      <c r="C11" s="50">
        <f>VLOOKUP($A11,'Data shares'!$C:$FB,10)*100</f>
        <v>-0.63</v>
      </c>
      <c r="D11" s="49">
        <f>VLOOKUP($A11,'Data shares'!$C:$FB,66)</f>
        <v>8406000</v>
      </c>
      <c r="E11" s="49">
        <f>VLOOKUP($A11,'Data shares'!$C:$FB,67)</f>
        <v>14184600</v>
      </c>
      <c r="F11" s="50">
        <f>VLOOKUP($A11,'Data shares'!$C:$FB,69)*100</f>
        <v>-40.739999999999995</v>
      </c>
      <c r="G11" s="49">
        <f>VLOOKUP($A11,'Data shares'!$C:$FB,42)</f>
        <v>1613100</v>
      </c>
      <c r="H11" s="49">
        <f>VLOOKUP($A11,'Data shares'!$C:$FB,43)</f>
        <v>2169000</v>
      </c>
      <c r="I11" s="50">
        <f>VLOOKUP($A11,'Data shares'!$C:$FB,45)*100</f>
        <v>-25.629999999999995</v>
      </c>
      <c r="J11" s="49">
        <f>VLOOKUP($A11,'Data shares'!$C:$FB,58)</f>
        <v>4869600</v>
      </c>
      <c r="K11" s="49">
        <f>VLOOKUP($A11,'Data shares'!$C:$FB,59)</f>
        <v>8309700</v>
      </c>
      <c r="L11" s="50">
        <f>VLOOKUP($A11,'Data shares'!$C:$FB,61)*100</f>
        <v>-41.4</v>
      </c>
      <c r="M11" s="49">
        <f>VLOOKUP($A11,'Data shares'!$C:$FB,62)</f>
        <v>1923300</v>
      </c>
      <c r="N11" s="49">
        <f>VLOOKUP($A11,'Data shares'!$C:$FB,63)</f>
        <v>3705900</v>
      </c>
      <c r="O11" s="140">
        <f>VLOOKUP($A11,'Data shares'!$C:$FB,65)*100</f>
        <v>-48.1</v>
      </c>
    </row>
    <row r="12" spans="1:15" x14ac:dyDescent="0.25">
      <c r="A12" s="101" t="str">
        <f>'Data shares'!C7</f>
        <v>ADANIGREEN</v>
      </c>
      <c r="B12" s="50">
        <f>VLOOKUP($A12,'Data shares'!$C:$FB,7)</f>
        <v>1059.4000000000001</v>
      </c>
      <c r="C12" s="50">
        <f>VLOOKUP($A12,'Data shares'!$C:$FB,10)*100</f>
        <v>-1.02</v>
      </c>
      <c r="D12" s="49">
        <f>VLOOKUP($A12,'Data shares'!$C:$FB,66)</f>
        <v>11963400</v>
      </c>
      <c r="E12" s="49">
        <f>VLOOKUP($A12,'Data shares'!$C:$FB,67)</f>
        <v>21409200</v>
      </c>
      <c r="F12" s="50">
        <f>VLOOKUP($A12,'Data shares'!$C:$FB,69)*100</f>
        <v>-44.12</v>
      </c>
      <c r="G12" s="49">
        <f>VLOOKUP($A12,'Data shares'!$C:$FB,42)</f>
        <v>1935600</v>
      </c>
      <c r="H12" s="49">
        <f>VLOOKUP($A12,'Data shares'!$C:$FB,43)</f>
        <v>2758800</v>
      </c>
      <c r="I12" s="50">
        <f>VLOOKUP($A12,'Data shares'!$C:$FB,45)*100</f>
        <v>-29.84</v>
      </c>
      <c r="J12" s="49">
        <f>VLOOKUP($A12,'Data shares'!$C:$FB,58)</f>
        <v>7447200</v>
      </c>
      <c r="K12" s="49">
        <f>VLOOKUP($A12,'Data shares'!$C:$FB,59)</f>
        <v>13693200</v>
      </c>
      <c r="L12" s="50">
        <f>VLOOKUP($A12,'Data shares'!$C:$FB,61)*100</f>
        <v>-45.61</v>
      </c>
      <c r="M12" s="49">
        <f>VLOOKUP($A12,'Data shares'!$C:$FB,62)</f>
        <v>2580600</v>
      </c>
      <c r="N12" s="49">
        <f>VLOOKUP($A12,'Data shares'!$C:$FB,63)</f>
        <v>4957200</v>
      </c>
      <c r="O12" s="140">
        <f>VLOOKUP($A12,'Data shares'!$C:$FB,65)*100</f>
        <v>-47.94</v>
      </c>
    </row>
    <row r="13" spans="1:15" x14ac:dyDescent="0.25">
      <c r="A13" s="101" t="str">
        <f>'Data shares'!C8</f>
        <v>ADANIPORTS</v>
      </c>
      <c r="B13" s="50">
        <f>VLOOKUP($A13,'Data shares'!$C:$FB,7)</f>
        <v>1400.5</v>
      </c>
      <c r="C13" s="50">
        <f>VLOOKUP($A13,'Data shares'!$C:$FB,10)*100</f>
        <v>-1.31</v>
      </c>
      <c r="D13" s="49">
        <f>VLOOKUP($A13,'Data shares'!$C:$FB,66)</f>
        <v>16046450</v>
      </c>
      <c r="E13" s="49">
        <f>VLOOKUP($A13,'Data shares'!$C:$FB,67)</f>
        <v>13041125</v>
      </c>
      <c r="F13" s="50">
        <f>VLOOKUP($A13,'Data shares'!$C:$FB,69)*100</f>
        <v>23.04</v>
      </c>
      <c r="G13" s="49">
        <f>VLOOKUP($A13,'Data shares'!$C:$FB,42)</f>
        <v>2797750</v>
      </c>
      <c r="H13" s="49">
        <f>VLOOKUP($A13,'Data shares'!$C:$FB,43)</f>
        <v>2270500</v>
      </c>
      <c r="I13" s="50">
        <f>VLOOKUP($A13,'Data shares'!$C:$FB,45)*100</f>
        <v>23.22</v>
      </c>
      <c r="J13" s="49">
        <f>VLOOKUP($A13,'Data shares'!$C:$FB,58)</f>
        <v>8714350</v>
      </c>
      <c r="K13" s="49">
        <f>VLOOKUP($A13,'Data shares'!$C:$FB,59)</f>
        <v>7847475</v>
      </c>
      <c r="L13" s="50">
        <f>VLOOKUP($A13,'Data shares'!$C:$FB,61)*100</f>
        <v>11.05</v>
      </c>
      <c r="M13" s="49">
        <f>VLOOKUP($A13,'Data shares'!$C:$FB,62)</f>
        <v>4534350</v>
      </c>
      <c r="N13" s="49">
        <f>VLOOKUP($A13,'Data shares'!$C:$FB,63)</f>
        <v>2923150</v>
      </c>
      <c r="O13" s="140">
        <f>VLOOKUP($A13,'Data shares'!$C:$FB,65)*100</f>
        <v>55.120000000000005</v>
      </c>
    </row>
    <row r="14" spans="1:15" x14ac:dyDescent="0.25">
      <c r="A14" s="101" t="str">
        <f>'Data shares'!C9</f>
        <v>ALKEM</v>
      </c>
      <c r="B14" s="50">
        <f>VLOOKUP($A14,'Data shares'!$C:$FB,7)</f>
        <v>5494</v>
      </c>
      <c r="C14" s="50">
        <f>VLOOKUP($A14,'Data shares'!$C:$FB,10)*100</f>
        <v>0.96</v>
      </c>
      <c r="D14" s="49">
        <f>VLOOKUP($A14,'Data shares'!$C:$FB,66)</f>
        <v>515500</v>
      </c>
      <c r="E14" s="49">
        <f>VLOOKUP($A14,'Data shares'!$C:$FB,67)</f>
        <v>481500</v>
      </c>
      <c r="F14" s="50">
        <f>VLOOKUP($A14,'Data shares'!$C:$FB,69)*100</f>
        <v>7.06</v>
      </c>
      <c r="G14" s="49">
        <f>VLOOKUP($A14,'Data shares'!$C:$FB,42)</f>
        <v>139875</v>
      </c>
      <c r="H14" s="49">
        <f>VLOOKUP($A14,'Data shares'!$C:$FB,43)</f>
        <v>87000</v>
      </c>
      <c r="I14" s="50">
        <f>VLOOKUP($A14,'Data shares'!$C:$FB,45)*100</f>
        <v>60.78</v>
      </c>
      <c r="J14" s="49">
        <f>VLOOKUP($A14,'Data shares'!$C:$FB,58)</f>
        <v>276625</v>
      </c>
      <c r="K14" s="49">
        <f>VLOOKUP($A14,'Data shares'!$C:$FB,59)</f>
        <v>328625</v>
      </c>
      <c r="L14" s="50">
        <f>VLOOKUP($A14,'Data shares'!$C:$FB,61)*100</f>
        <v>-15.82</v>
      </c>
      <c r="M14" s="49">
        <f>VLOOKUP($A14,'Data shares'!$C:$FB,62)</f>
        <v>99000</v>
      </c>
      <c r="N14" s="49">
        <f>VLOOKUP($A14,'Data shares'!$C:$FB,63)</f>
        <v>65875</v>
      </c>
      <c r="O14" s="140">
        <f>VLOOKUP($A14,'Data shares'!$C:$FB,65)*100</f>
        <v>50.28</v>
      </c>
    </row>
    <row r="15" spans="1:15" x14ac:dyDescent="0.25">
      <c r="A15" s="101" t="str">
        <f>'Data shares'!C10</f>
        <v>AMBER</v>
      </c>
      <c r="B15" s="50">
        <f>VLOOKUP($A15,'Data shares'!$C:$FB,7)</f>
        <v>8174.5</v>
      </c>
      <c r="C15" s="50">
        <f>VLOOKUP($A15,'Data shares'!$C:$FB,10)*100</f>
        <v>-0.49</v>
      </c>
      <c r="D15" s="49">
        <f>VLOOKUP($A15,'Data shares'!$C:$FB,66)</f>
        <v>564800</v>
      </c>
      <c r="E15" s="49">
        <f>VLOOKUP($A15,'Data shares'!$C:$FB,67)</f>
        <v>364400</v>
      </c>
      <c r="F15" s="50">
        <f>VLOOKUP($A15,'Data shares'!$C:$FB,69)*100</f>
        <v>54.990000000000009</v>
      </c>
      <c r="G15" s="49">
        <f>VLOOKUP($A15,'Data shares'!$C:$FB,42)</f>
        <v>129500</v>
      </c>
      <c r="H15" s="49">
        <f>VLOOKUP($A15,'Data shares'!$C:$FB,43)</f>
        <v>82500</v>
      </c>
      <c r="I15" s="50">
        <f>VLOOKUP($A15,'Data shares'!$C:$FB,45)*100</f>
        <v>56.97</v>
      </c>
      <c r="J15" s="49">
        <f>VLOOKUP($A15,'Data shares'!$C:$FB,58)</f>
        <v>339500</v>
      </c>
      <c r="K15" s="49">
        <f>VLOOKUP($A15,'Data shares'!$C:$FB,59)</f>
        <v>210100</v>
      </c>
      <c r="L15" s="50">
        <f>VLOOKUP($A15,'Data shares'!$C:$FB,61)*100</f>
        <v>61.59</v>
      </c>
      <c r="M15" s="49">
        <f>VLOOKUP($A15,'Data shares'!$C:$FB,62)</f>
        <v>95800</v>
      </c>
      <c r="N15" s="49">
        <f>VLOOKUP($A15,'Data shares'!$C:$FB,63)</f>
        <v>71800</v>
      </c>
      <c r="O15" s="140">
        <f>VLOOKUP($A15,'Data shares'!$C:$FB,65)*100</f>
        <v>33.43</v>
      </c>
    </row>
    <row r="16" spans="1:15" x14ac:dyDescent="0.25">
      <c r="A16" s="101" t="str">
        <f>'Data shares'!C11</f>
        <v>AMBUJACEM</v>
      </c>
      <c r="B16" s="50">
        <f>VLOOKUP($A16,'Data shares'!$C:$FB,7)</f>
        <v>573.79999999999995</v>
      </c>
      <c r="C16" s="50">
        <f>VLOOKUP($A16,'Data shares'!$C:$FB,10)*100</f>
        <v>-0.41000000000000003</v>
      </c>
      <c r="D16" s="49">
        <f>VLOOKUP($A16,'Data shares'!$C:$FB,66)</f>
        <v>7909650</v>
      </c>
      <c r="E16" s="49">
        <f>VLOOKUP($A16,'Data shares'!$C:$FB,67)</f>
        <v>15418200</v>
      </c>
      <c r="F16" s="50">
        <f>VLOOKUP($A16,'Data shares'!$C:$FB,69)*100</f>
        <v>-48.699999999999996</v>
      </c>
      <c r="G16" s="49">
        <f>VLOOKUP($A16,'Data shares'!$C:$FB,42)</f>
        <v>1979250</v>
      </c>
      <c r="H16" s="49">
        <f>VLOOKUP($A16,'Data shares'!$C:$FB,43)</f>
        <v>4406850</v>
      </c>
      <c r="I16" s="50">
        <f>VLOOKUP($A16,'Data shares'!$C:$FB,45)*100</f>
        <v>-55.089999999999996</v>
      </c>
      <c r="J16" s="49">
        <f>VLOOKUP($A16,'Data shares'!$C:$FB,58)</f>
        <v>4190550</v>
      </c>
      <c r="K16" s="49">
        <f>VLOOKUP($A16,'Data shares'!$C:$FB,59)</f>
        <v>7865550</v>
      </c>
      <c r="L16" s="50">
        <f>VLOOKUP($A16,'Data shares'!$C:$FB,61)*100</f>
        <v>-46.72</v>
      </c>
      <c r="M16" s="49">
        <f>VLOOKUP($A16,'Data shares'!$C:$FB,62)</f>
        <v>1739850</v>
      </c>
      <c r="N16" s="49">
        <f>VLOOKUP($A16,'Data shares'!$C:$FB,63)</f>
        <v>3145800</v>
      </c>
      <c r="O16" s="140">
        <f>VLOOKUP($A16,'Data shares'!$C:$FB,65)*100</f>
        <v>-44.690000000000005</v>
      </c>
    </row>
    <row r="17" spans="1:15" x14ac:dyDescent="0.25">
      <c r="A17" s="101" t="str">
        <f>'Data shares'!C12</f>
        <v>ANGELONE</v>
      </c>
      <c r="B17" s="50">
        <f>VLOOKUP($A17,'Data shares'!$C:$FB,7)</f>
        <v>2265.1999999999998</v>
      </c>
      <c r="C17" s="50">
        <f>VLOOKUP($A17,'Data shares'!$C:$FB,10)*100</f>
        <v>2.9000000000000004</v>
      </c>
      <c r="D17" s="49">
        <f>VLOOKUP($A17,'Data shares'!$C:$FB,66)</f>
        <v>9896750</v>
      </c>
      <c r="E17" s="49">
        <f>VLOOKUP($A17,'Data shares'!$C:$FB,67)</f>
        <v>4010500</v>
      </c>
      <c r="F17" s="50">
        <f>VLOOKUP($A17,'Data shares'!$C:$FB,69)*100</f>
        <v>146.77000000000001</v>
      </c>
      <c r="G17" s="49">
        <f>VLOOKUP($A17,'Data shares'!$C:$FB,42)</f>
        <v>2066500</v>
      </c>
      <c r="H17" s="49">
        <f>VLOOKUP($A17,'Data shares'!$C:$FB,43)</f>
        <v>762750</v>
      </c>
      <c r="I17" s="50">
        <f>VLOOKUP($A17,'Data shares'!$C:$FB,45)*100</f>
        <v>170.93</v>
      </c>
      <c r="J17" s="49">
        <f>VLOOKUP($A17,'Data shares'!$C:$FB,58)</f>
        <v>5468500</v>
      </c>
      <c r="K17" s="49">
        <f>VLOOKUP($A17,'Data shares'!$C:$FB,59)</f>
        <v>2256750</v>
      </c>
      <c r="L17" s="50">
        <f>VLOOKUP($A17,'Data shares'!$C:$FB,61)*100</f>
        <v>142.32</v>
      </c>
      <c r="M17" s="49">
        <f>VLOOKUP($A17,'Data shares'!$C:$FB,62)</f>
        <v>2361750</v>
      </c>
      <c r="N17" s="49">
        <f>VLOOKUP($A17,'Data shares'!$C:$FB,63)</f>
        <v>991000</v>
      </c>
      <c r="O17" s="140">
        <f>VLOOKUP($A17,'Data shares'!$C:$FB,65)*100</f>
        <v>138.32</v>
      </c>
    </row>
    <row r="18" spans="1:15" x14ac:dyDescent="0.25">
      <c r="A18" s="101" t="str">
        <f>'Data shares'!C13</f>
        <v>APLAPOLLO</v>
      </c>
      <c r="B18" s="50">
        <f>VLOOKUP($A18,'Data shares'!$C:$FB,7)</f>
        <v>1742</v>
      </c>
      <c r="C18" s="50">
        <f>VLOOKUP($A18,'Data shares'!$C:$FB,10)*100</f>
        <v>0.22</v>
      </c>
      <c r="D18" s="49">
        <f>VLOOKUP($A18,'Data shares'!$C:$FB,66)</f>
        <v>1743000</v>
      </c>
      <c r="E18" s="49">
        <f>VLOOKUP($A18,'Data shares'!$C:$FB,67)</f>
        <v>2997050</v>
      </c>
      <c r="F18" s="50">
        <f>VLOOKUP($A18,'Data shares'!$C:$FB,69)*100</f>
        <v>-41.839999999999996</v>
      </c>
      <c r="G18" s="49">
        <f>VLOOKUP($A18,'Data shares'!$C:$FB,42)</f>
        <v>565250</v>
      </c>
      <c r="H18" s="49">
        <f>VLOOKUP($A18,'Data shares'!$C:$FB,43)</f>
        <v>1069950</v>
      </c>
      <c r="I18" s="50">
        <f>VLOOKUP($A18,'Data shares'!$C:$FB,45)*100</f>
        <v>-47.17</v>
      </c>
      <c r="J18" s="49">
        <f>VLOOKUP($A18,'Data shares'!$C:$FB,58)</f>
        <v>853650</v>
      </c>
      <c r="K18" s="49">
        <f>VLOOKUP($A18,'Data shares'!$C:$FB,59)</f>
        <v>1437100</v>
      </c>
      <c r="L18" s="50">
        <f>VLOOKUP($A18,'Data shares'!$C:$FB,61)*100</f>
        <v>-40.6</v>
      </c>
      <c r="M18" s="49">
        <f>VLOOKUP($A18,'Data shares'!$C:$FB,62)</f>
        <v>324100</v>
      </c>
      <c r="N18" s="49">
        <f>VLOOKUP($A18,'Data shares'!$C:$FB,63)</f>
        <v>490000</v>
      </c>
      <c r="O18" s="140">
        <f>VLOOKUP($A18,'Data shares'!$C:$FB,65)*100</f>
        <v>-33.86</v>
      </c>
    </row>
    <row r="19" spans="1:15" x14ac:dyDescent="0.25">
      <c r="A19" s="101" t="str">
        <f>'Data shares'!C14</f>
        <v>APOLLOHOSP</v>
      </c>
      <c r="B19" s="50">
        <f>VLOOKUP($A19,'Data shares'!$C:$FB,7)</f>
        <v>7662</v>
      </c>
      <c r="C19" s="50">
        <f>VLOOKUP($A19,'Data shares'!$C:$FB,10)*100</f>
        <v>2.85</v>
      </c>
      <c r="D19" s="49">
        <f>VLOOKUP($A19,'Data shares'!$C:$FB,66)</f>
        <v>5453250</v>
      </c>
      <c r="E19" s="49">
        <f>VLOOKUP($A19,'Data shares'!$C:$FB,67)</f>
        <v>1105125</v>
      </c>
      <c r="F19" s="50">
        <f>VLOOKUP($A19,'Data shares'!$C:$FB,69)*100</f>
        <v>393.45</v>
      </c>
      <c r="G19" s="49">
        <f>VLOOKUP($A19,'Data shares'!$C:$FB,42)</f>
        <v>591000</v>
      </c>
      <c r="H19" s="49">
        <f>VLOOKUP($A19,'Data shares'!$C:$FB,43)</f>
        <v>257000</v>
      </c>
      <c r="I19" s="50">
        <f>VLOOKUP($A19,'Data shares'!$C:$FB,45)*100</f>
        <v>129.96</v>
      </c>
      <c r="J19" s="49">
        <f>VLOOKUP($A19,'Data shares'!$C:$FB,58)</f>
        <v>3565875</v>
      </c>
      <c r="K19" s="49">
        <f>VLOOKUP($A19,'Data shares'!$C:$FB,59)</f>
        <v>649000</v>
      </c>
      <c r="L19" s="50">
        <f>VLOOKUP($A19,'Data shares'!$C:$FB,61)*100</f>
        <v>449.44</v>
      </c>
      <c r="M19" s="49">
        <f>VLOOKUP($A19,'Data shares'!$C:$FB,62)</f>
        <v>1296375</v>
      </c>
      <c r="N19" s="49">
        <f>VLOOKUP($A19,'Data shares'!$C:$FB,63)</f>
        <v>199125</v>
      </c>
      <c r="O19" s="140">
        <f>VLOOKUP($A19,'Data shares'!$C:$FB,65)*100</f>
        <v>551.04</v>
      </c>
    </row>
    <row r="20" spans="1:15" x14ac:dyDescent="0.25">
      <c r="A20" s="101" t="str">
        <f>'Data shares'!C15</f>
        <v>ASHOKLEY</v>
      </c>
      <c r="B20" s="50">
        <f>VLOOKUP($A20,'Data shares'!$C:$FB,7)</f>
        <v>137.78</v>
      </c>
      <c r="C20" s="50">
        <f>VLOOKUP($A20,'Data shares'!$C:$FB,10)*100</f>
        <v>-1.44</v>
      </c>
      <c r="D20" s="49">
        <f>VLOOKUP($A20,'Data shares'!$C:$FB,66)</f>
        <v>94605000</v>
      </c>
      <c r="E20" s="49">
        <f>VLOOKUP($A20,'Data shares'!$C:$FB,67)</f>
        <v>121950000</v>
      </c>
      <c r="F20" s="50">
        <f>VLOOKUP($A20,'Data shares'!$C:$FB,69)*100</f>
        <v>-22.42</v>
      </c>
      <c r="G20" s="49">
        <f>VLOOKUP($A20,'Data shares'!$C:$FB,42)</f>
        <v>21820000</v>
      </c>
      <c r="H20" s="49">
        <f>VLOOKUP($A20,'Data shares'!$C:$FB,43)</f>
        <v>26540000</v>
      </c>
      <c r="I20" s="50">
        <f>VLOOKUP($A20,'Data shares'!$C:$FB,45)*100</f>
        <v>-17.78</v>
      </c>
      <c r="J20" s="49">
        <f>VLOOKUP($A20,'Data shares'!$C:$FB,58)</f>
        <v>55610000</v>
      </c>
      <c r="K20" s="49">
        <f>VLOOKUP($A20,'Data shares'!$C:$FB,59)</f>
        <v>72005000</v>
      </c>
      <c r="L20" s="50">
        <f>VLOOKUP($A20,'Data shares'!$C:$FB,61)*100</f>
        <v>-22.770000000000003</v>
      </c>
      <c r="M20" s="49">
        <f>VLOOKUP($A20,'Data shares'!$C:$FB,62)</f>
        <v>17175000</v>
      </c>
      <c r="N20" s="49">
        <f>VLOOKUP($A20,'Data shares'!$C:$FB,63)</f>
        <v>23405000</v>
      </c>
      <c r="O20" s="140">
        <f>VLOOKUP($A20,'Data shares'!$C:$FB,65)*100</f>
        <v>-26.619999999999997</v>
      </c>
    </row>
    <row r="21" spans="1:15" x14ac:dyDescent="0.25">
      <c r="A21" s="101" t="str">
        <f>'Data shares'!C16</f>
        <v>ASIANPAINT</v>
      </c>
      <c r="B21" s="50">
        <f>VLOOKUP($A21,'Data shares'!$C:$FB,7)</f>
        <v>2354.8000000000002</v>
      </c>
      <c r="C21" s="50">
        <f>VLOOKUP($A21,'Data shares'!$C:$FB,10)*100</f>
        <v>-0.13</v>
      </c>
      <c r="D21" s="49">
        <f>VLOOKUP($A21,'Data shares'!$C:$FB,66)</f>
        <v>8163250</v>
      </c>
      <c r="E21" s="49">
        <f>VLOOKUP($A21,'Data shares'!$C:$FB,67)</f>
        <v>7481500</v>
      </c>
      <c r="F21" s="50">
        <f>VLOOKUP($A21,'Data shares'!$C:$FB,69)*100</f>
        <v>9.11</v>
      </c>
      <c r="G21" s="49">
        <f>VLOOKUP($A21,'Data shares'!$C:$FB,42)</f>
        <v>845500</v>
      </c>
      <c r="H21" s="49">
        <f>VLOOKUP($A21,'Data shares'!$C:$FB,43)</f>
        <v>910500</v>
      </c>
      <c r="I21" s="50">
        <f>VLOOKUP($A21,'Data shares'!$C:$FB,45)*100</f>
        <v>-7.1400000000000006</v>
      </c>
      <c r="J21" s="49">
        <f>VLOOKUP($A21,'Data shares'!$C:$FB,58)</f>
        <v>5291750</v>
      </c>
      <c r="K21" s="49">
        <f>VLOOKUP($A21,'Data shares'!$C:$FB,59)</f>
        <v>4897000</v>
      </c>
      <c r="L21" s="50">
        <f>VLOOKUP($A21,'Data shares'!$C:$FB,61)*100</f>
        <v>8.06</v>
      </c>
      <c r="M21" s="49">
        <f>VLOOKUP($A21,'Data shares'!$C:$FB,62)</f>
        <v>2026000</v>
      </c>
      <c r="N21" s="49">
        <f>VLOOKUP($A21,'Data shares'!$C:$FB,63)</f>
        <v>1674000</v>
      </c>
      <c r="O21" s="140">
        <f>VLOOKUP($A21,'Data shares'!$C:$FB,65)*100</f>
        <v>21.029999999999998</v>
      </c>
    </row>
    <row r="22" spans="1:15" x14ac:dyDescent="0.25">
      <c r="A22" s="101" t="str">
        <f>'Data shares'!C17</f>
        <v>ASTRAL</v>
      </c>
      <c r="B22" s="50">
        <f>VLOOKUP($A22,'Data shares'!$C:$FB,7)</f>
        <v>1383.6</v>
      </c>
      <c r="C22" s="50">
        <f>VLOOKUP($A22,'Data shares'!$C:$FB,10)*100</f>
        <v>0</v>
      </c>
      <c r="D22" s="49">
        <f>VLOOKUP($A22,'Data shares'!$C:$FB,66)</f>
        <v>2967350</v>
      </c>
      <c r="E22" s="49">
        <f>VLOOKUP($A22,'Data shares'!$C:$FB,67)</f>
        <v>2969475</v>
      </c>
      <c r="F22" s="50">
        <f>VLOOKUP($A22,'Data shares'!$C:$FB,69)*100</f>
        <v>-6.9999999999999993E-2</v>
      </c>
      <c r="G22" s="49">
        <f>VLOOKUP($A22,'Data shares'!$C:$FB,42)</f>
        <v>962200</v>
      </c>
      <c r="H22" s="49">
        <f>VLOOKUP($A22,'Data shares'!$C:$FB,43)</f>
        <v>746725</v>
      </c>
      <c r="I22" s="50">
        <f>VLOOKUP($A22,'Data shares'!$C:$FB,45)*100</f>
        <v>28.860000000000003</v>
      </c>
      <c r="J22" s="49">
        <f>VLOOKUP($A22,'Data shares'!$C:$FB,58)</f>
        <v>1372325</v>
      </c>
      <c r="K22" s="49">
        <f>VLOOKUP($A22,'Data shares'!$C:$FB,59)</f>
        <v>1400800</v>
      </c>
      <c r="L22" s="50">
        <f>VLOOKUP($A22,'Data shares'!$C:$FB,61)*100</f>
        <v>-2.0299999999999998</v>
      </c>
      <c r="M22" s="49">
        <f>VLOOKUP($A22,'Data shares'!$C:$FB,62)</f>
        <v>632825</v>
      </c>
      <c r="N22" s="49">
        <f>VLOOKUP($A22,'Data shares'!$C:$FB,63)</f>
        <v>821950</v>
      </c>
      <c r="O22" s="140">
        <f>VLOOKUP($A22,'Data shares'!$C:$FB,65)*100</f>
        <v>-23.01</v>
      </c>
    </row>
    <row r="23" spans="1:15" x14ac:dyDescent="0.25">
      <c r="A23" s="101" t="str">
        <f>'Data shares'!C18</f>
        <v>AUBANK</v>
      </c>
      <c r="B23" s="50">
        <f>VLOOKUP($A23,'Data shares'!$C:$FB,7)</f>
        <v>762.95</v>
      </c>
      <c r="C23" s="50">
        <f>VLOOKUP($A23,'Data shares'!$C:$FB,10)*100</f>
        <v>2.8400000000000003</v>
      </c>
      <c r="D23" s="49">
        <f>VLOOKUP($A23,'Data shares'!$C:$FB,66)</f>
        <v>29215000</v>
      </c>
      <c r="E23" s="49">
        <f>VLOOKUP($A23,'Data shares'!$C:$FB,67)</f>
        <v>16826000</v>
      </c>
      <c r="F23" s="50">
        <f>VLOOKUP($A23,'Data shares'!$C:$FB,69)*100</f>
        <v>73.63</v>
      </c>
      <c r="G23" s="49">
        <f>VLOOKUP($A23,'Data shares'!$C:$FB,42)</f>
        <v>7133000</v>
      </c>
      <c r="H23" s="49">
        <f>VLOOKUP($A23,'Data shares'!$C:$FB,43)</f>
        <v>4384000</v>
      </c>
      <c r="I23" s="50">
        <f>VLOOKUP($A23,'Data shares'!$C:$FB,45)*100</f>
        <v>62.71</v>
      </c>
      <c r="J23" s="49">
        <f>VLOOKUP($A23,'Data shares'!$C:$FB,58)</f>
        <v>15602000</v>
      </c>
      <c r="K23" s="49">
        <f>VLOOKUP($A23,'Data shares'!$C:$FB,59)</f>
        <v>8863000</v>
      </c>
      <c r="L23" s="50">
        <f>VLOOKUP($A23,'Data shares'!$C:$FB,61)*100</f>
        <v>76.039999999999992</v>
      </c>
      <c r="M23" s="49">
        <f>VLOOKUP($A23,'Data shares'!$C:$FB,62)</f>
        <v>6480000</v>
      </c>
      <c r="N23" s="49">
        <f>VLOOKUP($A23,'Data shares'!$C:$FB,63)</f>
        <v>3579000</v>
      </c>
      <c r="O23" s="140">
        <f>VLOOKUP($A23,'Data shares'!$C:$FB,65)*100</f>
        <v>81.06</v>
      </c>
    </row>
    <row r="24" spans="1:15" x14ac:dyDescent="0.25">
      <c r="A24" s="101" t="str">
        <f>'Data shares'!C19</f>
        <v>AUROPHARMA</v>
      </c>
      <c r="B24" s="50">
        <f>VLOOKUP($A24,'Data shares'!$C:$FB,7)</f>
        <v>1096.5</v>
      </c>
      <c r="C24" s="50">
        <f>VLOOKUP($A24,'Data shares'!$C:$FB,10)*100</f>
        <v>0.28999999999999998</v>
      </c>
      <c r="D24" s="49">
        <f>VLOOKUP($A24,'Data shares'!$C:$FB,66)</f>
        <v>4366450</v>
      </c>
      <c r="E24" s="49">
        <f>VLOOKUP($A24,'Data shares'!$C:$FB,67)</f>
        <v>4556200</v>
      </c>
      <c r="F24" s="50">
        <f>VLOOKUP($A24,'Data shares'!$C:$FB,69)*100</f>
        <v>-4.16</v>
      </c>
      <c r="G24" s="49">
        <f>VLOOKUP($A24,'Data shares'!$C:$FB,42)</f>
        <v>1242450</v>
      </c>
      <c r="H24" s="49">
        <f>VLOOKUP($A24,'Data shares'!$C:$FB,43)</f>
        <v>988350</v>
      </c>
      <c r="I24" s="50">
        <f>VLOOKUP($A24,'Data shares'!$C:$FB,45)*100</f>
        <v>25.71</v>
      </c>
      <c r="J24" s="49">
        <f>VLOOKUP($A24,'Data shares'!$C:$FB,58)</f>
        <v>2105400</v>
      </c>
      <c r="K24" s="49">
        <f>VLOOKUP($A24,'Data shares'!$C:$FB,59)</f>
        <v>2244550</v>
      </c>
      <c r="L24" s="50">
        <f>VLOOKUP($A24,'Data shares'!$C:$FB,61)*100</f>
        <v>-6.2</v>
      </c>
      <c r="M24" s="49">
        <f>VLOOKUP($A24,'Data shares'!$C:$FB,62)</f>
        <v>1018600</v>
      </c>
      <c r="N24" s="49">
        <f>VLOOKUP($A24,'Data shares'!$C:$FB,63)</f>
        <v>1323300</v>
      </c>
      <c r="O24" s="140">
        <f>VLOOKUP($A24,'Data shares'!$C:$FB,65)*100</f>
        <v>-23.03</v>
      </c>
    </row>
    <row r="25" spans="1:15" x14ac:dyDescent="0.25">
      <c r="A25" s="101" t="str">
        <f>'Data shares'!C20</f>
        <v>AXISBANK</v>
      </c>
      <c r="B25" s="50">
        <f>VLOOKUP($A25,'Data shares'!$C:$FB,7)</f>
        <v>1212.8</v>
      </c>
      <c r="C25" s="50">
        <f>VLOOKUP($A25,'Data shares'!$C:$FB,10)*100</f>
        <v>2.69</v>
      </c>
      <c r="D25" s="49">
        <f>VLOOKUP($A25,'Data shares'!$C:$FB,66)</f>
        <v>102212500</v>
      </c>
      <c r="E25" s="49">
        <f>VLOOKUP($A25,'Data shares'!$C:$FB,67)</f>
        <v>70621875</v>
      </c>
      <c r="F25" s="50">
        <f>VLOOKUP($A25,'Data shares'!$C:$FB,69)*100</f>
        <v>44.73</v>
      </c>
      <c r="G25" s="49">
        <f>VLOOKUP($A25,'Data shares'!$C:$FB,42)</f>
        <v>23264375</v>
      </c>
      <c r="H25" s="49">
        <f>VLOOKUP($A25,'Data shares'!$C:$FB,43)</f>
        <v>12763125</v>
      </c>
      <c r="I25" s="50">
        <f>VLOOKUP($A25,'Data shares'!$C:$FB,45)*100</f>
        <v>82.28</v>
      </c>
      <c r="J25" s="49">
        <f>VLOOKUP($A25,'Data shares'!$C:$FB,58)</f>
        <v>47083750</v>
      </c>
      <c r="K25" s="49">
        <f>VLOOKUP($A25,'Data shares'!$C:$FB,59)</f>
        <v>36533125</v>
      </c>
      <c r="L25" s="50">
        <f>VLOOKUP($A25,'Data shares'!$C:$FB,61)*100</f>
        <v>28.88</v>
      </c>
      <c r="M25" s="49">
        <f>VLOOKUP($A25,'Data shares'!$C:$FB,62)</f>
        <v>31864375</v>
      </c>
      <c r="N25" s="49">
        <f>VLOOKUP($A25,'Data shares'!$C:$FB,63)</f>
        <v>21325625</v>
      </c>
      <c r="O25" s="140">
        <f>VLOOKUP($A25,'Data shares'!$C:$FB,65)*100</f>
        <v>49.419999999999995</v>
      </c>
    </row>
    <row r="26" spans="1:15" x14ac:dyDescent="0.25">
      <c r="A26" s="101" t="str">
        <f>'Data shares'!C21</f>
        <v>BAJAJ-AUTO</v>
      </c>
      <c r="B26" s="50">
        <f>VLOOKUP($A26,'Data shares'!$C:$FB,7)</f>
        <v>8792</v>
      </c>
      <c r="C26" s="50">
        <f>VLOOKUP($A26,'Data shares'!$C:$FB,10)*100</f>
        <v>1.3</v>
      </c>
      <c r="D26" s="49">
        <f>VLOOKUP($A26,'Data shares'!$C:$FB,66)</f>
        <v>3887850</v>
      </c>
      <c r="E26" s="49">
        <f>VLOOKUP($A26,'Data shares'!$C:$FB,67)</f>
        <v>7922700</v>
      </c>
      <c r="F26" s="50">
        <f>VLOOKUP($A26,'Data shares'!$C:$FB,69)*100</f>
        <v>-50.93</v>
      </c>
      <c r="G26" s="49">
        <f>VLOOKUP($A26,'Data shares'!$C:$FB,42)</f>
        <v>503625</v>
      </c>
      <c r="H26" s="49">
        <f>VLOOKUP($A26,'Data shares'!$C:$FB,43)</f>
        <v>937650</v>
      </c>
      <c r="I26" s="50">
        <f>VLOOKUP($A26,'Data shares'!$C:$FB,45)*100</f>
        <v>-46.29</v>
      </c>
      <c r="J26" s="49">
        <f>VLOOKUP($A26,'Data shares'!$C:$FB,58)</f>
        <v>2412225</v>
      </c>
      <c r="K26" s="49">
        <f>VLOOKUP($A26,'Data shares'!$C:$FB,59)</f>
        <v>5192475</v>
      </c>
      <c r="L26" s="50">
        <f>VLOOKUP($A26,'Data shares'!$C:$FB,61)*100</f>
        <v>-53.54</v>
      </c>
      <c r="M26" s="49">
        <f>VLOOKUP($A26,'Data shares'!$C:$FB,62)</f>
        <v>972000</v>
      </c>
      <c r="N26" s="49">
        <f>VLOOKUP($A26,'Data shares'!$C:$FB,63)</f>
        <v>1792575</v>
      </c>
      <c r="O26" s="140">
        <f>VLOOKUP($A26,'Data shares'!$C:$FB,65)*100</f>
        <v>-45.78</v>
      </c>
    </row>
    <row r="27" spans="1:15" x14ac:dyDescent="0.25">
      <c r="A27" s="101" t="str">
        <f>'Data shares'!C22</f>
        <v>BAJAJFINSV</v>
      </c>
      <c r="B27" s="50">
        <f>VLOOKUP($A27,'Data shares'!$C:$FB,7)</f>
        <v>2033.2</v>
      </c>
      <c r="C27" s="50">
        <f>VLOOKUP($A27,'Data shares'!$C:$FB,10)*100</f>
        <v>1.6099999999999999</v>
      </c>
      <c r="D27" s="49">
        <f>VLOOKUP($A27,'Data shares'!$C:$FB,66)</f>
        <v>14789000</v>
      </c>
      <c r="E27" s="49">
        <f>VLOOKUP($A27,'Data shares'!$C:$FB,67)</f>
        <v>9441500</v>
      </c>
      <c r="F27" s="50">
        <f>VLOOKUP($A27,'Data shares'!$C:$FB,69)*100</f>
        <v>56.64</v>
      </c>
      <c r="G27" s="49">
        <f>VLOOKUP($A27,'Data shares'!$C:$FB,42)</f>
        <v>1744000</v>
      </c>
      <c r="H27" s="49">
        <f>VLOOKUP($A27,'Data shares'!$C:$FB,43)</f>
        <v>1386500</v>
      </c>
      <c r="I27" s="50">
        <f>VLOOKUP($A27,'Data shares'!$C:$FB,45)*100</f>
        <v>25.779999999999998</v>
      </c>
      <c r="J27" s="49">
        <f>VLOOKUP($A27,'Data shares'!$C:$FB,58)</f>
        <v>9515000</v>
      </c>
      <c r="K27" s="49">
        <f>VLOOKUP($A27,'Data shares'!$C:$FB,59)</f>
        <v>5094500</v>
      </c>
      <c r="L27" s="50">
        <f>VLOOKUP($A27,'Data shares'!$C:$FB,61)*100</f>
        <v>86.77</v>
      </c>
      <c r="M27" s="49">
        <f>VLOOKUP($A27,'Data shares'!$C:$FB,62)</f>
        <v>3530000</v>
      </c>
      <c r="N27" s="49">
        <f>VLOOKUP($A27,'Data shares'!$C:$FB,63)</f>
        <v>2960500</v>
      </c>
      <c r="O27" s="140">
        <f>VLOOKUP($A27,'Data shares'!$C:$FB,65)*100</f>
        <v>19.239999999999998</v>
      </c>
    </row>
    <row r="28" spans="1:15" x14ac:dyDescent="0.25">
      <c r="A28" s="101" t="str">
        <f>'Data shares'!C23</f>
        <v>BAJFINANCE</v>
      </c>
      <c r="B28" s="50">
        <f>VLOOKUP($A28,'Data shares'!$C:$FB,7)</f>
        <v>1008.9</v>
      </c>
      <c r="C28" s="50">
        <f>VLOOKUP($A28,'Data shares'!$C:$FB,10)*100</f>
        <v>1.9300000000000002</v>
      </c>
      <c r="D28" s="49">
        <f>VLOOKUP($A28,'Data shares'!$C:$FB,66)</f>
        <v>107767500</v>
      </c>
      <c r="E28" s="49">
        <f>VLOOKUP($A28,'Data shares'!$C:$FB,67)</f>
        <v>37300500</v>
      </c>
      <c r="F28" s="50">
        <f>VLOOKUP($A28,'Data shares'!$C:$FB,69)*100</f>
        <v>188.92</v>
      </c>
      <c r="G28" s="49">
        <f>VLOOKUP($A28,'Data shares'!$C:$FB,42)</f>
        <v>15865500</v>
      </c>
      <c r="H28" s="49">
        <f>VLOOKUP($A28,'Data shares'!$C:$FB,43)</f>
        <v>7433250</v>
      </c>
      <c r="I28" s="50">
        <f>VLOOKUP($A28,'Data shares'!$C:$FB,45)*100</f>
        <v>113.44000000000001</v>
      </c>
      <c r="J28" s="49">
        <f>VLOOKUP($A28,'Data shares'!$C:$FB,58)</f>
        <v>66227250</v>
      </c>
      <c r="K28" s="49">
        <f>VLOOKUP($A28,'Data shares'!$C:$FB,59)</f>
        <v>19993500</v>
      </c>
      <c r="L28" s="50">
        <f>VLOOKUP($A28,'Data shares'!$C:$FB,61)*100</f>
        <v>231.23999999999998</v>
      </c>
      <c r="M28" s="49">
        <f>VLOOKUP($A28,'Data shares'!$C:$FB,62)</f>
        <v>25674750</v>
      </c>
      <c r="N28" s="49">
        <f>VLOOKUP($A28,'Data shares'!$C:$FB,63)</f>
        <v>9873750</v>
      </c>
      <c r="O28" s="140">
        <f>VLOOKUP($A28,'Data shares'!$C:$FB,65)*100</f>
        <v>160.03</v>
      </c>
    </row>
    <row r="29" spans="1:15" x14ac:dyDescent="0.25">
      <c r="A29" s="101" t="str">
        <f>'Data shares'!C24</f>
        <v>BANDHANBNK</v>
      </c>
      <c r="B29" s="50">
        <f>VLOOKUP($A29,'Data shares'!$C:$FB,7)</f>
        <v>164.79</v>
      </c>
      <c r="C29" s="50">
        <f>VLOOKUP($A29,'Data shares'!$C:$FB,10)*100</f>
        <v>-0.70000000000000007</v>
      </c>
      <c r="D29" s="49">
        <f>VLOOKUP($A29,'Data shares'!$C:$FB,66)</f>
        <v>41994000</v>
      </c>
      <c r="E29" s="49">
        <f>VLOOKUP($A29,'Data shares'!$C:$FB,67)</f>
        <v>80834400</v>
      </c>
      <c r="F29" s="50">
        <f>VLOOKUP($A29,'Data shares'!$C:$FB,69)*100</f>
        <v>-48.05</v>
      </c>
      <c r="G29" s="49">
        <f>VLOOKUP($A29,'Data shares'!$C:$FB,42)</f>
        <v>13996800</v>
      </c>
      <c r="H29" s="49">
        <f>VLOOKUP($A29,'Data shares'!$C:$FB,43)</f>
        <v>24523200</v>
      </c>
      <c r="I29" s="50">
        <f>VLOOKUP($A29,'Data shares'!$C:$FB,45)*100</f>
        <v>-42.92</v>
      </c>
      <c r="J29" s="49">
        <f>VLOOKUP($A29,'Data shares'!$C:$FB,58)</f>
        <v>19656000</v>
      </c>
      <c r="K29" s="49">
        <f>VLOOKUP($A29,'Data shares'!$C:$FB,59)</f>
        <v>37314000</v>
      </c>
      <c r="L29" s="50">
        <f>VLOOKUP($A29,'Data shares'!$C:$FB,61)*100</f>
        <v>-47.32</v>
      </c>
      <c r="M29" s="49">
        <f>VLOOKUP($A29,'Data shares'!$C:$FB,62)</f>
        <v>8341200</v>
      </c>
      <c r="N29" s="49">
        <f>VLOOKUP($A29,'Data shares'!$C:$FB,63)</f>
        <v>18997200</v>
      </c>
      <c r="O29" s="140">
        <f>VLOOKUP($A29,'Data shares'!$C:$FB,65)*100</f>
        <v>-56.089999999999996</v>
      </c>
    </row>
    <row r="30" spans="1:15" x14ac:dyDescent="0.25">
      <c r="A30" s="101" t="str">
        <f>'Data shares'!C25</f>
        <v>BANKBARODA</v>
      </c>
      <c r="B30" s="50">
        <f>VLOOKUP($A30,'Data shares'!$C:$FB,7)</f>
        <v>266.60000000000002</v>
      </c>
      <c r="C30" s="50">
        <f>VLOOKUP($A30,'Data shares'!$C:$FB,10)*100</f>
        <v>1</v>
      </c>
      <c r="D30" s="49">
        <f>VLOOKUP($A30,'Data shares'!$C:$FB,66)</f>
        <v>167096475</v>
      </c>
      <c r="E30" s="49">
        <f>VLOOKUP($A30,'Data shares'!$C:$FB,67)</f>
        <v>147537000</v>
      </c>
      <c r="F30" s="50">
        <f>VLOOKUP($A30,'Data shares'!$C:$FB,69)*100</f>
        <v>13.26</v>
      </c>
      <c r="G30" s="49">
        <f>VLOOKUP($A30,'Data shares'!$C:$FB,42)</f>
        <v>33619950</v>
      </c>
      <c r="H30" s="49">
        <f>VLOOKUP($A30,'Data shares'!$C:$FB,43)</f>
        <v>28817100</v>
      </c>
      <c r="I30" s="50">
        <f>VLOOKUP($A30,'Data shares'!$C:$FB,45)*100</f>
        <v>16.669999999999998</v>
      </c>
      <c r="J30" s="49">
        <f>VLOOKUP($A30,'Data shares'!$C:$FB,58)</f>
        <v>85088250</v>
      </c>
      <c r="K30" s="49">
        <f>VLOOKUP($A30,'Data shares'!$C:$FB,59)</f>
        <v>73657350</v>
      </c>
      <c r="L30" s="50">
        <f>VLOOKUP($A30,'Data shares'!$C:$FB,61)*100</f>
        <v>15.52</v>
      </c>
      <c r="M30" s="49">
        <f>VLOOKUP($A30,'Data shares'!$C:$FB,62)</f>
        <v>48388275</v>
      </c>
      <c r="N30" s="49">
        <f>VLOOKUP($A30,'Data shares'!$C:$FB,63)</f>
        <v>45062550</v>
      </c>
      <c r="O30" s="140">
        <f>VLOOKUP($A30,'Data shares'!$C:$FB,65)*100</f>
        <v>7.3800000000000008</v>
      </c>
    </row>
    <row r="31" spans="1:15" x14ac:dyDescent="0.25">
      <c r="A31" s="101" t="str">
        <f>'Data shares'!C26</f>
        <v>BANKINDIA</v>
      </c>
      <c r="B31" s="50">
        <f>VLOOKUP($A31,'Data shares'!$C:$FB,7)</f>
        <v>126.04</v>
      </c>
      <c r="C31" s="50">
        <f>VLOOKUP($A31,'Data shares'!$C:$FB,10)*100</f>
        <v>0.41000000000000003</v>
      </c>
      <c r="D31" s="49">
        <f>VLOOKUP($A31,'Data shares'!$C:$FB,66)</f>
        <v>39468000</v>
      </c>
      <c r="E31" s="49">
        <f>VLOOKUP($A31,'Data shares'!$C:$FB,67)</f>
        <v>47611200</v>
      </c>
      <c r="F31" s="50">
        <f>VLOOKUP($A31,'Data shares'!$C:$FB,69)*100</f>
        <v>-17.100000000000001</v>
      </c>
      <c r="G31" s="49">
        <f>VLOOKUP($A31,'Data shares'!$C:$FB,42)</f>
        <v>14710800</v>
      </c>
      <c r="H31" s="49">
        <f>VLOOKUP($A31,'Data shares'!$C:$FB,43)</f>
        <v>15927600</v>
      </c>
      <c r="I31" s="50">
        <f>VLOOKUP($A31,'Data shares'!$C:$FB,45)*100</f>
        <v>-7.64</v>
      </c>
      <c r="J31" s="49">
        <f>VLOOKUP($A31,'Data shares'!$C:$FB,58)</f>
        <v>17212000</v>
      </c>
      <c r="K31" s="49">
        <f>VLOOKUP($A31,'Data shares'!$C:$FB,59)</f>
        <v>21689200</v>
      </c>
      <c r="L31" s="50">
        <f>VLOOKUP($A31,'Data shares'!$C:$FB,61)*100</f>
        <v>-20.64</v>
      </c>
      <c r="M31" s="49">
        <f>VLOOKUP($A31,'Data shares'!$C:$FB,62)</f>
        <v>7545200</v>
      </c>
      <c r="N31" s="49">
        <f>VLOOKUP($A31,'Data shares'!$C:$FB,63)</f>
        <v>9994400</v>
      </c>
      <c r="O31" s="140">
        <f>VLOOKUP($A31,'Data shares'!$C:$FB,65)*100</f>
        <v>-24.51</v>
      </c>
    </row>
    <row r="32" spans="1:15" x14ac:dyDescent="0.25">
      <c r="A32" s="101" t="str">
        <f>'Data shares'!C27</f>
        <v>BANKNIFTY</v>
      </c>
      <c r="B32" s="50">
        <f>VLOOKUP($A32,'Data shares'!$C:$FB,7)</f>
        <v>56104.85</v>
      </c>
      <c r="C32" s="50">
        <f>VLOOKUP($A32,'Data shares'!$C:$FB,10)*100</f>
        <v>0.92999999999999994</v>
      </c>
      <c r="D32" s="49">
        <f>VLOOKUP($A32,'Data shares'!$C:$FB,66)</f>
        <v>94201695</v>
      </c>
      <c r="E32" s="49">
        <f>VLOOKUP($A32,'Data shares'!$C:$FB,67)</f>
        <v>81698610</v>
      </c>
      <c r="F32" s="50">
        <f>VLOOKUP($A32,'Data shares'!$C:$FB,69)*100</f>
        <v>15.299999999999999</v>
      </c>
      <c r="G32" s="49">
        <f>VLOOKUP($A32,'Data shares'!$C:$FB,42)</f>
        <v>943530</v>
      </c>
      <c r="H32" s="49">
        <f>VLOOKUP($A32,'Data shares'!$C:$FB,43)</f>
        <v>726390</v>
      </c>
      <c r="I32" s="50">
        <f>VLOOKUP($A32,'Data shares'!$C:$FB,45)*100</f>
        <v>29.89</v>
      </c>
      <c r="J32" s="49">
        <f>VLOOKUP($A32,'Data shares'!$C:$FB,58)</f>
        <v>49508060</v>
      </c>
      <c r="K32" s="49">
        <f>VLOOKUP($A32,'Data shares'!$C:$FB,59)</f>
        <v>42458255</v>
      </c>
      <c r="L32" s="50">
        <f>VLOOKUP($A32,'Data shares'!$C:$FB,61)*100</f>
        <v>16.600000000000001</v>
      </c>
      <c r="M32" s="49">
        <f>VLOOKUP($A32,'Data shares'!$C:$FB,62)</f>
        <v>43750105</v>
      </c>
      <c r="N32" s="49">
        <f>VLOOKUP($A32,'Data shares'!$C:$FB,63)</f>
        <v>38513965</v>
      </c>
      <c r="O32" s="140">
        <f>VLOOKUP($A32,'Data shares'!$C:$FB,65)*100</f>
        <v>13.600000000000001</v>
      </c>
    </row>
    <row r="33" spans="1:15" x14ac:dyDescent="0.25">
      <c r="A33" s="101" t="str">
        <f>'Data shares'!C28</f>
        <v>BDL</v>
      </c>
      <c r="B33" s="50">
        <f>VLOOKUP($A33,'Data shares'!$C:$FB,7)</f>
        <v>1559.1</v>
      </c>
      <c r="C33" s="50">
        <f>VLOOKUP($A33,'Data shares'!$C:$FB,10)*100</f>
        <v>-0.12</v>
      </c>
      <c r="D33" s="49">
        <f>VLOOKUP($A33,'Data shares'!$C:$FB,66)</f>
        <v>4315675</v>
      </c>
      <c r="E33" s="49">
        <f>VLOOKUP($A33,'Data shares'!$C:$FB,67)</f>
        <v>10868000</v>
      </c>
      <c r="F33" s="50">
        <f>VLOOKUP($A33,'Data shares'!$C:$FB,69)*100</f>
        <v>-60.29</v>
      </c>
      <c r="G33" s="49">
        <f>VLOOKUP($A33,'Data shares'!$C:$FB,42)</f>
        <v>868725</v>
      </c>
      <c r="H33" s="49">
        <f>VLOOKUP($A33,'Data shares'!$C:$FB,43)</f>
        <v>2058550</v>
      </c>
      <c r="I33" s="50">
        <f>VLOOKUP($A33,'Data shares'!$C:$FB,45)*100</f>
        <v>-57.8</v>
      </c>
      <c r="J33" s="49">
        <f>VLOOKUP($A33,'Data shares'!$C:$FB,58)</f>
        <v>2554175</v>
      </c>
      <c r="K33" s="49">
        <f>VLOOKUP($A33,'Data shares'!$C:$FB,59)</f>
        <v>6530550</v>
      </c>
      <c r="L33" s="50">
        <f>VLOOKUP($A33,'Data shares'!$C:$FB,61)*100</f>
        <v>-60.89</v>
      </c>
      <c r="M33" s="49">
        <f>VLOOKUP($A33,'Data shares'!$C:$FB,62)</f>
        <v>892775</v>
      </c>
      <c r="N33" s="49">
        <f>VLOOKUP($A33,'Data shares'!$C:$FB,63)</f>
        <v>2278900</v>
      </c>
      <c r="O33" s="140">
        <f>VLOOKUP($A33,'Data shares'!$C:$FB,65)*100</f>
        <v>-60.819999999999993</v>
      </c>
    </row>
    <row r="34" spans="1:15" x14ac:dyDescent="0.25">
      <c r="A34" s="101" t="str">
        <f>'Data shares'!C29</f>
        <v>BEL</v>
      </c>
      <c r="B34" s="50">
        <f>VLOOKUP($A34,'Data shares'!$C:$FB,7)</f>
        <v>413.25</v>
      </c>
      <c r="C34" s="50">
        <f>VLOOKUP($A34,'Data shares'!$C:$FB,10)*100</f>
        <v>0.15</v>
      </c>
      <c r="D34" s="49">
        <f>VLOOKUP($A34,'Data shares'!$C:$FB,66)</f>
        <v>131507550</v>
      </c>
      <c r="E34" s="49">
        <f>VLOOKUP($A34,'Data shares'!$C:$FB,67)</f>
        <v>175323450</v>
      </c>
      <c r="F34" s="50">
        <f>VLOOKUP($A34,'Data shares'!$C:$FB,69)*100</f>
        <v>-24.990000000000002</v>
      </c>
      <c r="G34" s="49">
        <f>VLOOKUP($A34,'Data shares'!$C:$FB,42)</f>
        <v>22554900</v>
      </c>
      <c r="H34" s="49">
        <f>VLOOKUP($A34,'Data shares'!$C:$FB,43)</f>
        <v>26068950</v>
      </c>
      <c r="I34" s="50">
        <f>VLOOKUP($A34,'Data shares'!$C:$FB,45)*100</f>
        <v>-13.48</v>
      </c>
      <c r="J34" s="49">
        <f>VLOOKUP($A34,'Data shares'!$C:$FB,58)</f>
        <v>72486900</v>
      </c>
      <c r="K34" s="49">
        <f>VLOOKUP($A34,'Data shares'!$C:$FB,59)</f>
        <v>101810550</v>
      </c>
      <c r="L34" s="50">
        <f>VLOOKUP($A34,'Data shares'!$C:$FB,61)*100</f>
        <v>-28.799999999999997</v>
      </c>
      <c r="M34" s="49">
        <f>VLOOKUP($A34,'Data shares'!$C:$FB,62)</f>
        <v>36465750</v>
      </c>
      <c r="N34" s="49">
        <f>VLOOKUP($A34,'Data shares'!$C:$FB,63)</f>
        <v>47443950</v>
      </c>
      <c r="O34" s="140">
        <f>VLOOKUP($A34,'Data shares'!$C:$FB,65)*100</f>
        <v>-23.14</v>
      </c>
    </row>
    <row r="35" spans="1:15" x14ac:dyDescent="0.25">
      <c r="A35" s="101" t="str">
        <f>'Data shares'!C30</f>
        <v>BHARATFORG</v>
      </c>
      <c r="B35" s="50">
        <f>VLOOKUP($A35,'Data shares'!$C:$FB,7)</f>
        <v>1234.5999999999999</v>
      </c>
      <c r="C35" s="50">
        <f>VLOOKUP($A35,'Data shares'!$C:$FB,10)*100</f>
        <v>1.18</v>
      </c>
      <c r="D35" s="49">
        <f>VLOOKUP($A35,'Data shares'!$C:$FB,66)</f>
        <v>6182000</v>
      </c>
      <c r="E35" s="49">
        <f>VLOOKUP($A35,'Data shares'!$C:$FB,67)</f>
        <v>4588000</v>
      </c>
      <c r="F35" s="50">
        <f>VLOOKUP($A35,'Data shares'!$C:$FB,69)*100</f>
        <v>34.74</v>
      </c>
      <c r="G35" s="49">
        <f>VLOOKUP($A35,'Data shares'!$C:$FB,42)</f>
        <v>1559000</v>
      </c>
      <c r="H35" s="49">
        <f>VLOOKUP($A35,'Data shares'!$C:$FB,43)</f>
        <v>1148000</v>
      </c>
      <c r="I35" s="50">
        <f>VLOOKUP($A35,'Data shares'!$C:$FB,45)*100</f>
        <v>35.799999999999997</v>
      </c>
      <c r="J35" s="49">
        <f>VLOOKUP($A35,'Data shares'!$C:$FB,58)</f>
        <v>3553500</v>
      </c>
      <c r="K35" s="49">
        <f>VLOOKUP($A35,'Data shares'!$C:$FB,59)</f>
        <v>2580000</v>
      </c>
      <c r="L35" s="50">
        <f>VLOOKUP($A35,'Data shares'!$C:$FB,61)*100</f>
        <v>37.730000000000004</v>
      </c>
      <c r="M35" s="49">
        <f>VLOOKUP($A35,'Data shares'!$C:$FB,62)</f>
        <v>1069500</v>
      </c>
      <c r="N35" s="49">
        <f>VLOOKUP($A35,'Data shares'!$C:$FB,63)</f>
        <v>860000</v>
      </c>
      <c r="O35" s="140">
        <f>VLOOKUP($A35,'Data shares'!$C:$FB,65)*100</f>
        <v>24.36</v>
      </c>
    </row>
    <row r="36" spans="1:15" x14ac:dyDescent="0.25">
      <c r="A36" s="101" t="str">
        <f>'Data shares'!C31</f>
        <v>BHARTIARTL</v>
      </c>
      <c r="B36" s="50">
        <f>VLOOKUP($A36,'Data shares'!$C:$FB,7)</f>
        <v>1903.1</v>
      </c>
      <c r="C36" s="50">
        <f>VLOOKUP($A36,'Data shares'!$C:$FB,10)*100</f>
        <v>0.33999999999999997</v>
      </c>
      <c r="D36" s="49">
        <f>VLOOKUP($A36,'Data shares'!$C:$FB,66)</f>
        <v>23083100</v>
      </c>
      <c r="E36" s="49">
        <f>VLOOKUP($A36,'Data shares'!$C:$FB,67)</f>
        <v>44507025</v>
      </c>
      <c r="F36" s="50">
        <f>VLOOKUP($A36,'Data shares'!$C:$FB,69)*100</f>
        <v>-48.14</v>
      </c>
      <c r="G36" s="49">
        <f>VLOOKUP($A36,'Data shares'!$C:$FB,42)</f>
        <v>3683150</v>
      </c>
      <c r="H36" s="49">
        <f>VLOOKUP($A36,'Data shares'!$C:$FB,43)</f>
        <v>10352150</v>
      </c>
      <c r="I36" s="50">
        <f>VLOOKUP($A36,'Data shares'!$C:$FB,45)*100</f>
        <v>-64.42</v>
      </c>
      <c r="J36" s="49">
        <f>VLOOKUP($A36,'Data shares'!$C:$FB,58)</f>
        <v>13655775</v>
      </c>
      <c r="K36" s="49">
        <f>VLOOKUP($A36,'Data shares'!$C:$FB,59)</f>
        <v>23996525</v>
      </c>
      <c r="L36" s="50">
        <f>VLOOKUP($A36,'Data shares'!$C:$FB,61)*100</f>
        <v>-43.09</v>
      </c>
      <c r="M36" s="49">
        <f>VLOOKUP($A36,'Data shares'!$C:$FB,62)</f>
        <v>5744175</v>
      </c>
      <c r="N36" s="49">
        <f>VLOOKUP($A36,'Data shares'!$C:$FB,63)</f>
        <v>10158350</v>
      </c>
      <c r="O36" s="140">
        <f>VLOOKUP($A36,'Data shares'!$C:$FB,65)*100</f>
        <v>-43.45</v>
      </c>
    </row>
    <row r="37" spans="1:15" x14ac:dyDescent="0.25">
      <c r="A37" s="101" t="str">
        <f>'Data shares'!C32</f>
        <v>BHEL</v>
      </c>
      <c r="B37" s="50">
        <f>VLOOKUP($A37,'Data shares'!$C:$FB,7)</f>
        <v>245.31</v>
      </c>
      <c r="C37" s="50">
        <f>VLOOKUP($A37,'Data shares'!$C:$FB,10)*100</f>
        <v>0.12</v>
      </c>
      <c r="D37" s="49">
        <f>VLOOKUP($A37,'Data shares'!$C:$FB,66)</f>
        <v>45100125</v>
      </c>
      <c r="E37" s="49">
        <f>VLOOKUP($A37,'Data shares'!$C:$FB,67)</f>
        <v>75817875</v>
      </c>
      <c r="F37" s="50">
        <f>VLOOKUP($A37,'Data shares'!$C:$FB,69)*100</f>
        <v>-40.520000000000003</v>
      </c>
      <c r="G37" s="49">
        <f>VLOOKUP($A37,'Data shares'!$C:$FB,42)</f>
        <v>8140125</v>
      </c>
      <c r="H37" s="49">
        <f>VLOOKUP($A37,'Data shares'!$C:$FB,43)</f>
        <v>13820625</v>
      </c>
      <c r="I37" s="50">
        <f>VLOOKUP($A37,'Data shares'!$C:$FB,45)*100</f>
        <v>-41.099999999999994</v>
      </c>
      <c r="J37" s="49">
        <f>VLOOKUP($A37,'Data shares'!$C:$FB,58)</f>
        <v>24100125</v>
      </c>
      <c r="K37" s="49">
        <f>VLOOKUP($A37,'Data shares'!$C:$FB,59)</f>
        <v>44123625</v>
      </c>
      <c r="L37" s="50">
        <f>VLOOKUP($A37,'Data shares'!$C:$FB,61)*100</f>
        <v>-45.379999999999995</v>
      </c>
      <c r="M37" s="49">
        <f>VLOOKUP($A37,'Data shares'!$C:$FB,62)</f>
        <v>12859875</v>
      </c>
      <c r="N37" s="49">
        <f>VLOOKUP($A37,'Data shares'!$C:$FB,63)</f>
        <v>17873625</v>
      </c>
      <c r="O37" s="140">
        <f>VLOOKUP($A37,'Data shares'!$C:$FB,65)*100</f>
        <v>-28.050000000000004</v>
      </c>
    </row>
    <row r="38" spans="1:15" x14ac:dyDescent="0.25">
      <c r="A38" s="101" t="str">
        <f>'Data shares'!C33</f>
        <v>BIOCON</v>
      </c>
      <c r="B38" s="50">
        <f>VLOOKUP($A38,'Data shares'!$C:$FB,7)</f>
        <v>347.75</v>
      </c>
      <c r="C38" s="50">
        <f>VLOOKUP($A38,'Data shares'!$C:$FB,10)*100</f>
        <v>-1.28</v>
      </c>
      <c r="D38" s="49">
        <f>VLOOKUP($A38,'Data shares'!$C:$FB,66)</f>
        <v>24337500</v>
      </c>
      <c r="E38" s="49">
        <f>VLOOKUP($A38,'Data shares'!$C:$FB,67)</f>
        <v>22055000</v>
      </c>
      <c r="F38" s="50">
        <f>VLOOKUP($A38,'Data shares'!$C:$FB,69)*100</f>
        <v>10.35</v>
      </c>
      <c r="G38" s="49">
        <f>VLOOKUP($A38,'Data shares'!$C:$FB,42)</f>
        <v>4920000</v>
      </c>
      <c r="H38" s="49">
        <f>VLOOKUP($A38,'Data shares'!$C:$FB,43)</f>
        <v>4762500</v>
      </c>
      <c r="I38" s="50">
        <f>VLOOKUP($A38,'Data shares'!$C:$FB,45)*100</f>
        <v>3.3099999999999996</v>
      </c>
      <c r="J38" s="49">
        <f>VLOOKUP($A38,'Data shares'!$C:$FB,58)</f>
        <v>14655000</v>
      </c>
      <c r="K38" s="49">
        <f>VLOOKUP($A38,'Data shares'!$C:$FB,59)</f>
        <v>12307500</v>
      </c>
      <c r="L38" s="50">
        <f>VLOOKUP($A38,'Data shares'!$C:$FB,61)*100</f>
        <v>19.07</v>
      </c>
      <c r="M38" s="49">
        <f>VLOOKUP($A38,'Data shares'!$C:$FB,62)</f>
        <v>4762500</v>
      </c>
      <c r="N38" s="49">
        <f>VLOOKUP($A38,'Data shares'!$C:$FB,63)</f>
        <v>4985000</v>
      </c>
      <c r="O38" s="140">
        <f>VLOOKUP($A38,'Data shares'!$C:$FB,65)*100</f>
        <v>-4.46</v>
      </c>
    </row>
    <row r="39" spans="1:15" x14ac:dyDescent="0.25">
      <c r="A39" s="101" t="str">
        <f>'Data shares'!C34</f>
        <v>BLUESTARCO</v>
      </c>
      <c r="B39" s="50">
        <f>VLOOKUP($A39,'Data shares'!$C:$FB,7)</f>
        <v>1892.8</v>
      </c>
      <c r="C39" s="50">
        <f>VLOOKUP($A39,'Data shares'!$C:$FB,10)*100</f>
        <v>-0.33999999999999997</v>
      </c>
      <c r="D39" s="49">
        <f>VLOOKUP($A39,'Data shares'!$C:$FB,66)</f>
        <v>568425</v>
      </c>
      <c r="E39" s="49">
        <f>VLOOKUP($A39,'Data shares'!$C:$FB,67)</f>
        <v>557375</v>
      </c>
      <c r="F39" s="50">
        <f>VLOOKUP($A39,'Data shares'!$C:$FB,69)*100</f>
        <v>1.9800000000000002</v>
      </c>
      <c r="G39" s="49">
        <f>VLOOKUP($A39,'Data shares'!$C:$FB,42)</f>
        <v>286000</v>
      </c>
      <c r="H39" s="49">
        <f>VLOOKUP($A39,'Data shares'!$C:$FB,43)</f>
        <v>247650</v>
      </c>
      <c r="I39" s="50">
        <f>VLOOKUP($A39,'Data shares'!$C:$FB,45)*100</f>
        <v>15.49</v>
      </c>
      <c r="J39" s="49">
        <f>VLOOKUP($A39,'Data shares'!$C:$FB,58)</f>
        <v>186225</v>
      </c>
      <c r="K39" s="49">
        <f>VLOOKUP($A39,'Data shares'!$C:$FB,59)</f>
        <v>216775</v>
      </c>
      <c r="L39" s="50">
        <f>VLOOKUP($A39,'Data shares'!$C:$FB,61)*100</f>
        <v>-14.09</v>
      </c>
      <c r="M39" s="49">
        <f>VLOOKUP($A39,'Data shares'!$C:$FB,62)</f>
        <v>96200</v>
      </c>
      <c r="N39" s="49">
        <f>VLOOKUP($A39,'Data shares'!$C:$FB,63)</f>
        <v>92950</v>
      </c>
      <c r="O39" s="140">
        <f>VLOOKUP($A39,'Data shares'!$C:$FB,65)*100</f>
        <v>3.5000000000000004</v>
      </c>
    </row>
    <row r="40" spans="1:15" x14ac:dyDescent="0.25">
      <c r="A40" s="101" t="str">
        <f>'Data shares'!C35</f>
        <v>BOSCHLTD</v>
      </c>
      <c r="B40" s="50">
        <f>VLOOKUP($A40,'Data shares'!$C:$FB,7)</f>
        <v>38800</v>
      </c>
      <c r="C40" s="50">
        <f>VLOOKUP($A40,'Data shares'!$C:$FB,10)*100</f>
        <v>0.44</v>
      </c>
      <c r="D40" s="49">
        <f>VLOOKUP($A40,'Data shares'!$C:$FB,66)</f>
        <v>140925</v>
      </c>
      <c r="E40" s="49">
        <f>VLOOKUP($A40,'Data shares'!$C:$FB,67)</f>
        <v>132075</v>
      </c>
      <c r="F40" s="50">
        <f>VLOOKUP($A40,'Data shares'!$C:$FB,69)*100</f>
        <v>6.7</v>
      </c>
      <c r="G40" s="49">
        <f>VLOOKUP($A40,'Data shares'!$C:$FB,42)</f>
        <v>27975</v>
      </c>
      <c r="H40" s="49">
        <f>VLOOKUP($A40,'Data shares'!$C:$FB,43)</f>
        <v>27075</v>
      </c>
      <c r="I40" s="50">
        <f>VLOOKUP($A40,'Data shares'!$C:$FB,45)*100</f>
        <v>3.32</v>
      </c>
      <c r="J40" s="49">
        <f>VLOOKUP($A40,'Data shares'!$C:$FB,58)</f>
        <v>88575</v>
      </c>
      <c r="K40" s="49">
        <f>VLOOKUP($A40,'Data shares'!$C:$FB,59)</f>
        <v>79900</v>
      </c>
      <c r="L40" s="50">
        <f>VLOOKUP($A40,'Data shares'!$C:$FB,61)*100</f>
        <v>10.86</v>
      </c>
      <c r="M40" s="49">
        <f>VLOOKUP($A40,'Data shares'!$C:$FB,62)</f>
        <v>24375</v>
      </c>
      <c r="N40" s="49">
        <f>VLOOKUP($A40,'Data shares'!$C:$FB,63)</f>
        <v>25100</v>
      </c>
      <c r="O40" s="140">
        <f>VLOOKUP($A40,'Data shares'!$C:$FB,65)*100</f>
        <v>-2.8899999999999997</v>
      </c>
    </row>
    <row r="41" spans="1:15" x14ac:dyDescent="0.25">
      <c r="A41" s="101" t="str">
        <f>'Data shares'!C36</f>
        <v>BPCL</v>
      </c>
      <c r="B41" s="50">
        <f>VLOOKUP($A41,'Data shares'!$C:$FB,7)</f>
        <v>343.6</v>
      </c>
      <c r="C41" s="50">
        <f>VLOOKUP($A41,'Data shares'!$C:$FB,10)*100</f>
        <v>0.6</v>
      </c>
      <c r="D41" s="49">
        <f>VLOOKUP($A41,'Data shares'!$C:$FB,66)</f>
        <v>67250725</v>
      </c>
      <c r="E41" s="49">
        <f>VLOOKUP($A41,'Data shares'!$C:$FB,67)</f>
        <v>34931825</v>
      </c>
      <c r="F41" s="50">
        <f>VLOOKUP($A41,'Data shares'!$C:$FB,69)*100</f>
        <v>92.52</v>
      </c>
      <c r="G41" s="49">
        <f>VLOOKUP($A41,'Data shares'!$C:$FB,42)</f>
        <v>9037600</v>
      </c>
      <c r="H41" s="49">
        <f>VLOOKUP($A41,'Data shares'!$C:$FB,43)</f>
        <v>6227175</v>
      </c>
      <c r="I41" s="50">
        <f>VLOOKUP($A41,'Data shares'!$C:$FB,45)*100</f>
        <v>45.129999999999995</v>
      </c>
      <c r="J41" s="49">
        <f>VLOOKUP($A41,'Data shares'!$C:$FB,58)</f>
        <v>33928525</v>
      </c>
      <c r="K41" s="49">
        <f>VLOOKUP($A41,'Data shares'!$C:$FB,59)</f>
        <v>19568300</v>
      </c>
      <c r="L41" s="50">
        <f>VLOOKUP($A41,'Data shares'!$C:$FB,61)*100</f>
        <v>73.39</v>
      </c>
      <c r="M41" s="49">
        <f>VLOOKUP($A41,'Data shares'!$C:$FB,62)</f>
        <v>24284600</v>
      </c>
      <c r="N41" s="49">
        <f>VLOOKUP($A41,'Data shares'!$C:$FB,63)</f>
        <v>9136350</v>
      </c>
      <c r="O41" s="140">
        <f>VLOOKUP($A41,'Data shares'!$C:$FB,65)*100</f>
        <v>165.79999999999998</v>
      </c>
    </row>
    <row r="42" spans="1:15" x14ac:dyDescent="0.25">
      <c r="A42" s="101" t="str">
        <f>'Data shares'!C37</f>
        <v>BRITANNIA</v>
      </c>
      <c r="B42" s="50">
        <f>VLOOKUP($A42,'Data shares'!$C:$FB,7)</f>
        <v>6011</v>
      </c>
      <c r="C42" s="50">
        <f>VLOOKUP($A42,'Data shares'!$C:$FB,10)*100</f>
        <v>0.31</v>
      </c>
      <c r="D42" s="49">
        <f>VLOOKUP($A42,'Data shares'!$C:$FB,66)</f>
        <v>1227250</v>
      </c>
      <c r="E42" s="49">
        <f>VLOOKUP($A42,'Data shares'!$C:$FB,67)</f>
        <v>1040625</v>
      </c>
      <c r="F42" s="50">
        <f>VLOOKUP($A42,'Data shares'!$C:$FB,69)*100</f>
        <v>17.93</v>
      </c>
      <c r="G42" s="49">
        <f>VLOOKUP($A42,'Data shares'!$C:$FB,42)</f>
        <v>217875</v>
      </c>
      <c r="H42" s="49">
        <f>VLOOKUP($A42,'Data shares'!$C:$FB,43)</f>
        <v>201375</v>
      </c>
      <c r="I42" s="50">
        <f>VLOOKUP($A42,'Data shares'!$C:$FB,45)*100</f>
        <v>8.19</v>
      </c>
      <c r="J42" s="49">
        <f>VLOOKUP($A42,'Data shares'!$C:$FB,58)</f>
        <v>777125</v>
      </c>
      <c r="K42" s="49">
        <f>VLOOKUP($A42,'Data shares'!$C:$FB,59)</f>
        <v>676125</v>
      </c>
      <c r="L42" s="50">
        <f>VLOOKUP($A42,'Data shares'!$C:$FB,61)*100</f>
        <v>14.940000000000001</v>
      </c>
      <c r="M42" s="49">
        <f>VLOOKUP($A42,'Data shares'!$C:$FB,62)</f>
        <v>232250</v>
      </c>
      <c r="N42" s="49">
        <f>VLOOKUP($A42,'Data shares'!$C:$FB,63)</f>
        <v>163125</v>
      </c>
      <c r="O42" s="140">
        <f>VLOOKUP($A42,'Data shares'!$C:$FB,65)*100</f>
        <v>42.38</v>
      </c>
    </row>
    <row r="43" spans="1:15" x14ac:dyDescent="0.25">
      <c r="A43" s="101" t="str">
        <f>'Data shares'!C38</f>
        <v>BSE</v>
      </c>
      <c r="B43" s="50">
        <f>VLOOKUP($A43,'Data shares'!$C:$FB,7)</f>
        <v>2217.9</v>
      </c>
      <c r="C43" s="50">
        <f>VLOOKUP($A43,'Data shares'!$C:$FB,10)*100</f>
        <v>5.9499999999999993</v>
      </c>
      <c r="D43" s="49">
        <f>VLOOKUP($A43,'Data shares'!$C:$FB,66)</f>
        <v>63988875</v>
      </c>
      <c r="E43" s="49">
        <f>VLOOKUP($A43,'Data shares'!$C:$FB,67)</f>
        <v>17036625</v>
      </c>
      <c r="F43" s="50">
        <f>VLOOKUP($A43,'Data shares'!$C:$FB,69)*100</f>
        <v>275.59999999999997</v>
      </c>
      <c r="G43" s="49">
        <f>VLOOKUP($A43,'Data shares'!$C:$FB,42)</f>
        <v>7778250</v>
      </c>
      <c r="H43" s="49">
        <f>VLOOKUP($A43,'Data shares'!$C:$FB,43)</f>
        <v>2494875</v>
      </c>
      <c r="I43" s="50">
        <f>VLOOKUP($A43,'Data shares'!$C:$FB,45)*100</f>
        <v>211.77</v>
      </c>
      <c r="J43" s="49">
        <f>VLOOKUP($A43,'Data shares'!$C:$FB,58)</f>
        <v>37932000</v>
      </c>
      <c r="K43" s="49">
        <f>VLOOKUP($A43,'Data shares'!$C:$FB,59)</f>
        <v>9054750</v>
      </c>
      <c r="L43" s="50">
        <f>VLOOKUP($A43,'Data shares'!$C:$FB,61)*100</f>
        <v>318.92</v>
      </c>
      <c r="M43" s="49">
        <f>VLOOKUP($A43,'Data shares'!$C:$FB,62)</f>
        <v>18278625</v>
      </c>
      <c r="N43" s="49">
        <f>VLOOKUP($A43,'Data shares'!$C:$FB,63)</f>
        <v>5487000</v>
      </c>
      <c r="O43" s="140">
        <f>VLOOKUP($A43,'Data shares'!$C:$FB,65)*100</f>
        <v>233.13000000000002</v>
      </c>
    </row>
    <row r="44" spans="1:15" x14ac:dyDescent="0.25">
      <c r="A44" s="101" t="str">
        <f>'Data shares'!C39</f>
        <v>CAMS</v>
      </c>
      <c r="B44" s="50">
        <f>VLOOKUP($A44,'Data shares'!$C:$FB,7)</f>
        <v>3825.5</v>
      </c>
      <c r="C44" s="50">
        <f>VLOOKUP($A44,'Data shares'!$C:$FB,10)*100</f>
        <v>0.37</v>
      </c>
      <c r="D44" s="49">
        <f>VLOOKUP($A44,'Data shares'!$C:$FB,66)</f>
        <v>1444050</v>
      </c>
      <c r="E44" s="49">
        <f>VLOOKUP($A44,'Data shares'!$C:$FB,67)</f>
        <v>1255050</v>
      </c>
      <c r="F44" s="50">
        <f>VLOOKUP($A44,'Data shares'!$C:$FB,69)*100</f>
        <v>15.06</v>
      </c>
      <c r="G44" s="49">
        <f>VLOOKUP($A44,'Data shares'!$C:$FB,42)</f>
        <v>327300</v>
      </c>
      <c r="H44" s="49">
        <f>VLOOKUP($A44,'Data shares'!$C:$FB,43)</f>
        <v>250200</v>
      </c>
      <c r="I44" s="50">
        <f>VLOOKUP($A44,'Data shares'!$C:$FB,45)*100</f>
        <v>30.819999999999997</v>
      </c>
      <c r="J44" s="49">
        <f>VLOOKUP($A44,'Data shares'!$C:$FB,58)</f>
        <v>805950</v>
      </c>
      <c r="K44" s="49">
        <f>VLOOKUP($A44,'Data shares'!$C:$FB,59)</f>
        <v>744450</v>
      </c>
      <c r="L44" s="50">
        <f>VLOOKUP($A44,'Data shares'!$C:$FB,61)*100</f>
        <v>8.2600000000000016</v>
      </c>
      <c r="M44" s="49">
        <f>VLOOKUP($A44,'Data shares'!$C:$FB,62)</f>
        <v>310800</v>
      </c>
      <c r="N44" s="49">
        <f>VLOOKUP($A44,'Data shares'!$C:$FB,63)</f>
        <v>260400</v>
      </c>
      <c r="O44" s="140">
        <f>VLOOKUP($A44,'Data shares'!$C:$FB,65)*100</f>
        <v>19.350000000000001</v>
      </c>
    </row>
    <row r="45" spans="1:15" x14ac:dyDescent="0.25">
      <c r="A45" s="101" t="str">
        <f>'Data shares'!C40</f>
        <v>CANBK</v>
      </c>
      <c r="B45" s="50">
        <f>VLOOKUP($A45,'Data shares'!$C:$FB,7)</f>
        <v>126.76</v>
      </c>
      <c r="C45" s="50">
        <f>VLOOKUP($A45,'Data shares'!$C:$FB,10)*100</f>
        <v>0.67999999999999994</v>
      </c>
      <c r="D45" s="49">
        <f>VLOOKUP($A45,'Data shares'!$C:$FB,66)</f>
        <v>279105750</v>
      </c>
      <c r="E45" s="49">
        <f>VLOOKUP($A45,'Data shares'!$C:$FB,67)</f>
        <v>357338250</v>
      </c>
      <c r="F45" s="50">
        <f>VLOOKUP($A45,'Data shares'!$C:$FB,69)*100</f>
        <v>-21.89</v>
      </c>
      <c r="G45" s="49">
        <f>VLOOKUP($A45,'Data shares'!$C:$FB,42)</f>
        <v>51813000</v>
      </c>
      <c r="H45" s="49">
        <f>VLOOKUP($A45,'Data shares'!$C:$FB,43)</f>
        <v>62397000</v>
      </c>
      <c r="I45" s="50">
        <f>VLOOKUP($A45,'Data shares'!$C:$FB,45)*100</f>
        <v>-16.96</v>
      </c>
      <c r="J45" s="49">
        <f>VLOOKUP($A45,'Data shares'!$C:$FB,58)</f>
        <v>150518250</v>
      </c>
      <c r="K45" s="49">
        <f>VLOOKUP($A45,'Data shares'!$C:$FB,59)</f>
        <v>192834000</v>
      </c>
      <c r="L45" s="50">
        <f>VLOOKUP($A45,'Data shares'!$C:$FB,61)*100</f>
        <v>-21.94</v>
      </c>
      <c r="M45" s="49">
        <f>VLOOKUP($A45,'Data shares'!$C:$FB,62)</f>
        <v>76774500</v>
      </c>
      <c r="N45" s="49">
        <f>VLOOKUP($A45,'Data shares'!$C:$FB,63)</f>
        <v>102107250</v>
      </c>
      <c r="O45" s="140">
        <f>VLOOKUP($A45,'Data shares'!$C:$FB,65)*100</f>
        <v>-24.81</v>
      </c>
    </row>
    <row r="46" spans="1:15" x14ac:dyDescent="0.25">
      <c r="A46" s="101" t="str">
        <f>'Data shares'!C41</f>
        <v>CDSL</v>
      </c>
      <c r="B46" s="50">
        <f>VLOOKUP($A46,'Data shares'!$C:$FB,7)</f>
        <v>1524.9</v>
      </c>
      <c r="C46" s="50">
        <f>VLOOKUP($A46,'Data shares'!$C:$FB,10)*100</f>
        <v>2.34</v>
      </c>
      <c r="D46" s="49">
        <f>VLOOKUP($A46,'Data shares'!$C:$FB,66)</f>
        <v>18374425</v>
      </c>
      <c r="E46" s="49">
        <f>VLOOKUP($A46,'Data shares'!$C:$FB,67)</f>
        <v>7883100</v>
      </c>
      <c r="F46" s="50">
        <f>VLOOKUP($A46,'Data shares'!$C:$FB,69)*100</f>
        <v>133.09</v>
      </c>
      <c r="G46" s="49">
        <f>VLOOKUP($A46,'Data shares'!$C:$FB,42)</f>
        <v>2732675</v>
      </c>
      <c r="H46" s="49">
        <f>VLOOKUP($A46,'Data shares'!$C:$FB,43)</f>
        <v>1161375</v>
      </c>
      <c r="I46" s="50">
        <f>VLOOKUP($A46,'Data shares'!$C:$FB,45)*100</f>
        <v>135.30000000000001</v>
      </c>
      <c r="J46" s="49">
        <f>VLOOKUP($A46,'Data shares'!$C:$FB,58)</f>
        <v>11704475</v>
      </c>
      <c r="K46" s="49">
        <f>VLOOKUP($A46,'Data shares'!$C:$FB,59)</f>
        <v>4757125</v>
      </c>
      <c r="L46" s="50">
        <f>VLOOKUP($A46,'Data shares'!$C:$FB,61)*100</f>
        <v>146.04</v>
      </c>
      <c r="M46" s="49">
        <f>VLOOKUP($A46,'Data shares'!$C:$FB,62)</f>
        <v>3937275</v>
      </c>
      <c r="N46" s="49">
        <f>VLOOKUP($A46,'Data shares'!$C:$FB,63)</f>
        <v>1964600</v>
      </c>
      <c r="O46" s="140">
        <f>VLOOKUP($A46,'Data shares'!$C:$FB,65)*100</f>
        <v>100.41</v>
      </c>
    </row>
    <row r="47" spans="1:15" x14ac:dyDescent="0.25">
      <c r="A47" s="101" t="str">
        <f>'Data shares'!C42</f>
        <v>CGPOWER</v>
      </c>
      <c r="B47" s="50">
        <f>VLOOKUP($A47,'Data shares'!$C:$FB,7)</f>
        <v>745.4</v>
      </c>
      <c r="C47" s="50">
        <f>VLOOKUP($A47,'Data shares'!$C:$FB,10)*100</f>
        <v>-0.27999999999999997</v>
      </c>
      <c r="D47" s="49">
        <f>VLOOKUP($A47,'Data shares'!$C:$FB,66)</f>
        <v>5378800</v>
      </c>
      <c r="E47" s="49">
        <f>VLOOKUP($A47,'Data shares'!$C:$FB,67)</f>
        <v>6229650</v>
      </c>
      <c r="F47" s="50">
        <f>VLOOKUP($A47,'Data shares'!$C:$FB,69)*100</f>
        <v>-13.66</v>
      </c>
      <c r="G47" s="49">
        <f>VLOOKUP($A47,'Data shares'!$C:$FB,42)</f>
        <v>1620950</v>
      </c>
      <c r="H47" s="49">
        <f>VLOOKUP($A47,'Data shares'!$C:$FB,43)</f>
        <v>1650700</v>
      </c>
      <c r="I47" s="50">
        <f>VLOOKUP($A47,'Data shares'!$C:$FB,45)*100</f>
        <v>-1.7999999999999998</v>
      </c>
      <c r="J47" s="49">
        <f>VLOOKUP($A47,'Data shares'!$C:$FB,58)</f>
        <v>3122050</v>
      </c>
      <c r="K47" s="49">
        <f>VLOOKUP($A47,'Data shares'!$C:$FB,59)</f>
        <v>3721300</v>
      </c>
      <c r="L47" s="50">
        <f>VLOOKUP($A47,'Data shares'!$C:$FB,61)*100</f>
        <v>-16.100000000000001</v>
      </c>
      <c r="M47" s="49">
        <f>VLOOKUP($A47,'Data shares'!$C:$FB,62)</f>
        <v>635800</v>
      </c>
      <c r="N47" s="49">
        <f>VLOOKUP($A47,'Data shares'!$C:$FB,63)</f>
        <v>857650</v>
      </c>
      <c r="O47" s="140">
        <f>VLOOKUP($A47,'Data shares'!$C:$FB,65)*100</f>
        <v>-25.869999999999997</v>
      </c>
    </row>
    <row r="48" spans="1:15" x14ac:dyDescent="0.25">
      <c r="A48" s="101" t="str">
        <f>'Data shares'!C43</f>
        <v>CHOLAFIN</v>
      </c>
      <c r="B48" s="50">
        <f>VLOOKUP($A48,'Data shares'!$C:$FB,7)</f>
        <v>1634.1</v>
      </c>
      <c r="C48" s="50">
        <f>VLOOKUP($A48,'Data shares'!$C:$FB,10)*100</f>
        <v>4.0199999999999996</v>
      </c>
      <c r="D48" s="49">
        <f>VLOOKUP($A48,'Data shares'!$C:$FB,66)</f>
        <v>14715625</v>
      </c>
      <c r="E48" s="49">
        <f>VLOOKUP($A48,'Data shares'!$C:$FB,67)</f>
        <v>9516250</v>
      </c>
      <c r="F48" s="50">
        <f>VLOOKUP($A48,'Data shares'!$C:$FB,69)*100</f>
        <v>54.64</v>
      </c>
      <c r="G48" s="49">
        <f>VLOOKUP($A48,'Data shares'!$C:$FB,42)</f>
        <v>3398125</v>
      </c>
      <c r="H48" s="49">
        <f>VLOOKUP($A48,'Data shares'!$C:$FB,43)</f>
        <v>2506250</v>
      </c>
      <c r="I48" s="50">
        <f>VLOOKUP($A48,'Data shares'!$C:$FB,45)*100</f>
        <v>35.589999999999996</v>
      </c>
      <c r="J48" s="49">
        <f>VLOOKUP($A48,'Data shares'!$C:$FB,58)</f>
        <v>7953125</v>
      </c>
      <c r="K48" s="49">
        <f>VLOOKUP($A48,'Data shares'!$C:$FB,59)</f>
        <v>4408750</v>
      </c>
      <c r="L48" s="50">
        <f>VLOOKUP($A48,'Data shares'!$C:$FB,61)*100</f>
        <v>80.39</v>
      </c>
      <c r="M48" s="49">
        <f>VLOOKUP($A48,'Data shares'!$C:$FB,62)</f>
        <v>3364375</v>
      </c>
      <c r="N48" s="49">
        <f>VLOOKUP($A48,'Data shares'!$C:$FB,63)</f>
        <v>2601250</v>
      </c>
      <c r="O48" s="140">
        <f>VLOOKUP($A48,'Data shares'!$C:$FB,65)*100</f>
        <v>29.34</v>
      </c>
    </row>
    <row r="49" spans="1:15" x14ac:dyDescent="0.25">
      <c r="A49" s="101" t="str">
        <f>'Data shares'!C44</f>
        <v>CIPLA</v>
      </c>
      <c r="B49" s="50">
        <f>VLOOKUP($A49,'Data shares'!$C:$FB,7)</f>
        <v>1513.1</v>
      </c>
      <c r="C49" s="50">
        <f>VLOOKUP($A49,'Data shares'!$C:$FB,10)*100</f>
        <v>-0.3</v>
      </c>
      <c r="D49" s="49">
        <f>VLOOKUP($A49,'Data shares'!$C:$FB,66)</f>
        <v>4946250</v>
      </c>
      <c r="E49" s="49">
        <f>VLOOKUP($A49,'Data shares'!$C:$FB,67)</f>
        <v>4588875</v>
      </c>
      <c r="F49" s="50">
        <f>VLOOKUP($A49,'Data shares'!$C:$FB,69)*100</f>
        <v>7.79</v>
      </c>
      <c r="G49" s="49">
        <f>VLOOKUP($A49,'Data shares'!$C:$FB,42)</f>
        <v>843000</v>
      </c>
      <c r="H49" s="49">
        <f>VLOOKUP($A49,'Data shares'!$C:$FB,43)</f>
        <v>834750</v>
      </c>
      <c r="I49" s="50">
        <f>VLOOKUP($A49,'Data shares'!$C:$FB,45)*100</f>
        <v>0.9900000000000001</v>
      </c>
      <c r="J49" s="49">
        <f>VLOOKUP($A49,'Data shares'!$C:$FB,58)</f>
        <v>2543625</v>
      </c>
      <c r="K49" s="49">
        <f>VLOOKUP($A49,'Data shares'!$C:$FB,59)</f>
        <v>2340375</v>
      </c>
      <c r="L49" s="50">
        <f>VLOOKUP($A49,'Data shares'!$C:$FB,61)*100</f>
        <v>8.68</v>
      </c>
      <c r="M49" s="49">
        <f>VLOOKUP($A49,'Data shares'!$C:$FB,62)</f>
        <v>1559625</v>
      </c>
      <c r="N49" s="49">
        <f>VLOOKUP($A49,'Data shares'!$C:$FB,63)</f>
        <v>1413750</v>
      </c>
      <c r="O49" s="140">
        <f>VLOOKUP($A49,'Data shares'!$C:$FB,65)*100</f>
        <v>10.32</v>
      </c>
    </row>
    <row r="50" spans="1:15" x14ac:dyDescent="0.25">
      <c r="A50" s="101" t="str">
        <f>'Data shares'!C45</f>
        <v>COALINDIA</v>
      </c>
      <c r="B50" s="50">
        <f>VLOOKUP($A50,'Data shares'!$C:$FB,7)</f>
        <v>381.9</v>
      </c>
      <c r="C50" s="50">
        <f>VLOOKUP($A50,'Data shares'!$C:$FB,10)*100</f>
        <v>-0.38</v>
      </c>
      <c r="D50" s="49">
        <f>VLOOKUP($A50,'Data shares'!$C:$FB,66)</f>
        <v>34678800</v>
      </c>
      <c r="E50" s="49">
        <f>VLOOKUP($A50,'Data shares'!$C:$FB,67)</f>
        <v>60710850</v>
      </c>
      <c r="F50" s="50">
        <f>VLOOKUP($A50,'Data shares'!$C:$FB,69)*100</f>
        <v>-42.88</v>
      </c>
      <c r="G50" s="49">
        <f>VLOOKUP($A50,'Data shares'!$C:$FB,42)</f>
        <v>7561350</v>
      </c>
      <c r="H50" s="49">
        <f>VLOOKUP($A50,'Data shares'!$C:$FB,43)</f>
        <v>9825300</v>
      </c>
      <c r="I50" s="50">
        <f>VLOOKUP($A50,'Data shares'!$C:$FB,45)*100</f>
        <v>-23.04</v>
      </c>
      <c r="J50" s="49">
        <f>VLOOKUP($A50,'Data shares'!$C:$FB,58)</f>
        <v>19585800</v>
      </c>
      <c r="K50" s="49">
        <f>VLOOKUP($A50,'Data shares'!$C:$FB,59)</f>
        <v>34284600</v>
      </c>
      <c r="L50" s="50">
        <f>VLOOKUP($A50,'Data shares'!$C:$FB,61)*100</f>
        <v>-42.870000000000005</v>
      </c>
      <c r="M50" s="49">
        <f>VLOOKUP($A50,'Data shares'!$C:$FB,62)</f>
        <v>7531650</v>
      </c>
      <c r="N50" s="49">
        <f>VLOOKUP($A50,'Data shares'!$C:$FB,63)</f>
        <v>16600950</v>
      </c>
      <c r="O50" s="140">
        <f>VLOOKUP($A50,'Data shares'!$C:$FB,65)*100</f>
        <v>-54.63</v>
      </c>
    </row>
    <row r="51" spans="1:15" x14ac:dyDescent="0.25">
      <c r="A51" s="101" t="str">
        <f>'Data shares'!C46</f>
        <v>COFORGE</v>
      </c>
      <c r="B51" s="50">
        <f>VLOOKUP($A51,'Data shares'!$C:$FB,7)</f>
        <v>1662.4</v>
      </c>
      <c r="C51" s="50">
        <f>VLOOKUP($A51,'Data shares'!$C:$FB,10)*100</f>
        <v>3.06</v>
      </c>
      <c r="D51" s="49">
        <f>VLOOKUP($A51,'Data shares'!$C:$FB,66)</f>
        <v>15207375</v>
      </c>
      <c r="E51" s="49">
        <f>VLOOKUP($A51,'Data shares'!$C:$FB,67)</f>
        <v>7171875</v>
      </c>
      <c r="F51" s="50">
        <f>VLOOKUP($A51,'Data shares'!$C:$FB,69)*100</f>
        <v>112.04</v>
      </c>
      <c r="G51" s="49">
        <f>VLOOKUP($A51,'Data shares'!$C:$FB,42)</f>
        <v>2940000</v>
      </c>
      <c r="H51" s="49">
        <f>VLOOKUP($A51,'Data shares'!$C:$FB,43)</f>
        <v>1788750</v>
      </c>
      <c r="I51" s="50">
        <f>VLOOKUP($A51,'Data shares'!$C:$FB,45)*100</f>
        <v>64.36</v>
      </c>
      <c r="J51" s="49">
        <f>VLOOKUP($A51,'Data shares'!$C:$FB,58)</f>
        <v>8731875</v>
      </c>
      <c r="K51" s="49">
        <f>VLOOKUP($A51,'Data shares'!$C:$FB,59)</f>
        <v>3723000</v>
      </c>
      <c r="L51" s="50">
        <f>VLOOKUP($A51,'Data shares'!$C:$FB,61)*100</f>
        <v>134.54</v>
      </c>
      <c r="M51" s="49">
        <f>VLOOKUP($A51,'Data shares'!$C:$FB,62)</f>
        <v>3535500</v>
      </c>
      <c r="N51" s="49">
        <f>VLOOKUP($A51,'Data shares'!$C:$FB,63)</f>
        <v>1660125</v>
      </c>
      <c r="O51" s="140">
        <f>VLOOKUP($A51,'Data shares'!$C:$FB,65)*100</f>
        <v>112.97</v>
      </c>
    </row>
    <row r="52" spans="1:15" x14ac:dyDescent="0.25">
      <c r="A52" s="101" t="str">
        <f>'Data shares'!C47</f>
        <v>COLPAL</v>
      </c>
      <c r="B52" s="50">
        <f>VLOOKUP($A52,'Data shares'!$C:$FB,7)</f>
        <v>2228.8000000000002</v>
      </c>
      <c r="C52" s="50">
        <f>VLOOKUP($A52,'Data shares'!$C:$FB,10)*100</f>
        <v>0.67</v>
      </c>
      <c r="D52" s="49">
        <f>VLOOKUP($A52,'Data shares'!$C:$FB,66)</f>
        <v>2433375</v>
      </c>
      <c r="E52" s="49">
        <f>VLOOKUP($A52,'Data shares'!$C:$FB,67)</f>
        <v>2793375</v>
      </c>
      <c r="F52" s="50">
        <f>VLOOKUP($A52,'Data shares'!$C:$FB,69)*100</f>
        <v>-12.889999999999999</v>
      </c>
      <c r="G52" s="49">
        <f>VLOOKUP($A52,'Data shares'!$C:$FB,42)</f>
        <v>721575</v>
      </c>
      <c r="H52" s="49">
        <f>VLOOKUP($A52,'Data shares'!$C:$FB,43)</f>
        <v>903375</v>
      </c>
      <c r="I52" s="50">
        <f>VLOOKUP($A52,'Data shares'!$C:$FB,45)*100</f>
        <v>-20.119999999999997</v>
      </c>
      <c r="J52" s="49">
        <f>VLOOKUP($A52,'Data shares'!$C:$FB,58)</f>
        <v>1426050</v>
      </c>
      <c r="K52" s="49">
        <f>VLOOKUP($A52,'Data shares'!$C:$FB,59)</f>
        <v>1393875</v>
      </c>
      <c r="L52" s="50">
        <f>VLOOKUP($A52,'Data shares'!$C:$FB,61)*100</f>
        <v>2.31</v>
      </c>
      <c r="M52" s="49">
        <f>VLOOKUP($A52,'Data shares'!$C:$FB,62)</f>
        <v>285750</v>
      </c>
      <c r="N52" s="49">
        <f>VLOOKUP($A52,'Data shares'!$C:$FB,63)</f>
        <v>496125</v>
      </c>
      <c r="O52" s="140">
        <f>VLOOKUP($A52,'Data shares'!$C:$FB,65)*100</f>
        <v>-42.4</v>
      </c>
    </row>
    <row r="53" spans="1:15" x14ac:dyDescent="0.25">
      <c r="A53" s="101" t="str">
        <f>'Data shares'!C48</f>
        <v>CONCOR</v>
      </c>
      <c r="B53" s="50">
        <f>VLOOKUP($A53,'Data shares'!$C:$FB,7)</f>
        <v>532.15</v>
      </c>
      <c r="C53" s="50">
        <f>VLOOKUP($A53,'Data shares'!$C:$FB,10)*100</f>
        <v>-0.25</v>
      </c>
      <c r="D53" s="49">
        <f>VLOOKUP($A53,'Data shares'!$C:$FB,66)</f>
        <v>9037500</v>
      </c>
      <c r="E53" s="49">
        <f>VLOOKUP($A53,'Data shares'!$C:$FB,67)</f>
        <v>13155000</v>
      </c>
      <c r="F53" s="50">
        <f>VLOOKUP($A53,'Data shares'!$C:$FB,69)*100</f>
        <v>-31.3</v>
      </c>
      <c r="G53" s="49">
        <f>VLOOKUP($A53,'Data shares'!$C:$FB,42)</f>
        <v>2546250</v>
      </c>
      <c r="H53" s="49">
        <f>VLOOKUP($A53,'Data shares'!$C:$FB,43)</f>
        <v>3242500</v>
      </c>
      <c r="I53" s="50">
        <f>VLOOKUP($A53,'Data shares'!$C:$FB,45)*100</f>
        <v>-21.47</v>
      </c>
      <c r="J53" s="49">
        <f>VLOOKUP($A53,'Data shares'!$C:$FB,58)</f>
        <v>4747500</v>
      </c>
      <c r="K53" s="49">
        <f>VLOOKUP($A53,'Data shares'!$C:$FB,59)</f>
        <v>7290000</v>
      </c>
      <c r="L53" s="50">
        <f>VLOOKUP($A53,'Data shares'!$C:$FB,61)*100</f>
        <v>-34.880000000000003</v>
      </c>
      <c r="M53" s="49">
        <f>VLOOKUP($A53,'Data shares'!$C:$FB,62)</f>
        <v>1743750</v>
      </c>
      <c r="N53" s="49">
        <f>VLOOKUP($A53,'Data shares'!$C:$FB,63)</f>
        <v>2622500</v>
      </c>
      <c r="O53" s="140">
        <f>VLOOKUP($A53,'Data shares'!$C:$FB,65)*100</f>
        <v>-33.51</v>
      </c>
    </row>
    <row r="54" spans="1:15" x14ac:dyDescent="0.25">
      <c r="A54" s="101" t="str">
        <f>'Data shares'!C49</f>
        <v>CROMPTON</v>
      </c>
      <c r="B54" s="50">
        <f>VLOOKUP($A54,'Data shares'!$C:$FB,7)</f>
        <v>289.05</v>
      </c>
      <c r="C54" s="50">
        <f>VLOOKUP($A54,'Data shares'!$C:$FB,10)*100</f>
        <v>-2.08</v>
      </c>
      <c r="D54" s="49">
        <f>VLOOKUP($A54,'Data shares'!$C:$FB,66)</f>
        <v>21603600</v>
      </c>
      <c r="E54" s="49">
        <f>VLOOKUP($A54,'Data shares'!$C:$FB,67)</f>
        <v>9624600</v>
      </c>
      <c r="F54" s="50">
        <f>VLOOKUP($A54,'Data shares'!$C:$FB,69)*100</f>
        <v>124.46</v>
      </c>
      <c r="G54" s="49">
        <f>VLOOKUP($A54,'Data shares'!$C:$FB,42)</f>
        <v>6368400</v>
      </c>
      <c r="H54" s="49">
        <f>VLOOKUP($A54,'Data shares'!$C:$FB,43)</f>
        <v>3214800</v>
      </c>
      <c r="I54" s="50">
        <f>VLOOKUP($A54,'Data shares'!$C:$FB,45)*100</f>
        <v>98.1</v>
      </c>
      <c r="J54" s="49">
        <f>VLOOKUP($A54,'Data shares'!$C:$FB,58)</f>
        <v>11257200</v>
      </c>
      <c r="K54" s="49">
        <f>VLOOKUP($A54,'Data shares'!$C:$FB,59)</f>
        <v>4629600</v>
      </c>
      <c r="L54" s="50">
        <f>VLOOKUP($A54,'Data shares'!$C:$FB,61)*100</f>
        <v>143.16</v>
      </c>
      <c r="M54" s="49">
        <f>VLOOKUP($A54,'Data shares'!$C:$FB,62)</f>
        <v>3978000</v>
      </c>
      <c r="N54" s="49">
        <f>VLOOKUP($A54,'Data shares'!$C:$FB,63)</f>
        <v>1780200</v>
      </c>
      <c r="O54" s="140">
        <f>VLOOKUP($A54,'Data shares'!$C:$FB,65)*100</f>
        <v>123.46</v>
      </c>
    </row>
    <row r="55" spans="1:15" x14ac:dyDescent="0.25">
      <c r="A55" s="101" t="str">
        <f>'Data shares'!C50</f>
        <v>CUMMINSIND</v>
      </c>
      <c r="B55" s="50">
        <f>VLOOKUP($A55,'Data shares'!$C:$FB,7)</f>
        <v>3943</v>
      </c>
      <c r="C55" s="50">
        <f>VLOOKUP($A55,'Data shares'!$C:$FB,10)*100</f>
        <v>0.26</v>
      </c>
      <c r="D55" s="49">
        <f>VLOOKUP($A55,'Data shares'!$C:$FB,66)</f>
        <v>1508800</v>
      </c>
      <c r="E55" s="49">
        <f>VLOOKUP($A55,'Data shares'!$C:$FB,67)</f>
        <v>1943800</v>
      </c>
      <c r="F55" s="50">
        <f>VLOOKUP($A55,'Data shares'!$C:$FB,69)*100</f>
        <v>-22.38</v>
      </c>
      <c r="G55" s="49">
        <f>VLOOKUP($A55,'Data shares'!$C:$FB,42)</f>
        <v>482600</v>
      </c>
      <c r="H55" s="49">
        <f>VLOOKUP($A55,'Data shares'!$C:$FB,43)</f>
        <v>492400</v>
      </c>
      <c r="I55" s="50">
        <f>VLOOKUP($A55,'Data shares'!$C:$FB,45)*100</f>
        <v>-1.9900000000000002</v>
      </c>
      <c r="J55" s="49">
        <f>VLOOKUP($A55,'Data shares'!$C:$FB,58)</f>
        <v>768400</v>
      </c>
      <c r="K55" s="49">
        <f>VLOOKUP($A55,'Data shares'!$C:$FB,59)</f>
        <v>1090000</v>
      </c>
      <c r="L55" s="50">
        <f>VLOOKUP($A55,'Data shares'!$C:$FB,61)*100</f>
        <v>-29.5</v>
      </c>
      <c r="M55" s="49">
        <f>VLOOKUP($A55,'Data shares'!$C:$FB,62)</f>
        <v>257800</v>
      </c>
      <c r="N55" s="49">
        <f>VLOOKUP($A55,'Data shares'!$C:$FB,63)</f>
        <v>361400</v>
      </c>
      <c r="O55" s="140">
        <f>VLOOKUP($A55,'Data shares'!$C:$FB,65)*100</f>
        <v>-28.67</v>
      </c>
    </row>
    <row r="56" spans="1:15" x14ac:dyDescent="0.25">
      <c r="A56" s="101" t="str">
        <f>'Data shares'!C51</f>
        <v>CYIENT</v>
      </c>
      <c r="B56" s="50">
        <f>VLOOKUP($A56,'Data shares'!$C:$FB,7)</f>
        <v>1180.5999999999999</v>
      </c>
      <c r="C56" s="50">
        <f>VLOOKUP($A56,'Data shares'!$C:$FB,10)*100</f>
        <v>0.88</v>
      </c>
      <c r="D56" s="49">
        <f>VLOOKUP($A56,'Data shares'!$C:$FB,66)</f>
        <v>3958450</v>
      </c>
      <c r="E56" s="49">
        <f>VLOOKUP($A56,'Data shares'!$C:$FB,67)</f>
        <v>2015775</v>
      </c>
      <c r="F56" s="50">
        <f>VLOOKUP($A56,'Data shares'!$C:$FB,69)*100</f>
        <v>96.37</v>
      </c>
      <c r="G56" s="49">
        <f>VLOOKUP($A56,'Data shares'!$C:$FB,42)</f>
        <v>1173850</v>
      </c>
      <c r="H56" s="49">
        <f>VLOOKUP($A56,'Data shares'!$C:$FB,43)</f>
        <v>507025</v>
      </c>
      <c r="I56" s="50">
        <f>VLOOKUP($A56,'Data shares'!$C:$FB,45)*100</f>
        <v>131.51999999999998</v>
      </c>
      <c r="J56" s="49">
        <f>VLOOKUP($A56,'Data shares'!$C:$FB,58)</f>
        <v>2297550</v>
      </c>
      <c r="K56" s="49">
        <f>VLOOKUP($A56,'Data shares'!$C:$FB,59)</f>
        <v>1227825</v>
      </c>
      <c r="L56" s="50">
        <f>VLOOKUP($A56,'Data shares'!$C:$FB,61)*100</f>
        <v>87.12</v>
      </c>
      <c r="M56" s="49">
        <f>VLOOKUP($A56,'Data shares'!$C:$FB,62)</f>
        <v>487050</v>
      </c>
      <c r="N56" s="49">
        <f>VLOOKUP($A56,'Data shares'!$C:$FB,63)</f>
        <v>280925</v>
      </c>
      <c r="O56" s="140">
        <f>VLOOKUP($A56,'Data shares'!$C:$FB,65)*100</f>
        <v>73.37</v>
      </c>
    </row>
    <row r="57" spans="1:15" x14ac:dyDescent="0.25">
      <c r="A57" s="101" t="str">
        <f>'Data shares'!C52</f>
        <v>DABUR</v>
      </c>
      <c r="B57" s="50">
        <f>VLOOKUP($A57,'Data shares'!$C:$FB,7)</f>
        <v>493.35</v>
      </c>
      <c r="C57" s="50">
        <f>VLOOKUP($A57,'Data shares'!$C:$FB,10)*100</f>
        <v>-0.55999999999999994</v>
      </c>
      <c r="D57" s="49">
        <f>VLOOKUP($A57,'Data shares'!$C:$FB,66)</f>
        <v>13187500</v>
      </c>
      <c r="E57" s="49">
        <f>VLOOKUP($A57,'Data shares'!$C:$FB,67)</f>
        <v>15616250</v>
      </c>
      <c r="F57" s="50">
        <f>VLOOKUP($A57,'Data shares'!$C:$FB,69)*100</f>
        <v>-15.55</v>
      </c>
      <c r="G57" s="49">
        <f>VLOOKUP($A57,'Data shares'!$C:$FB,42)</f>
        <v>3708750</v>
      </c>
      <c r="H57" s="49">
        <f>VLOOKUP($A57,'Data shares'!$C:$FB,43)</f>
        <v>3346250</v>
      </c>
      <c r="I57" s="50">
        <f>VLOOKUP($A57,'Data shares'!$C:$FB,45)*100</f>
        <v>10.83</v>
      </c>
      <c r="J57" s="49">
        <f>VLOOKUP($A57,'Data shares'!$C:$FB,58)</f>
        <v>6811250</v>
      </c>
      <c r="K57" s="49">
        <f>VLOOKUP($A57,'Data shares'!$C:$FB,59)</f>
        <v>9293750</v>
      </c>
      <c r="L57" s="50">
        <f>VLOOKUP($A57,'Data shares'!$C:$FB,61)*100</f>
        <v>-26.71</v>
      </c>
      <c r="M57" s="49">
        <f>VLOOKUP($A57,'Data shares'!$C:$FB,62)</f>
        <v>2667500</v>
      </c>
      <c r="N57" s="49">
        <f>VLOOKUP($A57,'Data shares'!$C:$FB,63)</f>
        <v>2976250</v>
      </c>
      <c r="O57" s="140">
        <f>VLOOKUP($A57,'Data shares'!$C:$FB,65)*100</f>
        <v>-10.37</v>
      </c>
    </row>
    <row r="58" spans="1:15" x14ac:dyDescent="0.25">
      <c r="A58" s="101" t="str">
        <f>'Data shares'!C53</f>
        <v>DALBHARAT</v>
      </c>
      <c r="B58" s="50">
        <f>VLOOKUP($A58,'Data shares'!$C:$FB,7)</f>
        <v>2251.1999999999998</v>
      </c>
      <c r="C58" s="50">
        <f>VLOOKUP($A58,'Data shares'!$C:$FB,10)*100</f>
        <v>-0.11</v>
      </c>
      <c r="D58" s="49">
        <f>VLOOKUP($A58,'Data shares'!$C:$FB,66)</f>
        <v>665275</v>
      </c>
      <c r="E58" s="49">
        <f>VLOOKUP($A58,'Data shares'!$C:$FB,67)</f>
        <v>1411475</v>
      </c>
      <c r="F58" s="50">
        <f>VLOOKUP($A58,'Data shares'!$C:$FB,69)*100</f>
        <v>-52.87</v>
      </c>
      <c r="G58" s="49">
        <f>VLOOKUP($A58,'Data shares'!$C:$FB,42)</f>
        <v>333450</v>
      </c>
      <c r="H58" s="49">
        <f>VLOOKUP($A58,'Data shares'!$C:$FB,43)</f>
        <v>536900</v>
      </c>
      <c r="I58" s="50">
        <f>VLOOKUP($A58,'Data shares'!$C:$FB,45)*100</f>
        <v>-37.89</v>
      </c>
      <c r="J58" s="49">
        <f>VLOOKUP($A58,'Data shares'!$C:$FB,58)</f>
        <v>255450</v>
      </c>
      <c r="K58" s="49">
        <f>VLOOKUP($A58,'Data shares'!$C:$FB,59)</f>
        <v>394225</v>
      </c>
      <c r="L58" s="50">
        <f>VLOOKUP($A58,'Data shares'!$C:$FB,61)*100</f>
        <v>-35.199999999999996</v>
      </c>
      <c r="M58" s="49">
        <f>VLOOKUP($A58,'Data shares'!$C:$FB,62)</f>
        <v>76375</v>
      </c>
      <c r="N58" s="49">
        <f>VLOOKUP($A58,'Data shares'!$C:$FB,63)</f>
        <v>480350</v>
      </c>
      <c r="O58" s="140">
        <f>VLOOKUP($A58,'Data shares'!$C:$FB,65)*100</f>
        <v>-84.1</v>
      </c>
    </row>
    <row r="59" spans="1:15" x14ac:dyDescent="0.25">
      <c r="A59" s="101" t="str">
        <f>'Data shares'!C54</f>
        <v>DELHIVERY</v>
      </c>
      <c r="B59" s="50">
        <f>VLOOKUP($A59,'Data shares'!$C:$FB,7)</f>
        <v>462.6</v>
      </c>
      <c r="C59" s="50">
        <f>VLOOKUP($A59,'Data shares'!$C:$FB,10)*100</f>
        <v>5.79</v>
      </c>
      <c r="D59" s="49">
        <f>VLOOKUP($A59,'Data shares'!$C:$FB,66)</f>
        <v>68860950</v>
      </c>
      <c r="E59" s="49">
        <f>VLOOKUP($A59,'Data shares'!$C:$FB,67)</f>
        <v>34088100</v>
      </c>
      <c r="F59" s="50">
        <f>VLOOKUP($A59,'Data shares'!$C:$FB,69)*100</f>
        <v>102.01</v>
      </c>
      <c r="G59" s="49">
        <f>VLOOKUP($A59,'Data shares'!$C:$FB,42)</f>
        <v>12327575</v>
      </c>
      <c r="H59" s="49">
        <f>VLOOKUP($A59,'Data shares'!$C:$FB,43)</f>
        <v>8878925</v>
      </c>
      <c r="I59" s="50">
        <f>VLOOKUP($A59,'Data shares'!$C:$FB,45)*100</f>
        <v>38.840000000000003</v>
      </c>
      <c r="J59" s="49">
        <f>VLOOKUP($A59,'Data shares'!$C:$FB,58)</f>
        <v>38472575</v>
      </c>
      <c r="K59" s="49">
        <f>VLOOKUP($A59,'Data shares'!$C:$FB,59)</f>
        <v>17073100</v>
      </c>
      <c r="L59" s="50">
        <f>VLOOKUP($A59,'Data shares'!$C:$FB,61)*100</f>
        <v>125.34</v>
      </c>
      <c r="M59" s="49">
        <f>VLOOKUP($A59,'Data shares'!$C:$FB,62)</f>
        <v>18060800</v>
      </c>
      <c r="N59" s="49">
        <f>VLOOKUP($A59,'Data shares'!$C:$FB,63)</f>
        <v>8136075</v>
      </c>
      <c r="O59" s="140">
        <f>VLOOKUP($A59,'Data shares'!$C:$FB,65)*100</f>
        <v>121.98</v>
      </c>
    </row>
    <row r="60" spans="1:15" x14ac:dyDescent="0.25">
      <c r="A60" s="101" t="str">
        <f>'Data shares'!C55</f>
        <v>DIVISLAB</v>
      </c>
      <c r="B60" s="50">
        <f>VLOOKUP($A60,'Data shares'!$C:$FB,7)</f>
        <v>5826.5</v>
      </c>
      <c r="C60" s="50">
        <f>VLOOKUP($A60,'Data shares'!$C:$FB,10)*100</f>
        <v>-0.67</v>
      </c>
      <c r="D60" s="49">
        <f>VLOOKUP($A60,'Data shares'!$C:$FB,66)</f>
        <v>1278100</v>
      </c>
      <c r="E60" s="49">
        <f>VLOOKUP($A60,'Data shares'!$C:$FB,67)</f>
        <v>2705200</v>
      </c>
      <c r="F60" s="50">
        <f>VLOOKUP($A60,'Data shares'!$C:$FB,69)*100</f>
        <v>-52.75</v>
      </c>
      <c r="G60" s="49">
        <f>VLOOKUP($A60,'Data shares'!$C:$FB,42)</f>
        <v>226900</v>
      </c>
      <c r="H60" s="49">
        <f>VLOOKUP($A60,'Data shares'!$C:$FB,43)</f>
        <v>490100</v>
      </c>
      <c r="I60" s="50">
        <f>VLOOKUP($A60,'Data shares'!$C:$FB,45)*100</f>
        <v>-53.7</v>
      </c>
      <c r="J60" s="49">
        <f>VLOOKUP($A60,'Data shares'!$C:$FB,58)</f>
        <v>702100</v>
      </c>
      <c r="K60" s="49">
        <f>VLOOKUP($A60,'Data shares'!$C:$FB,59)</f>
        <v>1688500</v>
      </c>
      <c r="L60" s="50">
        <f>VLOOKUP($A60,'Data shares'!$C:$FB,61)*100</f>
        <v>-58.42</v>
      </c>
      <c r="M60" s="49">
        <f>VLOOKUP($A60,'Data shares'!$C:$FB,62)</f>
        <v>349100</v>
      </c>
      <c r="N60" s="49">
        <f>VLOOKUP($A60,'Data shares'!$C:$FB,63)</f>
        <v>526600</v>
      </c>
      <c r="O60" s="140">
        <f>VLOOKUP($A60,'Data shares'!$C:$FB,65)*100</f>
        <v>-33.71</v>
      </c>
    </row>
    <row r="61" spans="1:15" x14ac:dyDescent="0.25">
      <c r="A61" s="101" t="str">
        <f>'Data shares'!C56</f>
        <v>DIXON</v>
      </c>
      <c r="B61" s="50">
        <f>VLOOKUP($A61,'Data shares'!$C:$FB,7)</f>
        <v>17041</v>
      </c>
      <c r="C61" s="50">
        <f>VLOOKUP($A61,'Data shares'!$C:$FB,10)*100</f>
        <v>2.71</v>
      </c>
      <c r="D61" s="49">
        <f>VLOOKUP($A61,'Data shares'!$C:$FB,66)</f>
        <v>4594450</v>
      </c>
      <c r="E61" s="49">
        <f>VLOOKUP($A61,'Data shares'!$C:$FB,67)</f>
        <v>2090500</v>
      </c>
      <c r="F61" s="50">
        <f>VLOOKUP($A61,'Data shares'!$C:$FB,69)*100</f>
        <v>119.78</v>
      </c>
      <c r="G61" s="49">
        <f>VLOOKUP($A61,'Data shares'!$C:$FB,42)</f>
        <v>474900</v>
      </c>
      <c r="H61" s="49">
        <f>VLOOKUP($A61,'Data shares'!$C:$FB,43)</f>
        <v>219350</v>
      </c>
      <c r="I61" s="50">
        <f>VLOOKUP($A61,'Data shares'!$C:$FB,45)*100</f>
        <v>116.5</v>
      </c>
      <c r="J61" s="49">
        <f>VLOOKUP($A61,'Data shares'!$C:$FB,58)</f>
        <v>2906300</v>
      </c>
      <c r="K61" s="49">
        <f>VLOOKUP($A61,'Data shares'!$C:$FB,59)</f>
        <v>1246350</v>
      </c>
      <c r="L61" s="50">
        <f>VLOOKUP($A61,'Data shares'!$C:$FB,61)*100</f>
        <v>133.18</v>
      </c>
      <c r="M61" s="49">
        <f>VLOOKUP($A61,'Data shares'!$C:$FB,62)</f>
        <v>1213250</v>
      </c>
      <c r="N61" s="49">
        <f>VLOOKUP($A61,'Data shares'!$C:$FB,63)</f>
        <v>624800</v>
      </c>
      <c r="O61" s="140">
        <f>VLOOKUP($A61,'Data shares'!$C:$FB,65)*100</f>
        <v>94.179999999999993</v>
      </c>
    </row>
    <row r="62" spans="1:15" x14ac:dyDescent="0.25">
      <c r="A62" s="101" t="str">
        <f>'Data shares'!C57</f>
        <v>DLF</v>
      </c>
      <c r="B62" s="50">
        <f>VLOOKUP($A62,'Data shares'!$C:$FB,7)</f>
        <v>735.25</v>
      </c>
      <c r="C62" s="50">
        <f>VLOOKUP($A62,'Data shares'!$C:$FB,10)*100</f>
        <v>0.83</v>
      </c>
      <c r="D62" s="49">
        <f>VLOOKUP($A62,'Data shares'!$C:$FB,66)</f>
        <v>22562925</v>
      </c>
      <c r="E62" s="49">
        <f>VLOOKUP($A62,'Data shares'!$C:$FB,67)</f>
        <v>24471975</v>
      </c>
      <c r="F62" s="50">
        <f>VLOOKUP($A62,'Data shares'!$C:$FB,69)*100</f>
        <v>-7.8</v>
      </c>
      <c r="G62" s="49">
        <f>VLOOKUP($A62,'Data shares'!$C:$FB,42)</f>
        <v>4131600</v>
      </c>
      <c r="H62" s="49">
        <f>VLOOKUP($A62,'Data shares'!$C:$FB,43)</f>
        <v>5869050</v>
      </c>
      <c r="I62" s="50">
        <f>VLOOKUP($A62,'Data shares'!$C:$FB,45)*100</f>
        <v>-29.599999999999998</v>
      </c>
      <c r="J62" s="49">
        <f>VLOOKUP($A62,'Data shares'!$C:$FB,58)</f>
        <v>14203200</v>
      </c>
      <c r="K62" s="49">
        <f>VLOOKUP($A62,'Data shares'!$C:$FB,59)</f>
        <v>14217225</v>
      </c>
      <c r="L62" s="50">
        <f>VLOOKUP($A62,'Data shares'!$C:$FB,61)*100</f>
        <v>-0.1</v>
      </c>
      <c r="M62" s="49">
        <f>VLOOKUP($A62,'Data shares'!$C:$FB,62)</f>
        <v>4228125</v>
      </c>
      <c r="N62" s="49">
        <f>VLOOKUP($A62,'Data shares'!$C:$FB,63)</f>
        <v>4385700</v>
      </c>
      <c r="O62" s="140">
        <f>VLOOKUP($A62,'Data shares'!$C:$FB,65)*100</f>
        <v>-3.5900000000000003</v>
      </c>
    </row>
    <row r="63" spans="1:15" x14ac:dyDescent="0.25">
      <c r="A63" s="101" t="str">
        <f>'Data shares'!C58</f>
        <v>DMART</v>
      </c>
      <c r="B63" s="50">
        <f>VLOOKUP($A63,'Data shares'!$C:$FB,7)</f>
        <v>4301.6000000000004</v>
      </c>
      <c r="C63" s="50">
        <f>VLOOKUP($A63,'Data shares'!$C:$FB,10)*100</f>
        <v>-2.64</v>
      </c>
      <c r="D63" s="49">
        <f>VLOOKUP($A63,'Data shares'!$C:$FB,66)</f>
        <v>9982350</v>
      </c>
      <c r="E63" s="49">
        <f>VLOOKUP($A63,'Data shares'!$C:$FB,67)</f>
        <v>3330900</v>
      </c>
      <c r="F63" s="50">
        <f>VLOOKUP($A63,'Data shares'!$C:$FB,69)*100</f>
        <v>199.69</v>
      </c>
      <c r="G63" s="49">
        <f>VLOOKUP($A63,'Data shares'!$C:$FB,42)</f>
        <v>1449450</v>
      </c>
      <c r="H63" s="49">
        <f>VLOOKUP($A63,'Data shares'!$C:$FB,43)</f>
        <v>795300</v>
      </c>
      <c r="I63" s="50">
        <f>VLOOKUP($A63,'Data shares'!$C:$FB,45)*100</f>
        <v>82.25</v>
      </c>
      <c r="J63" s="49">
        <f>VLOOKUP($A63,'Data shares'!$C:$FB,58)</f>
        <v>5253300</v>
      </c>
      <c r="K63" s="49">
        <f>VLOOKUP($A63,'Data shares'!$C:$FB,59)</f>
        <v>1573050</v>
      </c>
      <c r="L63" s="50">
        <f>VLOOKUP($A63,'Data shares'!$C:$FB,61)*100</f>
        <v>233.95999999999998</v>
      </c>
      <c r="M63" s="49">
        <f>VLOOKUP($A63,'Data shares'!$C:$FB,62)</f>
        <v>3279600</v>
      </c>
      <c r="N63" s="49">
        <f>VLOOKUP($A63,'Data shares'!$C:$FB,63)</f>
        <v>962550</v>
      </c>
      <c r="O63" s="140">
        <f>VLOOKUP($A63,'Data shares'!$C:$FB,65)*100</f>
        <v>240.72</v>
      </c>
    </row>
    <row r="64" spans="1:15" x14ac:dyDescent="0.25">
      <c r="A64" s="101" t="str">
        <f>'Data shares'!C59</f>
        <v>DRREDDY</v>
      </c>
      <c r="B64" s="50">
        <f>VLOOKUP($A64,'Data shares'!$C:$FB,7)</f>
        <v>1248.5999999999999</v>
      </c>
      <c r="C64" s="50">
        <f>VLOOKUP($A64,'Data shares'!$C:$FB,10)*100</f>
        <v>0.04</v>
      </c>
      <c r="D64" s="49">
        <f>VLOOKUP($A64,'Data shares'!$C:$FB,66)</f>
        <v>6703750</v>
      </c>
      <c r="E64" s="49">
        <f>VLOOKUP($A64,'Data shares'!$C:$FB,67)</f>
        <v>6994375</v>
      </c>
      <c r="F64" s="50">
        <f>VLOOKUP($A64,'Data shares'!$C:$FB,69)*100</f>
        <v>-4.16</v>
      </c>
      <c r="G64" s="49">
        <f>VLOOKUP($A64,'Data shares'!$C:$FB,42)</f>
        <v>1792500</v>
      </c>
      <c r="H64" s="49">
        <f>VLOOKUP($A64,'Data shares'!$C:$FB,43)</f>
        <v>1897500</v>
      </c>
      <c r="I64" s="50">
        <f>VLOOKUP($A64,'Data shares'!$C:$FB,45)*100</f>
        <v>-5.53</v>
      </c>
      <c r="J64" s="49">
        <f>VLOOKUP($A64,'Data shares'!$C:$FB,58)</f>
        <v>3418750</v>
      </c>
      <c r="K64" s="49">
        <f>VLOOKUP($A64,'Data shares'!$C:$FB,59)</f>
        <v>3388750</v>
      </c>
      <c r="L64" s="50">
        <f>VLOOKUP($A64,'Data shares'!$C:$FB,61)*100</f>
        <v>0.89</v>
      </c>
      <c r="M64" s="49">
        <f>VLOOKUP($A64,'Data shares'!$C:$FB,62)</f>
        <v>1492500</v>
      </c>
      <c r="N64" s="49">
        <f>VLOOKUP($A64,'Data shares'!$C:$FB,63)</f>
        <v>1708125</v>
      </c>
      <c r="O64" s="140">
        <f>VLOOKUP($A64,'Data shares'!$C:$FB,65)*100</f>
        <v>-12.620000000000001</v>
      </c>
    </row>
    <row r="65" spans="1:15" x14ac:dyDescent="0.25">
      <c r="A65" s="101" t="str">
        <f>'Data shares'!C60</f>
        <v>EICHERMOT</v>
      </c>
      <c r="B65" s="50">
        <f>VLOOKUP($A65,'Data shares'!$C:$FB,7)</f>
        <v>6880</v>
      </c>
      <c r="C65" s="50">
        <f>VLOOKUP($A65,'Data shares'!$C:$FB,10)*100</f>
        <v>-0.88</v>
      </c>
      <c r="D65" s="49">
        <f>VLOOKUP($A65,'Data shares'!$C:$FB,66)</f>
        <v>3963400</v>
      </c>
      <c r="E65" s="49">
        <f>VLOOKUP($A65,'Data shares'!$C:$FB,67)</f>
        <v>9595775</v>
      </c>
      <c r="F65" s="50">
        <f>VLOOKUP($A65,'Data shares'!$C:$FB,69)*100</f>
        <v>-58.699999999999996</v>
      </c>
      <c r="G65" s="49">
        <f>VLOOKUP($A65,'Data shares'!$C:$FB,42)</f>
        <v>550725</v>
      </c>
      <c r="H65" s="49">
        <f>VLOOKUP($A65,'Data shares'!$C:$FB,43)</f>
        <v>1176350</v>
      </c>
      <c r="I65" s="50">
        <f>VLOOKUP($A65,'Data shares'!$C:$FB,45)*100</f>
        <v>-53.180000000000007</v>
      </c>
      <c r="J65" s="49">
        <f>VLOOKUP($A65,'Data shares'!$C:$FB,58)</f>
        <v>2381400</v>
      </c>
      <c r="K65" s="49">
        <f>VLOOKUP($A65,'Data shares'!$C:$FB,59)</f>
        <v>4665325</v>
      </c>
      <c r="L65" s="50">
        <f>VLOOKUP($A65,'Data shares'!$C:$FB,61)*100</f>
        <v>-48.96</v>
      </c>
      <c r="M65" s="49">
        <f>VLOOKUP($A65,'Data shares'!$C:$FB,62)</f>
        <v>1031275</v>
      </c>
      <c r="N65" s="49">
        <f>VLOOKUP($A65,'Data shares'!$C:$FB,63)</f>
        <v>3754100</v>
      </c>
      <c r="O65" s="140">
        <f>VLOOKUP($A65,'Data shares'!$C:$FB,65)*100</f>
        <v>-72.53</v>
      </c>
    </row>
    <row r="66" spans="1:15" x14ac:dyDescent="0.25">
      <c r="A66" s="101" t="str">
        <f>'Data shares'!C61</f>
        <v>ETERNAL</v>
      </c>
      <c r="B66" s="50">
        <f>VLOOKUP($A66,'Data shares'!$C:$FB,7)</f>
        <v>335.1</v>
      </c>
      <c r="C66" s="50">
        <f>VLOOKUP($A66,'Data shares'!$C:$FB,10)*100</f>
        <v>2.02</v>
      </c>
      <c r="D66" s="49">
        <f>VLOOKUP($A66,'Data shares'!$C:$FB,66)</f>
        <v>113230525</v>
      </c>
      <c r="E66" s="49">
        <f>VLOOKUP($A66,'Data shares'!$C:$FB,67)</f>
        <v>92867800</v>
      </c>
      <c r="F66" s="50">
        <f>VLOOKUP($A66,'Data shares'!$C:$FB,69)*100</f>
        <v>21.93</v>
      </c>
      <c r="G66" s="49">
        <f>VLOOKUP($A66,'Data shares'!$C:$FB,42)</f>
        <v>23095700</v>
      </c>
      <c r="H66" s="49">
        <f>VLOOKUP($A66,'Data shares'!$C:$FB,43)</f>
        <v>20297250</v>
      </c>
      <c r="I66" s="50">
        <f>VLOOKUP($A66,'Data shares'!$C:$FB,45)*100</f>
        <v>13.79</v>
      </c>
      <c r="J66" s="49">
        <f>VLOOKUP($A66,'Data shares'!$C:$FB,58)</f>
        <v>59317925</v>
      </c>
      <c r="K66" s="49">
        <f>VLOOKUP($A66,'Data shares'!$C:$FB,59)</f>
        <v>47355400</v>
      </c>
      <c r="L66" s="50">
        <f>VLOOKUP($A66,'Data shares'!$C:$FB,61)*100</f>
        <v>25.259999999999998</v>
      </c>
      <c r="M66" s="49">
        <f>VLOOKUP($A66,'Data shares'!$C:$FB,62)</f>
        <v>30816900</v>
      </c>
      <c r="N66" s="49">
        <f>VLOOKUP($A66,'Data shares'!$C:$FB,63)</f>
        <v>25215150</v>
      </c>
      <c r="O66" s="140">
        <f>VLOOKUP($A66,'Data shares'!$C:$FB,65)*100</f>
        <v>22.220000000000002</v>
      </c>
    </row>
    <row r="67" spans="1:15" x14ac:dyDescent="0.25">
      <c r="A67" s="101" t="str">
        <f>'Data shares'!C62</f>
        <v>EXIDEIND</v>
      </c>
      <c r="B67" s="50">
        <f>VLOOKUP($A67,'Data shares'!$C:$FB,7)</f>
        <v>399.95</v>
      </c>
      <c r="C67" s="50">
        <f>VLOOKUP($A67,'Data shares'!$C:$FB,10)*100</f>
        <v>0.48</v>
      </c>
      <c r="D67" s="49">
        <f>VLOOKUP($A67,'Data shares'!$C:$FB,66)</f>
        <v>11318400</v>
      </c>
      <c r="E67" s="49">
        <f>VLOOKUP($A67,'Data shares'!$C:$FB,67)</f>
        <v>13231800</v>
      </c>
      <c r="F67" s="50">
        <f>VLOOKUP($A67,'Data shares'!$C:$FB,69)*100</f>
        <v>-14.46</v>
      </c>
      <c r="G67" s="49">
        <f>VLOOKUP($A67,'Data shares'!$C:$FB,42)</f>
        <v>2998800</v>
      </c>
      <c r="H67" s="49">
        <f>VLOOKUP($A67,'Data shares'!$C:$FB,43)</f>
        <v>3270600</v>
      </c>
      <c r="I67" s="50">
        <f>VLOOKUP($A67,'Data shares'!$C:$FB,45)*100</f>
        <v>-8.3099999999999987</v>
      </c>
      <c r="J67" s="49">
        <f>VLOOKUP($A67,'Data shares'!$C:$FB,58)</f>
        <v>6071400</v>
      </c>
      <c r="K67" s="49">
        <f>VLOOKUP($A67,'Data shares'!$C:$FB,59)</f>
        <v>7234200</v>
      </c>
      <c r="L67" s="50">
        <f>VLOOKUP($A67,'Data shares'!$C:$FB,61)*100</f>
        <v>-16.07</v>
      </c>
      <c r="M67" s="49">
        <f>VLOOKUP($A67,'Data shares'!$C:$FB,62)</f>
        <v>2248200</v>
      </c>
      <c r="N67" s="49">
        <f>VLOOKUP($A67,'Data shares'!$C:$FB,63)</f>
        <v>2727000</v>
      </c>
      <c r="O67" s="140">
        <f>VLOOKUP($A67,'Data shares'!$C:$FB,65)*100</f>
        <v>-17.560000000000002</v>
      </c>
    </row>
    <row r="68" spans="1:15" x14ac:dyDescent="0.25">
      <c r="A68" s="101" t="str">
        <f>'Data shares'!C63</f>
        <v>FEDERALBNK</v>
      </c>
      <c r="B68" s="50">
        <f>VLOOKUP($A68,'Data shares'!$C:$FB,7)</f>
        <v>193.66</v>
      </c>
      <c r="C68" s="50">
        <f>VLOOKUP($A68,'Data shares'!$C:$FB,10)*100</f>
        <v>0.67</v>
      </c>
      <c r="D68" s="49">
        <f>VLOOKUP($A68,'Data shares'!$C:$FB,66)</f>
        <v>126445000</v>
      </c>
      <c r="E68" s="49">
        <f>VLOOKUP($A68,'Data shares'!$C:$FB,67)</f>
        <v>61935000</v>
      </c>
      <c r="F68" s="50">
        <f>VLOOKUP($A68,'Data shares'!$C:$FB,69)*100</f>
        <v>104.16000000000001</v>
      </c>
      <c r="G68" s="49">
        <f>VLOOKUP($A68,'Data shares'!$C:$FB,42)</f>
        <v>17550000</v>
      </c>
      <c r="H68" s="49">
        <f>VLOOKUP($A68,'Data shares'!$C:$FB,43)</f>
        <v>13235000</v>
      </c>
      <c r="I68" s="50">
        <f>VLOOKUP($A68,'Data shares'!$C:$FB,45)*100</f>
        <v>32.6</v>
      </c>
      <c r="J68" s="49">
        <f>VLOOKUP($A68,'Data shares'!$C:$FB,58)</f>
        <v>82230000</v>
      </c>
      <c r="K68" s="49">
        <f>VLOOKUP($A68,'Data shares'!$C:$FB,59)</f>
        <v>32235000</v>
      </c>
      <c r="L68" s="50">
        <f>VLOOKUP($A68,'Data shares'!$C:$FB,61)*100</f>
        <v>155.1</v>
      </c>
      <c r="M68" s="49">
        <f>VLOOKUP($A68,'Data shares'!$C:$FB,62)</f>
        <v>26665000</v>
      </c>
      <c r="N68" s="49">
        <f>VLOOKUP($A68,'Data shares'!$C:$FB,63)</f>
        <v>16465000</v>
      </c>
      <c r="O68" s="140">
        <f>VLOOKUP($A68,'Data shares'!$C:$FB,65)*100</f>
        <v>61.95</v>
      </c>
    </row>
    <row r="69" spans="1:15" x14ac:dyDescent="0.25">
      <c r="A69" s="101" t="str">
        <f>'Data shares'!C64</f>
        <v>FINNIFTY</v>
      </c>
      <c r="B69" s="50">
        <f>VLOOKUP($A69,'Data shares'!$C:$FB,7)</f>
        <v>26712.05</v>
      </c>
      <c r="C69" s="50">
        <f>VLOOKUP($A69,'Data shares'!$C:$FB,10)*100</f>
        <v>1.08</v>
      </c>
      <c r="D69" s="49">
        <f>VLOOKUP($A69,'Data shares'!$C:$FB,66)</f>
        <v>3838770</v>
      </c>
      <c r="E69" s="49">
        <f>VLOOKUP($A69,'Data shares'!$C:$FB,67)</f>
        <v>2280395</v>
      </c>
      <c r="F69" s="50">
        <f>VLOOKUP($A69,'Data shares'!$C:$FB,69)*100</f>
        <v>68.34</v>
      </c>
      <c r="G69" s="49">
        <f>VLOOKUP($A69,'Data shares'!$C:$FB,42)</f>
        <v>27105</v>
      </c>
      <c r="H69" s="49">
        <f>VLOOKUP($A69,'Data shares'!$C:$FB,43)</f>
        <v>11310</v>
      </c>
      <c r="I69" s="50">
        <f>VLOOKUP($A69,'Data shares'!$C:$FB,45)*100</f>
        <v>139.66</v>
      </c>
      <c r="J69" s="49">
        <f>VLOOKUP($A69,'Data shares'!$C:$FB,58)</f>
        <v>2348970</v>
      </c>
      <c r="K69" s="49">
        <f>VLOOKUP($A69,'Data shares'!$C:$FB,59)</f>
        <v>1366820</v>
      </c>
      <c r="L69" s="50">
        <f>VLOOKUP($A69,'Data shares'!$C:$FB,61)*100</f>
        <v>71.86</v>
      </c>
      <c r="M69" s="49">
        <f>VLOOKUP($A69,'Data shares'!$C:$FB,62)</f>
        <v>1462695</v>
      </c>
      <c r="N69" s="49">
        <f>VLOOKUP($A69,'Data shares'!$C:$FB,63)</f>
        <v>902265</v>
      </c>
      <c r="O69" s="140">
        <f>VLOOKUP($A69,'Data shares'!$C:$FB,65)*100</f>
        <v>62.11</v>
      </c>
    </row>
    <row r="70" spans="1:15" x14ac:dyDescent="0.25">
      <c r="A70" s="101" t="str">
        <f>'Data shares'!C65</f>
        <v>FORTIS</v>
      </c>
      <c r="B70" s="50">
        <f>VLOOKUP($A70,'Data shares'!$C:$FB,7)</f>
        <v>1053.9000000000001</v>
      </c>
      <c r="C70" s="50">
        <f>VLOOKUP($A70,'Data shares'!$C:$FB,10)*100</f>
        <v>7.5</v>
      </c>
      <c r="D70" s="49">
        <f>VLOOKUP($A70,'Data shares'!$C:$FB,66)</f>
        <v>79029850</v>
      </c>
      <c r="E70" s="49">
        <f>VLOOKUP($A70,'Data shares'!$C:$FB,67)</f>
        <v>8546700</v>
      </c>
      <c r="F70" s="50">
        <f>VLOOKUP($A70,'Data shares'!$C:$FB,69)*100</f>
        <v>824.68000000000006</v>
      </c>
      <c r="G70" s="49">
        <f>VLOOKUP($A70,'Data shares'!$C:$FB,42)</f>
        <v>8578475</v>
      </c>
      <c r="H70" s="49">
        <f>VLOOKUP($A70,'Data shares'!$C:$FB,43)</f>
        <v>2242075</v>
      </c>
      <c r="I70" s="50">
        <f>VLOOKUP($A70,'Data shares'!$C:$FB,45)*100</f>
        <v>282.60999999999996</v>
      </c>
      <c r="J70" s="49">
        <f>VLOOKUP($A70,'Data shares'!$C:$FB,58)</f>
        <v>52274525</v>
      </c>
      <c r="K70" s="49">
        <f>VLOOKUP($A70,'Data shares'!$C:$FB,59)</f>
        <v>3863375</v>
      </c>
      <c r="L70" s="50">
        <f>VLOOKUP($A70,'Data shares'!$C:$FB,61)*100</f>
        <v>1253.08</v>
      </c>
      <c r="M70" s="49">
        <f>VLOOKUP($A70,'Data shares'!$C:$FB,62)</f>
        <v>18176850</v>
      </c>
      <c r="N70" s="49">
        <f>VLOOKUP($A70,'Data shares'!$C:$FB,63)</f>
        <v>2441250</v>
      </c>
      <c r="O70" s="140">
        <f>VLOOKUP($A70,'Data shares'!$C:$FB,65)*100</f>
        <v>644.57000000000005</v>
      </c>
    </row>
    <row r="71" spans="1:15" x14ac:dyDescent="0.25">
      <c r="A71" s="101" t="str">
        <f>'Data shares'!C66</f>
        <v>GAIL</v>
      </c>
      <c r="B71" s="50">
        <f>VLOOKUP($A71,'Data shares'!$C:$FB,7)</f>
        <v>176.62</v>
      </c>
      <c r="C71" s="50">
        <f>VLOOKUP($A71,'Data shares'!$C:$FB,10)*100</f>
        <v>-0.42</v>
      </c>
      <c r="D71" s="49">
        <f>VLOOKUP($A71,'Data shares'!$C:$FB,66)</f>
        <v>47064150</v>
      </c>
      <c r="E71" s="49">
        <f>VLOOKUP($A71,'Data shares'!$C:$FB,67)</f>
        <v>41680800</v>
      </c>
      <c r="F71" s="50">
        <f>VLOOKUP($A71,'Data shares'!$C:$FB,69)*100</f>
        <v>12.920000000000002</v>
      </c>
      <c r="G71" s="49">
        <f>VLOOKUP($A71,'Data shares'!$C:$FB,42)</f>
        <v>9941400</v>
      </c>
      <c r="H71" s="49">
        <f>VLOOKUP($A71,'Data shares'!$C:$FB,43)</f>
        <v>8801100</v>
      </c>
      <c r="I71" s="50">
        <f>VLOOKUP($A71,'Data shares'!$C:$FB,45)*100</f>
        <v>12.959999999999999</v>
      </c>
      <c r="J71" s="49">
        <f>VLOOKUP($A71,'Data shares'!$C:$FB,58)</f>
        <v>29673000</v>
      </c>
      <c r="K71" s="49">
        <f>VLOOKUP($A71,'Data shares'!$C:$FB,59)</f>
        <v>25080300</v>
      </c>
      <c r="L71" s="50">
        <f>VLOOKUP($A71,'Data shares'!$C:$FB,61)*100</f>
        <v>18.310000000000002</v>
      </c>
      <c r="M71" s="49">
        <f>VLOOKUP($A71,'Data shares'!$C:$FB,62)</f>
        <v>7449750</v>
      </c>
      <c r="N71" s="49">
        <f>VLOOKUP($A71,'Data shares'!$C:$FB,63)</f>
        <v>7799400</v>
      </c>
      <c r="O71" s="140">
        <f>VLOOKUP($A71,'Data shares'!$C:$FB,65)*100</f>
        <v>-4.4799999999999995</v>
      </c>
    </row>
    <row r="72" spans="1:15" x14ac:dyDescent="0.25">
      <c r="A72" s="101" t="str">
        <f>'Data shares'!C67</f>
        <v>GLENMARK</v>
      </c>
      <c r="B72" s="50">
        <f>VLOOKUP($A72,'Data shares'!$C:$FB,7)</f>
        <v>1971.2</v>
      </c>
      <c r="C72" s="50">
        <f>VLOOKUP($A72,'Data shares'!$C:$FB,10)*100</f>
        <v>-0.44999999999999996</v>
      </c>
      <c r="D72" s="49">
        <f>VLOOKUP($A72,'Data shares'!$C:$FB,66)</f>
        <v>1925625</v>
      </c>
      <c r="E72" s="49">
        <f>VLOOKUP($A72,'Data shares'!$C:$FB,67)</f>
        <v>2830500</v>
      </c>
      <c r="F72" s="50">
        <f>VLOOKUP($A72,'Data shares'!$C:$FB,69)*100</f>
        <v>-31.97</v>
      </c>
      <c r="G72" s="49">
        <f>VLOOKUP($A72,'Data shares'!$C:$FB,42)</f>
        <v>565500</v>
      </c>
      <c r="H72" s="49">
        <f>VLOOKUP($A72,'Data shares'!$C:$FB,43)</f>
        <v>798000</v>
      </c>
      <c r="I72" s="50">
        <f>VLOOKUP($A72,'Data shares'!$C:$FB,45)*100</f>
        <v>-29.14</v>
      </c>
      <c r="J72" s="49">
        <f>VLOOKUP($A72,'Data shares'!$C:$FB,58)</f>
        <v>984000</v>
      </c>
      <c r="K72" s="49">
        <f>VLOOKUP($A72,'Data shares'!$C:$FB,59)</f>
        <v>1514625</v>
      </c>
      <c r="L72" s="50">
        <f>VLOOKUP($A72,'Data shares'!$C:$FB,61)*100</f>
        <v>-35.03</v>
      </c>
      <c r="M72" s="49">
        <f>VLOOKUP($A72,'Data shares'!$C:$FB,62)</f>
        <v>376125</v>
      </c>
      <c r="N72" s="49">
        <f>VLOOKUP($A72,'Data shares'!$C:$FB,63)</f>
        <v>517875</v>
      </c>
      <c r="O72" s="140">
        <f>VLOOKUP($A72,'Data shares'!$C:$FB,65)*100</f>
        <v>-27.37</v>
      </c>
    </row>
    <row r="73" spans="1:15" x14ac:dyDescent="0.25">
      <c r="A73" s="101" t="str">
        <f>'Data shares'!C68</f>
        <v>GMRAIRPORT</v>
      </c>
      <c r="B73" s="50">
        <f>VLOOKUP($A73,'Data shares'!$C:$FB,7)</f>
        <v>88.7</v>
      </c>
      <c r="C73" s="50">
        <f>VLOOKUP($A73,'Data shares'!$C:$FB,10)*100</f>
        <v>-0.65</v>
      </c>
      <c r="D73" s="49">
        <f>VLOOKUP($A73,'Data shares'!$C:$FB,66)</f>
        <v>79277850</v>
      </c>
      <c r="E73" s="49">
        <f>VLOOKUP($A73,'Data shares'!$C:$FB,67)</f>
        <v>58638825</v>
      </c>
      <c r="F73" s="50">
        <f>VLOOKUP($A73,'Data shares'!$C:$FB,69)*100</f>
        <v>35.199999999999996</v>
      </c>
      <c r="G73" s="49">
        <f>VLOOKUP($A73,'Data shares'!$C:$FB,42)</f>
        <v>22605975</v>
      </c>
      <c r="H73" s="49">
        <f>VLOOKUP($A73,'Data shares'!$C:$FB,43)</f>
        <v>17465400</v>
      </c>
      <c r="I73" s="50">
        <f>VLOOKUP($A73,'Data shares'!$C:$FB,45)*100</f>
        <v>29.43</v>
      </c>
      <c r="J73" s="49">
        <f>VLOOKUP($A73,'Data shares'!$C:$FB,58)</f>
        <v>41466375</v>
      </c>
      <c r="K73" s="49">
        <f>VLOOKUP($A73,'Data shares'!$C:$FB,59)</f>
        <v>29720475</v>
      </c>
      <c r="L73" s="50">
        <f>VLOOKUP($A73,'Data shares'!$C:$FB,61)*100</f>
        <v>39.519999999999996</v>
      </c>
      <c r="M73" s="49">
        <f>VLOOKUP($A73,'Data shares'!$C:$FB,62)</f>
        <v>15205500</v>
      </c>
      <c r="N73" s="49">
        <f>VLOOKUP($A73,'Data shares'!$C:$FB,63)</f>
        <v>11452950</v>
      </c>
      <c r="O73" s="140">
        <f>VLOOKUP($A73,'Data shares'!$C:$FB,65)*100</f>
        <v>32.76</v>
      </c>
    </row>
    <row r="74" spans="1:15" x14ac:dyDescent="0.25">
      <c r="A74" s="101" t="str">
        <f>'Data shares'!C69</f>
        <v>GODREJCP</v>
      </c>
      <c r="B74" s="50">
        <f>VLOOKUP($A74,'Data shares'!$C:$FB,7)</f>
        <v>1147.5999999999999</v>
      </c>
      <c r="C74" s="50">
        <f>VLOOKUP($A74,'Data shares'!$C:$FB,10)*100</f>
        <v>-0.12</v>
      </c>
      <c r="D74" s="49">
        <f>VLOOKUP($A74,'Data shares'!$C:$FB,66)</f>
        <v>4380000</v>
      </c>
      <c r="E74" s="49">
        <f>VLOOKUP($A74,'Data shares'!$C:$FB,67)</f>
        <v>3147500</v>
      </c>
      <c r="F74" s="50">
        <f>VLOOKUP($A74,'Data shares'!$C:$FB,69)*100</f>
        <v>39.160000000000004</v>
      </c>
      <c r="G74" s="49">
        <f>VLOOKUP($A74,'Data shares'!$C:$FB,42)</f>
        <v>1429500</v>
      </c>
      <c r="H74" s="49">
        <f>VLOOKUP($A74,'Data shares'!$C:$FB,43)</f>
        <v>1097500</v>
      </c>
      <c r="I74" s="50">
        <f>VLOOKUP($A74,'Data shares'!$C:$FB,45)*100</f>
        <v>30.25</v>
      </c>
      <c r="J74" s="49">
        <f>VLOOKUP($A74,'Data shares'!$C:$FB,58)</f>
        <v>1953000</v>
      </c>
      <c r="K74" s="49">
        <f>VLOOKUP($A74,'Data shares'!$C:$FB,59)</f>
        <v>1421500</v>
      </c>
      <c r="L74" s="50">
        <f>VLOOKUP($A74,'Data shares'!$C:$FB,61)*100</f>
        <v>37.39</v>
      </c>
      <c r="M74" s="49">
        <f>VLOOKUP($A74,'Data shares'!$C:$FB,62)</f>
        <v>997500</v>
      </c>
      <c r="N74" s="49">
        <f>VLOOKUP($A74,'Data shares'!$C:$FB,63)</f>
        <v>628500</v>
      </c>
      <c r="O74" s="140">
        <f>VLOOKUP($A74,'Data shares'!$C:$FB,65)*100</f>
        <v>58.709999999999994</v>
      </c>
    </row>
    <row r="75" spans="1:15" x14ac:dyDescent="0.25">
      <c r="A75" s="101" t="str">
        <f>'Data shares'!C70</f>
        <v>GODREJPROP</v>
      </c>
      <c r="B75" s="50">
        <f>VLOOKUP($A75,'Data shares'!$C:$FB,7)</f>
        <v>2056.5</v>
      </c>
      <c r="C75" s="50">
        <f>VLOOKUP($A75,'Data shares'!$C:$FB,10)*100</f>
        <v>1.1599999999999999</v>
      </c>
      <c r="D75" s="49">
        <f>VLOOKUP($A75,'Data shares'!$C:$FB,66)</f>
        <v>3096225</v>
      </c>
      <c r="E75" s="49">
        <f>VLOOKUP($A75,'Data shares'!$C:$FB,67)</f>
        <v>3177350</v>
      </c>
      <c r="F75" s="50">
        <f>VLOOKUP($A75,'Data shares'!$C:$FB,69)*100</f>
        <v>-2.5499999999999998</v>
      </c>
      <c r="G75" s="49">
        <f>VLOOKUP($A75,'Data shares'!$C:$FB,42)</f>
        <v>709225</v>
      </c>
      <c r="H75" s="49">
        <f>VLOOKUP($A75,'Data shares'!$C:$FB,43)</f>
        <v>919050</v>
      </c>
      <c r="I75" s="50">
        <f>VLOOKUP($A75,'Data shares'!$C:$FB,45)*100</f>
        <v>-22.830000000000002</v>
      </c>
      <c r="J75" s="49">
        <f>VLOOKUP($A75,'Data shares'!$C:$FB,58)</f>
        <v>1800425</v>
      </c>
      <c r="K75" s="49">
        <f>VLOOKUP($A75,'Data shares'!$C:$FB,59)</f>
        <v>1667875</v>
      </c>
      <c r="L75" s="50">
        <f>VLOOKUP($A75,'Data shares'!$C:$FB,61)*100</f>
        <v>7.95</v>
      </c>
      <c r="M75" s="49">
        <f>VLOOKUP($A75,'Data shares'!$C:$FB,62)</f>
        <v>586575</v>
      </c>
      <c r="N75" s="49">
        <f>VLOOKUP($A75,'Data shares'!$C:$FB,63)</f>
        <v>590425</v>
      </c>
      <c r="O75" s="140">
        <f>VLOOKUP($A75,'Data shares'!$C:$FB,65)*100</f>
        <v>-0.65</v>
      </c>
    </row>
    <row r="76" spans="1:15" x14ac:dyDescent="0.25">
      <c r="A76" s="101" t="str">
        <f>'Data shares'!C71</f>
        <v>GRASIM</v>
      </c>
      <c r="B76" s="50">
        <f>VLOOKUP($A76,'Data shares'!$C:$FB,7)</f>
        <v>2807.4</v>
      </c>
      <c r="C76" s="50">
        <f>VLOOKUP($A76,'Data shares'!$C:$FB,10)*100</f>
        <v>0.57000000000000006</v>
      </c>
      <c r="D76" s="49">
        <f>VLOOKUP($A76,'Data shares'!$C:$FB,66)</f>
        <v>3454250</v>
      </c>
      <c r="E76" s="49">
        <f>VLOOKUP($A76,'Data shares'!$C:$FB,67)</f>
        <v>4650500</v>
      </c>
      <c r="F76" s="50">
        <f>VLOOKUP($A76,'Data shares'!$C:$FB,69)*100</f>
        <v>-25.72</v>
      </c>
      <c r="G76" s="49">
        <f>VLOOKUP($A76,'Data shares'!$C:$FB,42)</f>
        <v>844500</v>
      </c>
      <c r="H76" s="49">
        <f>VLOOKUP($A76,'Data shares'!$C:$FB,43)</f>
        <v>1227500</v>
      </c>
      <c r="I76" s="50">
        <f>VLOOKUP($A76,'Data shares'!$C:$FB,45)*100</f>
        <v>-31.2</v>
      </c>
      <c r="J76" s="49">
        <f>VLOOKUP($A76,'Data shares'!$C:$FB,58)</f>
        <v>1761500</v>
      </c>
      <c r="K76" s="49">
        <f>VLOOKUP($A76,'Data shares'!$C:$FB,59)</f>
        <v>2256000</v>
      </c>
      <c r="L76" s="50">
        <f>VLOOKUP($A76,'Data shares'!$C:$FB,61)*100</f>
        <v>-21.92</v>
      </c>
      <c r="M76" s="49">
        <f>VLOOKUP($A76,'Data shares'!$C:$FB,62)</f>
        <v>848250</v>
      </c>
      <c r="N76" s="49">
        <f>VLOOKUP($A76,'Data shares'!$C:$FB,63)</f>
        <v>1167000</v>
      </c>
      <c r="O76" s="140">
        <f>VLOOKUP($A76,'Data shares'!$C:$FB,65)*100</f>
        <v>-27.310000000000002</v>
      </c>
    </row>
    <row r="77" spans="1:15" x14ac:dyDescent="0.25">
      <c r="A77" s="101" t="str">
        <f>'Data shares'!C72</f>
        <v>HAL</v>
      </c>
      <c r="B77" s="50">
        <f>VLOOKUP($A77,'Data shares'!$C:$FB,7)</f>
        <v>4845.2</v>
      </c>
      <c r="C77" s="50">
        <f>VLOOKUP($A77,'Data shares'!$C:$FB,10)*100</f>
        <v>-0.52</v>
      </c>
      <c r="D77" s="49">
        <f>VLOOKUP($A77,'Data shares'!$C:$FB,66)</f>
        <v>7653750</v>
      </c>
      <c r="E77" s="49">
        <f>VLOOKUP($A77,'Data shares'!$C:$FB,67)</f>
        <v>10336500</v>
      </c>
      <c r="F77" s="50">
        <f>VLOOKUP($A77,'Data shares'!$C:$FB,69)*100</f>
        <v>-25.95</v>
      </c>
      <c r="G77" s="49">
        <f>VLOOKUP($A77,'Data shares'!$C:$FB,42)</f>
        <v>1113600</v>
      </c>
      <c r="H77" s="49">
        <f>VLOOKUP($A77,'Data shares'!$C:$FB,43)</f>
        <v>1298100</v>
      </c>
      <c r="I77" s="50">
        <f>VLOOKUP($A77,'Data shares'!$C:$FB,45)*100</f>
        <v>-14.21</v>
      </c>
      <c r="J77" s="49">
        <f>VLOOKUP($A77,'Data shares'!$C:$FB,58)</f>
        <v>5092350</v>
      </c>
      <c r="K77" s="49">
        <f>VLOOKUP($A77,'Data shares'!$C:$FB,59)</f>
        <v>7419300</v>
      </c>
      <c r="L77" s="50">
        <f>VLOOKUP($A77,'Data shares'!$C:$FB,61)*100</f>
        <v>-31.36</v>
      </c>
      <c r="M77" s="49">
        <f>VLOOKUP($A77,'Data shares'!$C:$FB,62)</f>
        <v>1447800</v>
      </c>
      <c r="N77" s="49">
        <f>VLOOKUP($A77,'Data shares'!$C:$FB,63)</f>
        <v>1619100</v>
      </c>
      <c r="O77" s="140">
        <f>VLOOKUP($A77,'Data shares'!$C:$FB,65)*100</f>
        <v>-10.58</v>
      </c>
    </row>
    <row r="78" spans="1:15" x14ac:dyDescent="0.25">
      <c r="A78" s="101" t="str">
        <f>'Data shares'!C73</f>
        <v>HAVELLS</v>
      </c>
      <c r="B78" s="50">
        <f>VLOOKUP($A78,'Data shares'!$C:$FB,7)</f>
        <v>1497.7</v>
      </c>
      <c r="C78" s="50">
        <f>VLOOKUP($A78,'Data shares'!$C:$FB,10)*100</f>
        <v>0.65</v>
      </c>
      <c r="D78" s="49">
        <f>VLOOKUP($A78,'Data shares'!$C:$FB,66)</f>
        <v>3719000</v>
      </c>
      <c r="E78" s="49">
        <f>VLOOKUP($A78,'Data shares'!$C:$FB,67)</f>
        <v>5722000</v>
      </c>
      <c r="F78" s="50">
        <f>VLOOKUP($A78,'Data shares'!$C:$FB,69)*100</f>
        <v>-35.010000000000005</v>
      </c>
      <c r="G78" s="49">
        <f>VLOOKUP($A78,'Data shares'!$C:$FB,42)</f>
        <v>1118000</v>
      </c>
      <c r="H78" s="49">
        <f>VLOOKUP($A78,'Data shares'!$C:$FB,43)</f>
        <v>1373500</v>
      </c>
      <c r="I78" s="50">
        <f>VLOOKUP($A78,'Data shares'!$C:$FB,45)*100</f>
        <v>-18.600000000000001</v>
      </c>
      <c r="J78" s="49">
        <f>VLOOKUP($A78,'Data shares'!$C:$FB,58)</f>
        <v>1843000</v>
      </c>
      <c r="K78" s="49">
        <f>VLOOKUP($A78,'Data shares'!$C:$FB,59)</f>
        <v>3149000</v>
      </c>
      <c r="L78" s="50">
        <f>VLOOKUP($A78,'Data shares'!$C:$FB,61)*100</f>
        <v>-41.47</v>
      </c>
      <c r="M78" s="49">
        <f>VLOOKUP($A78,'Data shares'!$C:$FB,62)</f>
        <v>758000</v>
      </c>
      <c r="N78" s="49">
        <f>VLOOKUP($A78,'Data shares'!$C:$FB,63)</f>
        <v>1199500</v>
      </c>
      <c r="O78" s="140">
        <f>VLOOKUP($A78,'Data shares'!$C:$FB,65)*100</f>
        <v>-36.809999999999995</v>
      </c>
    </row>
    <row r="79" spans="1:15" x14ac:dyDescent="0.25">
      <c r="A79" s="101" t="str">
        <f>'Data shares'!C74</f>
        <v>HCLTECH</v>
      </c>
      <c r="B79" s="50">
        <f>VLOOKUP($A79,'Data shares'!$C:$FB,7)</f>
        <v>1417.7</v>
      </c>
      <c r="C79" s="50">
        <f>VLOOKUP($A79,'Data shares'!$C:$FB,10)*100</f>
        <v>1.7399999999999998</v>
      </c>
      <c r="D79" s="49">
        <f>VLOOKUP($A79,'Data shares'!$C:$FB,66)</f>
        <v>14502250</v>
      </c>
      <c r="E79" s="49">
        <f>VLOOKUP($A79,'Data shares'!$C:$FB,67)</f>
        <v>8318800</v>
      </c>
      <c r="F79" s="50">
        <f>VLOOKUP($A79,'Data shares'!$C:$FB,69)*100</f>
        <v>74.33</v>
      </c>
      <c r="G79" s="49">
        <f>VLOOKUP($A79,'Data shares'!$C:$FB,42)</f>
        <v>2982350</v>
      </c>
      <c r="H79" s="49">
        <f>VLOOKUP($A79,'Data shares'!$C:$FB,43)</f>
        <v>2330650</v>
      </c>
      <c r="I79" s="50">
        <f>VLOOKUP($A79,'Data shares'!$C:$FB,45)*100</f>
        <v>27.96</v>
      </c>
      <c r="J79" s="49">
        <f>VLOOKUP($A79,'Data shares'!$C:$FB,58)</f>
        <v>8358000</v>
      </c>
      <c r="K79" s="49">
        <f>VLOOKUP($A79,'Data shares'!$C:$FB,59)</f>
        <v>3492650</v>
      </c>
      <c r="L79" s="50">
        <f>VLOOKUP($A79,'Data shares'!$C:$FB,61)*100</f>
        <v>139.30000000000001</v>
      </c>
      <c r="M79" s="49">
        <f>VLOOKUP($A79,'Data shares'!$C:$FB,62)</f>
        <v>3161900</v>
      </c>
      <c r="N79" s="49">
        <f>VLOOKUP($A79,'Data shares'!$C:$FB,63)</f>
        <v>2495500</v>
      </c>
      <c r="O79" s="140">
        <f>VLOOKUP($A79,'Data shares'!$C:$FB,65)*100</f>
        <v>26.700000000000003</v>
      </c>
    </row>
    <row r="80" spans="1:15" x14ac:dyDescent="0.25">
      <c r="A80" s="101" t="str">
        <f>'Data shares'!C75</f>
        <v>HDFCAMC</v>
      </c>
      <c r="B80" s="50">
        <f>VLOOKUP($A80,'Data shares'!$C:$FB,7)</f>
        <v>5661</v>
      </c>
      <c r="C80" s="50">
        <f>VLOOKUP($A80,'Data shares'!$C:$FB,10)*100</f>
        <v>1.25</v>
      </c>
      <c r="D80" s="49">
        <f>VLOOKUP($A80,'Data shares'!$C:$FB,66)</f>
        <v>1455750</v>
      </c>
      <c r="E80" s="49">
        <f>VLOOKUP($A80,'Data shares'!$C:$FB,67)</f>
        <v>1173900</v>
      </c>
      <c r="F80" s="50">
        <f>VLOOKUP($A80,'Data shares'!$C:$FB,69)*100</f>
        <v>24.01</v>
      </c>
      <c r="G80" s="49">
        <f>VLOOKUP($A80,'Data shares'!$C:$FB,42)</f>
        <v>355350</v>
      </c>
      <c r="H80" s="49">
        <f>VLOOKUP($A80,'Data shares'!$C:$FB,43)</f>
        <v>291150</v>
      </c>
      <c r="I80" s="50">
        <f>VLOOKUP($A80,'Data shares'!$C:$FB,45)*100</f>
        <v>22.05</v>
      </c>
      <c r="J80" s="49">
        <f>VLOOKUP($A80,'Data shares'!$C:$FB,58)</f>
        <v>803250</v>
      </c>
      <c r="K80" s="49">
        <f>VLOOKUP($A80,'Data shares'!$C:$FB,59)</f>
        <v>641700</v>
      </c>
      <c r="L80" s="50">
        <f>VLOOKUP($A80,'Data shares'!$C:$FB,61)*100</f>
        <v>25.180000000000003</v>
      </c>
      <c r="M80" s="49">
        <f>VLOOKUP($A80,'Data shares'!$C:$FB,62)</f>
        <v>297150</v>
      </c>
      <c r="N80" s="49">
        <f>VLOOKUP($A80,'Data shares'!$C:$FB,63)</f>
        <v>241050</v>
      </c>
      <c r="O80" s="140">
        <f>VLOOKUP($A80,'Data shares'!$C:$FB,65)*100</f>
        <v>23.27</v>
      </c>
    </row>
    <row r="81" spans="1:15" x14ac:dyDescent="0.25">
      <c r="A81" s="101" t="str">
        <f>'Data shares'!C76</f>
        <v>HDFCBANK</v>
      </c>
      <c r="B81" s="50">
        <f>VLOOKUP($A81,'Data shares'!$C:$FB,7)</f>
        <v>973.45</v>
      </c>
      <c r="C81" s="50">
        <f>VLOOKUP($A81,'Data shares'!$C:$FB,10)*100</f>
        <v>0.86</v>
      </c>
      <c r="D81" s="49">
        <f>VLOOKUP($A81,'Data shares'!$C:$FB,66)</f>
        <v>134278100</v>
      </c>
      <c r="E81" s="49">
        <f>VLOOKUP($A81,'Data shares'!$C:$FB,67)</f>
        <v>118817600</v>
      </c>
      <c r="F81" s="50">
        <f>VLOOKUP($A81,'Data shares'!$C:$FB,69)*100</f>
        <v>13.01</v>
      </c>
      <c r="G81" s="49">
        <f>VLOOKUP($A81,'Data shares'!$C:$FB,42)</f>
        <v>29703300</v>
      </c>
      <c r="H81" s="49">
        <f>VLOOKUP($A81,'Data shares'!$C:$FB,43)</f>
        <v>32978000</v>
      </c>
      <c r="I81" s="50">
        <f>VLOOKUP($A81,'Data shares'!$C:$FB,45)*100</f>
        <v>-9.93</v>
      </c>
      <c r="J81" s="49">
        <f>VLOOKUP($A81,'Data shares'!$C:$FB,58)</f>
        <v>66344300</v>
      </c>
      <c r="K81" s="49">
        <f>VLOOKUP($A81,'Data shares'!$C:$FB,59)</f>
        <v>54112300</v>
      </c>
      <c r="L81" s="50">
        <f>VLOOKUP($A81,'Data shares'!$C:$FB,61)*100</f>
        <v>22.6</v>
      </c>
      <c r="M81" s="49">
        <f>VLOOKUP($A81,'Data shares'!$C:$FB,62)</f>
        <v>38230500</v>
      </c>
      <c r="N81" s="49">
        <f>VLOOKUP($A81,'Data shares'!$C:$FB,63)</f>
        <v>31727300</v>
      </c>
      <c r="O81" s="140">
        <f>VLOOKUP($A81,'Data shares'!$C:$FB,65)*100</f>
        <v>20.5</v>
      </c>
    </row>
    <row r="82" spans="1:15" x14ac:dyDescent="0.25">
      <c r="A82" s="101" t="str">
        <f>'Data shares'!C77</f>
        <v>HDFCLIFE</v>
      </c>
      <c r="B82" s="50">
        <f>VLOOKUP($A82,'Data shares'!$C:$FB,7)</f>
        <v>763.05</v>
      </c>
      <c r="C82" s="50">
        <f>VLOOKUP($A82,'Data shares'!$C:$FB,10)*100</f>
        <v>0.51</v>
      </c>
      <c r="D82" s="49">
        <f>VLOOKUP($A82,'Data shares'!$C:$FB,66)</f>
        <v>10257500</v>
      </c>
      <c r="E82" s="49">
        <f>VLOOKUP($A82,'Data shares'!$C:$FB,67)</f>
        <v>11100100</v>
      </c>
      <c r="F82" s="50">
        <f>VLOOKUP($A82,'Data shares'!$C:$FB,69)*100</f>
        <v>-7.59</v>
      </c>
      <c r="G82" s="49">
        <f>VLOOKUP($A82,'Data shares'!$C:$FB,42)</f>
        <v>2504700</v>
      </c>
      <c r="H82" s="49">
        <f>VLOOKUP($A82,'Data shares'!$C:$FB,43)</f>
        <v>3076700</v>
      </c>
      <c r="I82" s="50">
        <f>VLOOKUP($A82,'Data shares'!$C:$FB,45)*100</f>
        <v>-18.59</v>
      </c>
      <c r="J82" s="49">
        <f>VLOOKUP($A82,'Data shares'!$C:$FB,58)</f>
        <v>5299800</v>
      </c>
      <c r="K82" s="49">
        <f>VLOOKUP($A82,'Data shares'!$C:$FB,59)</f>
        <v>5449400</v>
      </c>
      <c r="L82" s="50">
        <f>VLOOKUP($A82,'Data shares'!$C:$FB,61)*100</f>
        <v>-2.75</v>
      </c>
      <c r="M82" s="49">
        <f>VLOOKUP($A82,'Data shares'!$C:$FB,62)</f>
        <v>2453000</v>
      </c>
      <c r="N82" s="49">
        <f>VLOOKUP($A82,'Data shares'!$C:$FB,63)</f>
        <v>2574000</v>
      </c>
      <c r="O82" s="140">
        <f>VLOOKUP($A82,'Data shares'!$C:$FB,65)*100</f>
        <v>-4.7</v>
      </c>
    </row>
    <row r="83" spans="1:15" x14ac:dyDescent="0.25">
      <c r="A83" s="101" t="str">
        <f>'Data shares'!C78</f>
        <v>HEROMOTOCO</v>
      </c>
      <c r="B83" s="50">
        <f>VLOOKUP($A83,'Data shares'!$C:$FB,7)</f>
        <v>5581.5</v>
      </c>
      <c r="C83" s="50">
        <f>VLOOKUP($A83,'Data shares'!$C:$FB,10)*100</f>
        <v>0.55999999999999994</v>
      </c>
      <c r="D83" s="49">
        <f>VLOOKUP($A83,'Data shares'!$C:$FB,66)</f>
        <v>7271550</v>
      </c>
      <c r="E83" s="49">
        <f>VLOOKUP($A83,'Data shares'!$C:$FB,67)</f>
        <v>22976550</v>
      </c>
      <c r="F83" s="50">
        <f>VLOOKUP($A83,'Data shares'!$C:$FB,69)*100</f>
        <v>-68.349999999999994</v>
      </c>
      <c r="G83" s="49">
        <f>VLOOKUP($A83,'Data shares'!$C:$FB,42)</f>
        <v>1056000</v>
      </c>
      <c r="H83" s="49">
        <f>VLOOKUP($A83,'Data shares'!$C:$FB,43)</f>
        <v>2286300</v>
      </c>
      <c r="I83" s="50">
        <f>VLOOKUP($A83,'Data shares'!$C:$FB,45)*100</f>
        <v>-53.81</v>
      </c>
      <c r="J83" s="49">
        <f>VLOOKUP($A83,'Data shares'!$C:$FB,58)</f>
        <v>4121100</v>
      </c>
      <c r="K83" s="49">
        <f>VLOOKUP($A83,'Data shares'!$C:$FB,59)</f>
        <v>14166750</v>
      </c>
      <c r="L83" s="50">
        <f>VLOOKUP($A83,'Data shares'!$C:$FB,61)*100</f>
        <v>-70.91</v>
      </c>
      <c r="M83" s="49">
        <f>VLOOKUP($A83,'Data shares'!$C:$FB,62)</f>
        <v>2094450</v>
      </c>
      <c r="N83" s="49">
        <f>VLOOKUP($A83,'Data shares'!$C:$FB,63)</f>
        <v>6523500</v>
      </c>
      <c r="O83" s="140">
        <f>VLOOKUP($A83,'Data shares'!$C:$FB,65)*100</f>
        <v>-67.89</v>
      </c>
    </row>
    <row r="84" spans="1:15" x14ac:dyDescent="0.25">
      <c r="A84" s="101" t="str">
        <f>'Data shares'!C79</f>
        <v>HFCL</v>
      </c>
      <c r="B84" s="50">
        <f>VLOOKUP($A84,'Data shares'!$C:$FB,7)</f>
        <v>74.44</v>
      </c>
      <c r="C84" s="50">
        <f>VLOOKUP($A84,'Data shares'!$C:$FB,10)*100</f>
        <v>-1.8800000000000001</v>
      </c>
      <c r="D84" s="49">
        <f>VLOOKUP($A84,'Data shares'!$C:$FB,66)</f>
        <v>62552100</v>
      </c>
      <c r="E84" s="49">
        <f>VLOOKUP($A84,'Data shares'!$C:$FB,67)</f>
        <v>133843950</v>
      </c>
      <c r="F84" s="50">
        <f>VLOOKUP($A84,'Data shares'!$C:$FB,69)*100</f>
        <v>-53.26</v>
      </c>
      <c r="G84" s="49">
        <f>VLOOKUP($A84,'Data shares'!$C:$FB,42)</f>
        <v>18917850</v>
      </c>
      <c r="H84" s="49">
        <f>VLOOKUP($A84,'Data shares'!$C:$FB,43)</f>
        <v>38009850</v>
      </c>
      <c r="I84" s="50">
        <f>VLOOKUP($A84,'Data shares'!$C:$FB,45)*100</f>
        <v>-50.23</v>
      </c>
      <c r="J84" s="49">
        <f>VLOOKUP($A84,'Data shares'!$C:$FB,58)</f>
        <v>34475250</v>
      </c>
      <c r="K84" s="49">
        <f>VLOOKUP($A84,'Data shares'!$C:$FB,59)</f>
        <v>64635450</v>
      </c>
      <c r="L84" s="50">
        <f>VLOOKUP($A84,'Data shares'!$C:$FB,61)*100</f>
        <v>-46.660000000000004</v>
      </c>
      <c r="M84" s="49">
        <f>VLOOKUP($A84,'Data shares'!$C:$FB,62)</f>
        <v>9159000</v>
      </c>
      <c r="N84" s="49">
        <f>VLOOKUP($A84,'Data shares'!$C:$FB,63)</f>
        <v>31198650</v>
      </c>
      <c r="O84" s="140">
        <f>VLOOKUP($A84,'Data shares'!$C:$FB,65)*100</f>
        <v>-70.64</v>
      </c>
    </row>
    <row r="85" spans="1:15" x14ac:dyDescent="0.25">
      <c r="A85" s="101" t="str">
        <f>'Data shares'!C80</f>
        <v>HINDALCO</v>
      </c>
      <c r="B85" s="50">
        <f>VLOOKUP($A85,'Data shares'!$C:$FB,7)</f>
        <v>776.7</v>
      </c>
      <c r="C85" s="50">
        <f>VLOOKUP($A85,'Data shares'!$C:$FB,10)*100</f>
        <v>-0.47000000000000003</v>
      </c>
      <c r="D85" s="49">
        <f>VLOOKUP($A85,'Data shares'!$C:$FB,66)</f>
        <v>35292600</v>
      </c>
      <c r="E85" s="49">
        <f>VLOOKUP($A85,'Data shares'!$C:$FB,67)</f>
        <v>106615600</v>
      </c>
      <c r="F85" s="50">
        <f>VLOOKUP($A85,'Data shares'!$C:$FB,69)*100</f>
        <v>-66.900000000000006</v>
      </c>
      <c r="G85" s="49">
        <f>VLOOKUP($A85,'Data shares'!$C:$FB,42)</f>
        <v>6505800</v>
      </c>
      <c r="H85" s="49">
        <f>VLOOKUP($A85,'Data shares'!$C:$FB,43)</f>
        <v>12189800</v>
      </c>
      <c r="I85" s="50">
        <f>VLOOKUP($A85,'Data shares'!$C:$FB,45)*100</f>
        <v>-46.63</v>
      </c>
      <c r="J85" s="49">
        <f>VLOOKUP($A85,'Data shares'!$C:$FB,58)</f>
        <v>18884600</v>
      </c>
      <c r="K85" s="49">
        <f>VLOOKUP($A85,'Data shares'!$C:$FB,59)</f>
        <v>66682000</v>
      </c>
      <c r="L85" s="50">
        <f>VLOOKUP($A85,'Data shares'!$C:$FB,61)*100</f>
        <v>-71.679999999999993</v>
      </c>
      <c r="M85" s="49">
        <f>VLOOKUP($A85,'Data shares'!$C:$FB,62)</f>
        <v>9902200</v>
      </c>
      <c r="N85" s="49">
        <f>VLOOKUP($A85,'Data shares'!$C:$FB,63)</f>
        <v>27743800</v>
      </c>
      <c r="O85" s="140">
        <f>VLOOKUP($A85,'Data shares'!$C:$FB,65)*100</f>
        <v>-64.31</v>
      </c>
    </row>
    <row r="86" spans="1:15" x14ac:dyDescent="0.25">
      <c r="A86" s="101" t="str">
        <f>'Data shares'!C81</f>
        <v>HINDPETRO</v>
      </c>
      <c r="B86" s="50">
        <f>VLOOKUP($A86,'Data shares'!$C:$FB,7)</f>
        <v>456.3</v>
      </c>
      <c r="C86" s="50">
        <f>VLOOKUP($A86,'Data shares'!$C:$FB,10)*100</f>
        <v>2.2399999999999998</v>
      </c>
      <c r="D86" s="49">
        <f>VLOOKUP($A86,'Data shares'!$C:$FB,66)</f>
        <v>77057325</v>
      </c>
      <c r="E86" s="49">
        <f>VLOOKUP($A86,'Data shares'!$C:$FB,67)</f>
        <v>54089775</v>
      </c>
      <c r="F86" s="50">
        <f>VLOOKUP($A86,'Data shares'!$C:$FB,69)*100</f>
        <v>42.46</v>
      </c>
      <c r="G86" s="49">
        <f>VLOOKUP($A86,'Data shares'!$C:$FB,42)</f>
        <v>14468625</v>
      </c>
      <c r="H86" s="49">
        <f>VLOOKUP($A86,'Data shares'!$C:$FB,43)</f>
        <v>11981925</v>
      </c>
      <c r="I86" s="50">
        <f>VLOOKUP($A86,'Data shares'!$C:$FB,45)*100</f>
        <v>20.75</v>
      </c>
      <c r="J86" s="49">
        <f>VLOOKUP($A86,'Data shares'!$C:$FB,58)</f>
        <v>42150375</v>
      </c>
      <c r="K86" s="49">
        <f>VLOOKUP($A86,'Data shares'!$C:$FB,59)</f>
        <v>29297700</v>
      </c>
      <c r="L86" s="50">
        <f>VLOOKUP($A86,'Data shares'!$C:$FB,61)*100</f>
        <v>43.87</v>
      </c>
      <c r="M86" s="49">
        <f>VLOOKUP($A86,'Data shares'!$C:$FB,62)</f>
        <v>20438325</v>
      </c>
      <c r="N86" s="49">
        <f>VLOOKUP($A86,'Data shares'!$C:$FB,63)</f>
        <v>12810150</v>
      </c>
      <c r="O86" s="140">
        <f>VLOOKUP($A86,'Data shares'!$C:$FB,65)*100</f>
        <v>59.550000000000004</v>
      </c>
    </row>
    <row r="87" spans="1:15" x14ac:dyDescent="0.25">
      <c r="A87" s="101" t="str">
        <f>'Data shares'!C82</f>
        <v>HINDUNILVR</v>
      </c>
      <c r="B87" s="50">
        <f>VLOOKUP($A87,'Data shares'!$C:$FB,7)</f>
        <v>2541.8000000000002</v>
      </c>
      <c r="C87" s="50">
        <f>VLOOKUP($A87,'Data shares'!$C:$FB,10)*100</f>
        <v>-0.12</v>
      </c>
      <c r="D87" s="49">
        <f>VLOOKUP($A87,'Data shares'!$C:$FB,66)</f>
        <v>6858000</v>
      </c>
      <c r="E87" s="49">
        <f>VLOOKUP($A87,'Data shares'!$C:$FB,67)</f>
        <v>8716500</v>
      </c>
      <c r="F87" s="50">
        <f>VLOOKUP($A87,'Data shares'!$C:$FB,69)*100</f>
        <v>-21.32</v>
      </c>
      <c r="G87" s="49">
        <f>VLOOKUP($A87,'Data shares'!$C:$FB,42)</f>
        <v>1370400</v>
      </c>
      <c r="H87" s="49">
        <f>VLOOKUP($A87,'Data shares'!$C:$FB,43)</f>
        <v>1731600</v>
      </c>
      <c r="I87" s="50">
        <f>VLOOKUP($A87,'Data shares'!$C:$FB,45)*100</f>
        <v>-20.86</v>
      </c>
      <c r="J87" s="49">
        <f>VLOOKUP($A87,'Data shares'!$C:$FB,58)</f>
        <v>3312900</v>
      </c>
      <c r="K87" s="49">
        <f>VLOOKUP($A87,'Data shares'!$C:$FB,59)</f>
        <v>3982500</v>
      </c>
      <c r="L87" s="50">
        <f>VLOOKUP($A87,'Data shares'!$C:$FB,61)*100</f>
        <v>-16.809999999999999</v>
      </c>
      <c r="M87" s="49">
        <f>VLOOKUP($A87,'Data shares'!$C:$FB,62)</f>
        <v>2174700</v>
      </c>
      <c r="N87" s="49">
        <f>VLOOKUP($A87,'Data shares'!$C:$FB,63)</f>
        <v>3002400</v>
      </c>
      <c r="O87" s="140">
        <f>VLOOKUP($A87,'Data shares'!$C:$FB,65)*100</f>
        <v>-27.57</v>
      </c>
    </row>
    <row r="88" spans="1:15" x14ac:dyDescent="0.25">
      <c r="A88" s="101" t="str">
        <f>'Data shares'!C83</f>
        <v>HINDZINC</v>
      </c>
      <c r="B88" s="50">
        <f>VLOOKUP($A88,'Data shares'!$C:$FB,7)</f>
        <v>491.5</v>
      </c>
      <c r="C88" s="50">
        <f>VLOOKUP($A88,'Data shares'!$C:$FB,10)*100</f>
        <v>0</v>
      </c>
      <c r="D88" s="49">
        <f>VLOOKUP($A88,'Data shares'!$C:$FB,66)</f>
        <v>30986375</v>
      </c>
      <c r="E88" s="49">
        <f>VLOOKUP($A88,'Data shares'!$C:$FB,67)</f>
        <v>73503675</v>
      </c>
      <c r="F88" s="50">
        <f>VLOOKUP($A88,'Data shares'!$C:$FB,69)*100</f>
        <v>-57.84</v>
      </c>
      <c r="G88" s="49">
        <f>VLOOKUP($A88,'Data shares'!$C:$FB,42)</f>
        <v>6296500</v>
      </c>
      <c r="H88" s="49">
        <f>VLOOKUP($A88,'Data shares'!$C:$FB,43)</f>
        <v>12371275</v>
      </c>
      <c r="I88" s="50">
        <f>VLOOKUP($A88,'Data shares'!$C:$FB,45)*100</f>
        <v>-49.1</v>
      </c>
      <c r="J88" s="49">
        <f>VLOOKUP($A88,'Data shares'!$C:$FB,58)</f>
        <v>18512200</v>
      </c>
      <c r="K88" s="49">
        <f>VLOOKUP($A88,'Data shares'!$C:$FB,59)</f>
        <v>47213950</v>
      </c>
      <c r="L88" s="50">
        <f>VLOOKUP($A88,'Data shares'!$C:$FB,61)*100</f>
        <v>-60.79</v>
      </c>
      <c r="M88" s="49">
        <f>VLOOKUP($A88,'Data shares'!$C:$FB,62)</f>
        <v>6177675</v>
      </c>
      <c r="N88" s="49">
        <f>VLOOKUP($A88,'Data shares'!$C:$FB,63)</f>
        <v>13918450</v>
      </c>
      <c r="O88" s="140">
        <f>VLOOKUP($A88,'Data shares'!$C:$FB,65)*100</f>
        <v>-55.620000000000005</v>
      </c>
    </row>
    <row r="89" spans="1:15" x14ac:dyDescent="0.25">
      <c r="A89" s="101" t="str">
        <f>'Data shares'!C84</f>
        <v>HUDCO</v>
      </c>
      <c r="B89" s="50">
        <f>VLOOKUP($A89,'Data shares'!$C:$FB,7)</f>
        <v>230.91</v>
      </c>
      <c r="C89" s="50">
        <f>VLOOKUP($A89,'Data shares'!$C:$FB,10)*100</f>
        <v>-1.23</v>
      </c>
      <c r="D89" s="49">
        <f>VLOOKUP($A89,'Data shares'!$C:$FB,66)</f>
        <v>21794850</v>
      </c>
      <c r="E89" s="49">
        <f>VLOOKUP($A89,'Data shares'!$C:$FB,67)</f>
        <v>35547750</v>
      </c>
      <c r="F89" s="50">
        <f>VLOOKUP($A89,'Data shares'!$C:$FB,69)*100</f>
        <v>-38.690000000000005</v>
      </c>
      <c r="G89" s="49">
        <f>VLOOKUP($A89,'Data shares'!$C:$FB,42)</f>
        <v>4320675</v>
      </c>
      <c r="H89" s="49">
        <f>VLOOKUP($A89,'Data shares'!$C:$FB,43)</f>
        <v>6826500</v>
      </c>
      <c r="I89" s="50">
        <f>VLOOKUP($A89,'Data shares'!$C:$FB,45)*100</f>
        <v>-36.71</v>
      </c>
      <c r="J89" s="49">
        <f>VLOOKUP($A89,'Data shares'!$C:$FB,58)</f>
        <v>12287700</v>
      </c>
      <c r="K89" s="49">
        <f>VLOOKUP($A89,'Data shares'!$C:$FB,59)</f>
        <v>19738575</v>
      </c>
      <c r="L89" s="50">
        <f>VLOOKUP($A89,'Data shares'!$C:$FB,61)*100</f>
        <v>-37.75</v>
      </c>
      <c r="M89" s="49">
        <f>VLOOKUP($A89,'Data shares'!$C:$FB,62)</f>
        <v>5186475</v>
      </c>
      <c r="N89" s="49">
        <f>VLOOKUP($A89,'Data shares'!$C:$FB,63)</f>
        <v>8982675</v>
      </c>
      <c r="O89" s="140">
        <f>VLOOKUP($A89,'Data shares'!$C:$FB,65)*100</f>
        <v>-42.26</v>
      </c>
    </row>
    <row r="90" spans="1:15" x14ac:dyDescent="0.25">
      <c r="A90" s="101" t="str">
        <f>'Data shares'!C85</f>
        <v>ICICIBANK</v>
      </c>
      <c r="B90" s="50">
        <f>VLOOKUP($A90,'Data shares'!$C:$FB,7)</f>
        <v>1363.4</v>
      </c>
      <c r="C90" s="50">
        <f>VLOOKUP($A90,'Data shares'!$C:$FB,10)*100</f>
        <v>-0.13</v>
      </c>
      <c r="D90" s="49">
        <f>VLOOKUP($A90,'Data shares'!$C:$FB,66)</f>
        <v>67213300</v>
      </c>
      <c r="E90" s="49">
        <f>VLOOKUP($A90,'Data shares'!$C:$FB,67)</f>
        <v>55589800</v>
      </c>
      <c r="F90" s="50">
        <f>VLOOKUP($A90,'Data shares'!$C:$FB,69)*100</f>
        <v>20.91</v>
      </c>
      <c r="G90" s="49">
        <f>VLOOKUP($A90,'Data shares'!$C:$FB,42)</f>
        <v>14511700</v>
      </c>
      <c r="H90" s="49">
        <f>VLOOKUP($A90,'Data shares'!$C:$FB,43)</f>
        <v>14118300</v>
      </c>
      <c r="I90" s="50">
        <f>VLOOKUP($A90,'Data shares'!$C:$FB,45)*100</f>
        <v>2.79</v>
      </c>
      <c r="J90" s="49">
        <f>VLOOKUP($A90,'Data shares'!$C:$FB,58)</f>
        <v>33875100</v>
      </c>
      <c r="K90" s="49">
        <f>VLOOKUP($A90,'Data shares'!$C:$FB,59)</f>
        <v>25479300</v>
      </c>
      <c r="L90" s="50">
        <f>VLOOKUP($A90,'Data shares'!$C:$FB,61)*100</f>
        <v>32.950000000000003</v>
      </c>
      <c r="M90" s="49">
        <f>VLOOKUP($A90,'Data shares'!$C:$FB,62)</f>
        <v>18826500</v>
      </c>
      <c r="N90" s="49">
        <f>VLOOKUP($A90,'Data shares'!$C:$FB,63)</f>
        <v>15992200</v>
      </c>
      <c r="O90" s="140">
        <f>VLOOKUP($A90,'Data shares'!$C:$FB,65)*100</f>
        <v>17.72</v>
      </c>
    </row>
    <row r="91" spans="1:15" x14ac:dyDescent="0.25">
      <c r="A91" s="101" t="str">
        <f>'Data shares'!C86</f>
        <v>ICICIGI</v>
      </c>
      <c r="B91" s="50">
        <f>VLOOKUP($A91,'Data shares'!$C:$FB,7)</f>
        <v>1925.8</v>
      </c>
      <c r="C91" s="50">
        <f>VLOOKUP($A91,'Data shares'!$C:$FB,10)*100</f>
        <v>0.74</v>
      </c>
      <c r="D91" s="49">
        <f>VLOOKUP($A91,'Data shares'!$C:$FB,66)</f>
        <v>1468675</v>
      </c>
      <c r="E91" s="49">
        <f>VLOOKUP($A91,'Data shares'!$C:$FB,67)</f>
        <v>1435525</v>
      </c>
      <c r="F91" s="50">
        <f>VLOOKUP($A91,'Data shares'!$C:$FB,69)*100</f>
        <v>2.31</v>
      </c>
      <c r="G91" s="49">
        <f>VLOOKUP($A91,'Data shares'!$C:$FB,42)</f>
        <v>460200</v>
      </c>
      <c r="H91" s="49">
        <f>VLOOKUP($A91,'Data shares'!$C:$FB,43)</f>
        <v>444600</v>
      </c>
      <c r="I91" s="50">
        <f>VLOOKUP($A91,'Data shares'!$C:$FB,45)*100</f>
        <v>3.51</v>
      </c>
      <c r="J91" s="49">
        <f>VLOOKUP($A91,'Data shares'!$C:$FB,58)</f>
        <v>791700</v>
      </c>
      <c r="K91" s="49">
        <f>VLOOKUP($A91,'Data shares'!$C:$FB,59)</f>
        <v>713050</v>
      </c>
      <c r="L91" s="50">
        <f>VLOOKUP($A91,'Data shares'!$C:$FB,61)*100</f>
        <v>11.03</v>
      </c>
      <c r="M91" s="49">
        <f>VLOOKUP($A91,'Data shares'!$C:$FB,62)</f>
        <v>216775</v>
      </c>
      <c r="N91" s="49">
        <f>VLOOKUP($A91,'Data shares'!$C:$FB,63)</f>
        <v>277875</v>
      </c>
      <c r="O91" s="140">
        <f>VLOOKUP($A91,'Data shares'!$C:$FB,65)*100</f>
        <v>-21.990000000000002</v>
      </c>
    </row>
    <row r="92" spans="1:15" x14ac:dyDescent="0.25">
      <c r="A92" s="101" t="str">
        <f>'Data shares'!C87</f>
        <v>ICICIPRULI</v>
      </c>
      <c r="B92" s="50">
        <f>VLOOKUP($A92,'Data shares'!$C:$FB,7)</f>
        <v>600.45000000000005</v>
      </c>
      <c r="C92" s="50">
        <f>VLOOKUP($A92,'Data shares'!$C:$FB,10)*100</f>
        <v>-0.11</v>
      </c>
      <c r="D92" s="49">
        <f>VLOOKUP($A92,'Data shares'!$C:$FB,66)</f>
        <v>2876750</v>
      </c>
      <c r="E92" s="49">
        <f>VLOOKUP($A92,'Data shares'!$C:$FB,67)</f>
        <v>3755500</v>
      </c>
      <c r="F92" s="50">
        <f>VLOOKUP($A92,'Data shares'!$C:$FB,69)*100</f>
        <v>-23.400000000000002</v>
      </c>
      <c r="G92" s="49">
        <f>VLOOKUP($A92,'Data shares'!$C:$FB,42)</f>
        <v>1197875</v>
      </c>
      <c r="H92" s="49">
        <f>VLOOKUP($A92,'Data shares'!$C:$FB,43)</f>
        <v>1884225</v>
      </c>
      <c r="I92" s="50">
        <f>VLOOKUP($A92,'Data shares'!$C:$FB,45)*100</f>
        <v>-36.43</v>
      </c>
      <c r="J92" s="49">
        <f>VLOOKUP($A92,'Data shares'!$C:$FB,58)</f>
        <v>1147925</v>
      </c>
      <c r="K92" s="49">
        <f>VLOOKUP($A92,'Data shares'!$C:$FB,59)</f>
        <v>1175675</v>
      </c>
      <c r="L92" s="50">
        <f>VLOOKUP($A92,'Data shares'!$C:$FB,61)*100</f>
        <v>-2.36</v>
      </c>
      <c r="M92" s="49">
        <f>VLOOKUP($A92,'Data shares'!$C:$FB,62)</f>
        <v>530950</v>
      </c>
      <c r="N92" s="49">
        <f>VLOOKUP($A92,'Data shares'!$C:$FB,63)</f>
        <v>695600</v>
      </c>
      <c r="O92" s="140">
        <f>VLOOKUP($A92,'Data shares'!$C:$FB,65)*100</f>
        <v>-23.669999999999998</v>
      </c>
    </row>
    <row r="93" spans="1:15" x14ac:dyDescent="0.25">
      <c r="A93" s="101" t="str">
        <f>'Data shares'!C88</f>
        <v>IDEA</v>
      </c>
      <c r="B93" s="50">
        <f>VLOOKUP($A93,'Data shares'!$C:$FB,7)</f>
        <v>8.4700000000000006</v>
      </c>
      <c r="C93" s="50">
        <f>VLOOKUP($A93,'Data shares'!$C:$FB,10)*100</f>
        <v>-3.9699999999999998</v>
      </c>
      <c r="D93" s="49">
        <f>VLOOKUP($A93,'Data shares'!$C:$FB,66)</f>
        <v>6536960550</v>
      </c>
      <c r="E93" s="49">
        <f>VLOOKUP($A93,'Data shares'!$C:$FB,67)</f>
        <v>2803035075</v>
      </c>
      <c r="F93" s="50">
        <f>VLOOKUP($A93,'Data shares'!$C:$FB,69)*100</f>
        <v>133.21</v>
      </c>
      <c r="G93" s="49">
        <f>VLOOKUP($A93,'Data shares'!$C:$FB,42)</f>
        <v>1880793150</v>
      </c>
      <c r="H93" s="49">
        <f>VLOOKUP($A93,'Data shares'!$C:$FB,43)</f>
        <v>916666875</v>
      </c>
      <c r="I93" s="50">
        <f>VLOOKUP($A93,'Data shares'!$C:$FB,45)*100</f>
        <v>105.18</v>
      </c>
      <c r="J93" s="49">
        <f>VLOOKUP($A93,'Data shares'!$C:$FB,58)</f>
        <v>3552950775</v>
      </c>
      <c r="K93" s="49">
        <f>VLOOKUP($A93,'Data shares'!$C:$FB,59)</f>
        <v>1600039350</v>
      </c>
      <c r="L93" s="50">
        <f>VLOOKUP($A93,'Data shares'!$C:$FB,61)*100</f>
        <v>122.05</v>
      </c>
      <c r="M93" s="49">
        <f>VLOOKUP($A93,'Data shares'!$C:$FB,62)</f>
        <v>1103216625</v>
      </c>
      <c r="N93" s="49">
        <f>VLOOKUP($A93,'Data shares'!$C:$FB,63)</f>
        <v>286328850</v>
      </c>
      <c r="O93" s="140">
        <f>VLOOKUP($A93,'Data shares'!$C:$FB,65)*100</f>
        <v>285.3</v>
      </c>
    </row>
    <row r="94" spans="1:15" x14ac:dyDescent="0.25">
      <c r="A94" s="101" t="str">
        <f>'Data shares'!C89</f>
        <v>IDFCFIRSTB</v>
      </c>
      <c r="B94" s="50">
        <f>VLOOKUP($A94,'Data shares'!$C:$FB,7)</f>
        <v>71.09</v>
      </c>
      <c r="C94" s="50">
        <f>VLOOKUP($A94,'Data shares'!$C:$FB,10)*100</f>
        <v>2.97</v>
      </c>
      <c r="D94" s="49">
        <f>VLOOKUP($A94,'Data shares'!$C:$FB,66)</f>
        <v>339418625</v>
      </c>
      <c r="E94" s="49">
        <f>VLOOKUP($A94,'Data shares'!$C:$FB,67)</f>
        <v>136481625</v>
      </c>
      <c r="F94" s="50">
        <f>VLOOKUP($A94,'Data shares'!$C:$FB,69)*100</f>
        <v>148.69</v>
      </c>
      <c r="G94" s="49">
        <f>VLOOKUP($A94,'Data shares'!$C:$FB,42)</f>
        <v>86656325</v>
      </c>
      <c r="H94" s="49">
        <f>VLOOKUP($A94,'Data shares'!$C:$FB,43)</f>
        <v>29633625</v>
      </c>
      <c r="I94" s="50">
        <f>VLOOKUP($A94,'Data shares'!$C:$FB,45)*100</f>
        <v>192.42999999999998</v>
      </c>
      <c r="J94" s="49">
        <f>VLOOKUP($A94,'Data shares'!$C:$FB,58)</f>
        <v>170279725</v>
      </c>
      <c r="K94" s="49">
        <f>VLOOKUP($A94,'Data shares'!$C:$FB,59)</f>
        <v>77038150</v>
      </c>
      <c r="L94" s="50">
        <f>VLOOKUP($A94,'Data shares'!$C:$FB,61)*100</f>
        <v>121.02999999999999</v>
      </c>
      <c r="M94" s="49">
        <f>VLOOKUP($A94,'Data shares'!$C:$FB,62)</f>
        <v>82482575</v>
      </c>
      <c r="N94" s="49">
        <f>VLOOKUP($A94,'Data shares'!$C:$FB,63)</f>
        <v>29809850</v>
      </c>
      <c r="O94" s="140">
        <f>VLOOKUP($A94,'Data shares'!$C:$FB,65)*100</f>
        <v>176.7</v>
      </c>
    </row>
    <row r="95" spans="1:15" x14ac:dyDescent="0.25">
      <c r="A95" s="101" t="str">
        <f>'Data shares'!C90</f>
        <v>IEX</v>
      </c>
      <c r="B95" s="50">
        <f>VLOOKUP($A95,'Data shares'!$C:$FB,7)</f>
        <v>142.55000000000001</v>
      </c>
      <c r="C95" s="50">
        <f>VLOOKUP($A95,'Data shares'!$C:$FB,10)*100</f>
        <v>-0.72</v>
      </c>
      <c r="D95" s="49">
        <f>VLOOKUP($A95,'Data shares'!$C:$FB,66)</f>
        <v>29970000</v>
      </c>
      <c r="E95" s="49">
        <f>VLOOKUP($A95,'Data shares'!$C:$FB,67)</f>
        <v>67256250</v>
      </c>
      <c r="F95" s="50">
        <f>VLOOKUP($A95,'Data shares'!$C:$FB,69)*100</f>
        <v>-55.44</v>
      </c>
      <c r="G95" s="49">
        <f>VLOOKUP($A95,'Data shares'!$C:$FB,42)</f>
        <v>5032500</v>
      </c>
      <c r="H95" s="49">
        <f>VLOOKUP($A95,'Data shares'!$C:$FB,43)</f>
        <v>10410000</v>
      </c>
      <c r="I95" s="50">
        <f>VLOOKUP($A95,'Data shares'!$C:$FB,45)*100</f>
        <v>-51.66</v>
      </c>
      <c r="J95" s="49">
        <f>VLOOKUP($A95,'Data shares'!$C:$FB,58)</f>
        <v>17988750</v>
      </c>
      <c r="K95" s="49">
        <f>VLOOKUP($A95,'Data shares'!$C:$FB,59)</f>
        <v>38546250</v>
      </c>
      <c r="L95" s="50">
        <f>VLOOKUP($A95,'Data shares'!$C:$FB,61)*100</f>
        <v>-53.33</v>
      </c>
      <c r="M95" s="49">
        <f>VLOOKUP($A95,'Data shares'!$C:$FB,62)</f>
        <v>6948750</v>
      </c>
      <c r="N95" s="49">
        <f>VLOOKUP($A95,'Data shares'!$C:$FB,63)</f>
        <v>18300000</v>
      </c>
      <c r="O95" s="140">
        <f>VLOOKUP($A95,'Data shares'!$C:$FB,65)*100</f>
        <v>-62.029999999999994</v>
      </c>
    </row>
    <row r="96" spans="1:15" x14ac:dyDescent="0.25">
      <c r="A96" s="101" t="str">
        <f>'Data shares'!C91</f>
        <v>IGL</v>
      </c>
      <c r="B96" s="50">
        <f>VLOOKUP($A96,'Data shares'!$C:$FB,7)</f>
        <v>208.06</v>
      </c>
      <c r="C96" s="50">
        <f>VLOOKUP($A96,'Data shares'!$C:$FB,10)*100</f>
        <v>-0.45999999999999996</v>
      </c>
      <c r="D96" s="49">
        <f>VLOOKUP($A96,'Data shares'!$C:$FB,66)</f>
        <v>9432500</v>
      </c>
      <c r="E96" s="49">
        <f>VLOOKUP($A96,'Data shares'!$C:$FB,67)</f>
        <v>14085500</v>
      </c>
      <c r="F96" s="50">
        <f>VLOOKUP($A96,'Data shares'!$C:$FB,69)*100</f>
        <v>-33.03</v>
      </c>
      <c r="G96" s="49">
        <f>VLOOKUP($A96,'Data shares'!$C:$FB,42)</f>
        <v>3489750</v>
      </c>
      <c r="H96" s="49">
        <f>VLOOKUP($A96,'Data shares'!$C:$FB,43)</f>
        <v>4903250</v>
      </c>
      <c r="I96" s="50">
        <f>VLOOKUP($A96,'Data shares'!$C:$FB,45)*100</f>
        <v>-28.83</v>
      </c>
      <c r="J96" s="49">
        <f>VLOOKUP($A96,'Data shares'!$C:$FB,58)</f>
        <v>3993000</v>
      </c>
      <c r="K96" s="49">
        <f>VLOOKUP($A96,'Data shares'!$C:$FB,59)</f>
        <v>5898750</v>
      </c>
      <c r="L96" s="50">
        <f>VLOOKUP($A96,'Data shares'!$C:$FB,61)*100</f>
        <v>-32.31</v>
      </c>
      <c r="M96" s="49">
        <f>VLOOKUP($A96,'Data shares'!$C:$FB,62)</f>
        <v>1949750</v>
      </c>
      <c r="N96" s="49">
        <f>VLOOKUP($A96,'Data shares'!$C:$FB,63)</f>
        <v>3283500</v>
      </c>
      <c r="O96" s="140">
        <f>VLOOKUP($A96,'Data shares'!$C:$FB,65)*100</f>
        <v>-40.619999999999997</v>
      </c>
    </row>
    <row r="97" spans="1:15" x14ac:dyDescent="0.25">
      <c r="A97" s="101" t="str">
        <f>'Data shares'!C92</f>
        <v>IIFL</v>
      </c>
      <c r="B97" s="50">
        <f>VLOOKUP($A97,'Data shares'!$C:$FB,7)</f>
        <v>469.5</v>
      </c>
      <c r="C97" s="50">
        <f>VLOOKUP($A97,'Data shares'!$C:$FB,10)*100</f>
        <v>2.69</v>
      </c>
      <c r="D97" s="49">
        <f>VLOOKUP($A97,'Data shares'!$C:$FB,66)</f>
        <v>15866400</v>
      </c>
      <c r="E97" s="49">
        <f>VLOOKUP($A97,'Data shares'!$C:$FB,67)</f>
        <v>26495700</v>
      </c>
      <c r="F97" s="50">
        <f>VLOOKUP($A97,'Data shares'!$C:$FB,69)*100</f>
        <v>-40.119999999999997</v>
      </c>
      <c r="G97" s="49">
        <f>VLOOKUP($A97,'Data shares'!$C:$FB,42)</f>
        <v>4245450</v>
      </c>
      <c r="H97" s="49">
        <f>VLOOKUP($A97,'Data shares'!$C:$FB,43)</f>
        <v>4725600</v>
      </c>
      <c r="I97" s="50">
        <f>VLOOKUP($A97,'Data shares'!$C:$FB,45)*100</f>
        <v>-10.16</v>
      </c>
      <c r="J97" s="49">
        <f>VLOOKUP($A97,'Data shares'!$C:$FB,58)</f>
        <v>9711900</v>
      </c>
      <c r="K97" s="49">
        <f>VLOOKUP($A97,'Data shares'!$C:$FB,59)</f>
        <v>17407500</v>
      </c>
      <c r="L97" s="50">
        <f>VLOOKUP($A97,'Data shares'!$C:$FB,61)*100</f>
        <v>-44.21</v>
      </c>
      <c r="M97" s="49">
        <f>VLOOKUP($A97,'Data shares'!$C:$FB,62)</f>
        <v>1909050</v>
      </c>
      <c r="N97" s="49">
        <f>VLOOKUP($A97,'Data shares'!$C:$FB,63)</f>
        <v>4362600</v>
      </c>
      <c r="O97" s="140">
        <f>VLOOKUP($A97,'Data shares'!$C:$FB,65)*100</f>
        <v>-56.24</v>
      </c>
    </row>
    <row r="98" spans="1:15" x14ac:dyDescent="0.25">
      <c r="A98" s="101" t="str">
        <f>'Data shares'!C93</f>
        <v>INDHOTEL</v>
      </c>
      <c r="B98" s="50">
        <f>VLOOKUP($A98,'Data shares'!$C:$FB,7)</f>
        <v>723.55</v>
      </c>
      <c r="C98" s="50">
        <f>VLOOKUP($A98,'Data shares'!$C:$FB,10)*100</f>
        <v>-0.12</v>
      </c>
      <c r="D98" s="49">
        <f>VLOOKUP($A98,'Data shares'!$C:$FB,66)</f>
        <v>10861000</v>
      </c>
      <c r="E98" s="49">
        <f>VLOOKUP($A98,'Data shares'!$C:$FB,67)</f>
        <v>9507000</v>
      </c>
      <c r="F98" s="50">
        <f>VLOOKUP($A98,'Data shares'!$C:$FB,69)*100</f>
        <v>14.24</v>
      </c>
      <c r="G98" s="49">
        <f>VLOOKUP($A98,'Data shares'!$C:$FB,42)</f>
        <v>2446000</v>
      </c>
      <c r="H98" s="49">
        <f>VLOOKUP($A98,'Data shares'!$C:$FB,43)</f>
        <v>2082000</v>
      </c>
      <c r="I98" s="50">
        <f>VLOOKUP($A98,'Data shares'!$C:$FB,45)*100</f>
        <v>17.48</v>
      </c>
      <c r="J98" s="49">
        <f>VLOOKUP($A98,'Data shares'!$C:$FB,58)</f>
        <v>6919000</v>
      </c>
      <c r="K98" s="49">
        <f>VLOOKUP($A98,'Data shares'!$C:$FB,59)</f>
        <v>5342000</v>
      </c>
      <c r="L98" s="50">
        <f>VLOOKUP($A98,'Data shares'!$C:$FB,61)*100</f>
        <v>29.520000000000003</v>
      </c>
      <c r="M98" s="49">
        <f>VLOOKUP($A98,'Data shares'!$C:$FB,62)</f>
        <v>1496000</v>
      </c>
      <c r="N98" s="49">
        <f>VLOOKUP($A98,'Data shares'!$C:$FB,63)</f>
        <v>2083000</v>
      </c>
      <c r="O98" s="140">
        <f>VLOOKUP($A98,'Data shares'!$C:$FB,65)*100</f>
        <v>-28.18</v>
      </c>
    </row>
    <row r="99" spans="1:15" x14ac:dyDescent="0.25">
      <c r="A99" s="101" t="str">
        <f>'Data shares'!C94</f>
        <v>INDIANB</v>
      </c>
      <c r="B99" s="50">
        <f>VLOOKUP($A99,'Data shares'!$C:$FB,7)</f>
        <v>758.05</v>
      </c>
      <c r="C99" s="50">
        <f>VLOOKUP($A99,'Data shares'!$C:$FB,10)*100</f>
        <v>-1.03</v>
      </c>
      <c r="D99" s="49">
        <f>VLOOKUP($A99,'Data shares'!$C:$FB,66)</f>
        <v>10663000</v>
      </c>
      <c r="E99" s="49">
        <f>VLOOKUP($A99,'Data shares'!$C:$FB,67)</f>
        <v>17400000</v>
      </c>
      <c r="F99" s="50">
        <f>VLOOKUP($A99,'Data shares'!$C:$FB,69)*100</f>
        <v>-38.72</v>
      </c>
      <c r="G99" s="49">
        <f>VLOOKUP($A99,'Data shares'!$C:$FB,42)</f>
        <v>2498000</v>
      </c>
      <c r="H99" s="49">
        <f>VLOOKUP($A99,'Data shares'!$C:$FB,43)</f>
        <v>3994000</v>
      </c>
      <c r="I99" s="50">
        <f>VLOOKUP($A99,'Data shares'!$C:$FB,45)*100</f>
        <v>-37.46</v>
      </c>
      <c r="J99" s="49">
        <f>VLOOKUP($A99,'Data shares'!$C:$FB,58)</f>
        <v>5914000</v>
      </c>
      <c r="K99" s="49">
        <f>VLOOKUP($A99,'Data shares'!$C:$FB,59)</f>
        <v>9974000</v>
      </c>
      <c r="L99" s="50">
        <f>VLOOKUP($A99,'Data shares'!$C:$FB,61)*100</f>
        <v>-40.71</v>
      </c>
      <c r="M99" s="49">
        <f>VLOOKUP($A99,'Data shares'!$C:$FB,62)</f>
        <v>2251000</v>
      </c>
      <c r="N99" s="49">
        <f>VLOOKUP($A99,'Data shares'!$C:$FB,63)</f>
        <v>3432000</v>
      </c>
      <c r="O99" s="140">
        <f>VLOOKUP($A99,'Data shares'!$C:$FB,65)*100</f>
        <v>-34.410000000000004</v>
      </c>
    </row>
    <row r="100" spans="1:15" x14ac:dyDescent="0.25">
      <c r="A100" s="101" t="str">
        <f>'Data shares'!C95</f>
        <v>INDIAVIX</v>
      </c>
      <c r="B100" s="50">
        <f>VLOOKUP($A100,'Data shares'!$C:$FB,7)</f>
        <v>10.19</v>
      </c>
      <c r="C100" s="50">
        <f>VLOOKUP($A100,'Data shares'!$C:$FB,10)*100</f>
        <v>1.32</v>
      </c>
      <c r="D100" s="49">
        <f>VLOOKUP($A100,'Data shares'!$C:$FB,66)</f>
        <v>0</v>
      </c>
      <c r="E100" s="49">
        <f>VLOOKUP($A100,'Data shares'!$C:$FB,67)</f>
        <v>0</v>
      </c>
      <c r="F100" s="50">
        <f>VLOOKUP($A100,'Data shares'!$C:$FB,69)*100</f>
        <v>0</v>
      </c>
      <c r="G100" s="49">
        <f>VLOOKUP($A100,'Data shares'!$C:$FB,42)</f>
        <v>0</v>
      </c>
      <c r="H100" s="49">
        <f>VLOOKUP($A100,'Data shares'!$C:$FB,43)</f>
        <v>0</v>
      </c>
      <c r="I100" s="50">
        <f>VLOOKUP($A100,'Data shares'!$C:$FB,45)*100</f>
        <v>0</v>
      </c>
      <c r="J100" s="49">
        <f>VLOOKUP($A100,'Data shares'!$C:$FB,58)</f>
        <v>0</v>
      </c>
      <c r="K100" s="49">
        <f>VLOOKUP($A100,'Data shares'!$C:$FB,59)</f>
        <v>0</v>
      </c>
      <c r="L100" s="50">
        <f>VLOOKUP($A100,'Data shares'!$C:$FB,61)*100</f>
        <v>0</v>
      </c>
      <c r="M100" s="49">
        <f>VLOOKUP($A100,'Data shares'!$C:$FB,62)</f>
        <v>0</v>
      </c>
      <c r="N100" s="49">
        <f>VLOOKUP($A100,'Data shares'!$C:$FB,63)</f>
        <v>0</v>
      </c>
      <c r="O100" s="140">
        <f>VLOOKUP($A100,'Data shares'!$C:$FB,65)*100</f>
        <v>0</v>
      </c>
    </row>
    <row r="101" spans="1:15" x14ac:dyDescent="0.25">
      <c r="A101" s="101" t="str">
        <f>'Data shares'!C96</f>
        <v>INDIGO</v>
      </c>
      <c r="B101" s="50">
        <f>VLOOKUP($A101,'Data shares'!$C:$FB,7)</f>
        <v>5694.5</v>
      </c>
      <c r="C101" s="50">
        <f>VLOOKUP($A101,'Data shares'!$C:$FB,10)*100</f>
        <v>0.66</v>
      </c>
      <c r="D101" s="49">
        <f>VLOOKUP($A101,'Data shares'!$C:$FB,66)</f>
        <v>3575850</v>
      </c>
      <c r="E101" s="49">
        <f>VLOOKUP($A101,'Data shares'!$C:$FB,67)</f>
        <v>4359150</v>
      </c>
      <c r="F101" s="50">
        <f>VLOOKUP($A101,'Data shares'!$C:$FB,69)*100</f>
        <v>-17.97</v>
      </c>
      <c r="G101" s="49">
        <f>VLOOKUP($A101,'Data shares'!$C:$FB,42)</f>
        <v>674100</v>
      </c>
      <c r="H101" s="49">
        <f>VLOOKUP($A101,'Data shares'!$C:$FB,43)</f>
        <v>750000</v>
      </c>
      <c r="I101" s="50">
        <f>VLOOKUP($A101,'Data shares'!$C:$FB,45)*100</f>
        <v>-10.119999999999999</v>
      </c>
      <c r="J101" s="49">
        <f>VLOOKUP($A101,'Data shares'!$C:$FB,58)</f>
        <v>1955100</v>
      </c>
      <c r="K101" s="49">
        <f>VLOOKUP($A101,'Data shares'!$C:$FB,59)</f>
        <v>2716050</v>
      </c>
      <c r="L101" s="50">
        <f>VLOOKUP($A101,'Data shares'!$C:$FB,61)*100</f>
        <v>-28.02</v>
      </c>
      <c r="M101" s="49">
        <f>VLOOKUP($A101,'Data shares'!$C:$FB,62)</f>
        <v>946650</v>
      </c>
      <c r="N101" s="49">
        <f>VLOOKUP($A101,'Data shares'!$C:$FB,63)</f>
        <v>893100</v>
      </c>
      <c r="O101" s="140">
        <f>VLOOKUP($A101,'Data shares'!$C:$FB,65)*100</f>
        <v>6</v>
      </c>
    </row>
    <row r="102" spans="1:15" x14ac:dyDescent="0.25">
      <c r="A102" s="101" t="str">
        <f>'Data shares'!C97</f>
        <v>INDUSINDBK</v>
      </c>
      <c r="B102" s="50">
        <f>VLOOKUP($A102,'Data shares'!$C:$FB,7)</f>
        <v>739.3</v>
      </c>
      <c r="C102" s="50">
        <f>VLOOKUP($A102,'Data shares'!$C:$FB,10)*100</f>
        <v>-1.08</v>
      </c>
      <c r="D102" s="49">
        <f>VLOOKUP($A102,'Data shares'!$C:$FB,66)</f>
        <v>34100500</v>
      </c>
      <c r="E102" s="49">
        <f>VLOOKUP($A102,'Data shares'!$C:$FB,67)</f>
        <v>25890200</v>
      </c>
      <c r="F102" s="50">
        <f>VLOOKUP($A102,'Data shares'!$C:$FB,69)*100</f>
        <v>31.71</v>
      </c>
      <c r="G102" s="49">
        <f>VLOOKUP($A102,'Data shares'!$C:$FB,42)</f>
        <v>8389500</v>
      </c>
      <c r="H102" s="49">
        <f>VLOOKUP($A102,'Data shares'!$C:$FB,43)</f>
        <v>6540800</v>
      </c>
      <c r="I102" s="50">
        <f>VLOOKUP($A102,'Data shares'!$C:$FB,45)*100</f>
        <v>28.26</v>
      </c>
      <c r="J102" s="49">
        <f>VLOOKUP($A102,'Data shares'!$C:$FB,58)</f>
        <v>15244600</v>
      </c>
      <c r="K102" s="49">
        <f>VLOOKUP($A102,'Data shares'!$C:$FB,59)</f>
        <v>13335700</v>
      </c>
      <c r="L102" s="50">
        <f>VLOOKUP($A102,'Data shares'!$C:$FB,61)*100</f>
        <v>14.31</v>
      </c>
      <c r="M102" s="49">
        <f>VLOOKUP($A102,'Data shares'!$C:$FB,62)</f>
        <v>10466400</v>
      </c>
      <c r="N102" s="49">
        <f>VLOOKUP($A102,'Data shares'!$C:$FB,63)</f>
        <v>6013700</v>
      </c>
      <c r="O102" s="140">
        <f>VLOOKUP($A102,'Data shares'!$C:$FB,65)*100</f>
        <v>74.039999999999992</v>
      </c>
    </row>
    <row r="103" spans="1:15" x14ac:dyDescent="0.25">
      <c r="A103" s="101" t="str">
        <f>'Data shares'!C98</f>
        <v>INDUSTOWER</v>
      </c>
      <c r="B103" s="50">
        <f>VLOOKUP($A103,'Data shares'!$C:$FB,7)</f>
        <v>353.65</v>
      </c>
      <c r="C103" s="50">
        <f>VLOOKUP($A103,'Data shares'!$C:$FB,10)*100</f>
        <v>0.16</v>
      </c>
      <c r="D103" s="49">
        <f>VLOOKUP($A103,'Data shares'!$C:$FB,66)</f>
        <v>43785200</v>
      </c>
      <c r="E103" s="49">
        <f>VLOOKUP($A103,'Data shares'!$C:$FB,67)</f>
        <v>27245900</v>
      </c>
      <c r="F103" s="50">
        <f>VLOOKUP($A103,'Data shares'!$C:$FB,69)*100</f>
        <v>60.699999999999996</v>
      </c>
      <c r="G103" s="49">
        <f>VLOOKUP($A103,'Data shares'!$C:$FB,42)</f>
        <v>9650900</v>
      </c>
      <c r="H103" s="49">
        <f>VLOOKUP($A103,'Data shares'!$C:$FB,43)</f>
        <v>6854400</v>
      </c>
      <c r="I103" s="50">
        <f>VLOOKUP($A103,'Data shares'!$C:$FB,45)*100</f>
        <v>40.799999999999997</v>
      </c>
      <c r="J103" s="49">
        <f>VLOOKUP($A103,'Data shares'!$C:$FB,58)</f>
        <v>24354200</v>
      </c>
      <c r="K103" s="49">
        <f>VLOOKUP($A103,'Data shares'!$C:$FB,59)</f>
        <v>13856700</v>
      </c>
      <c r="L103" s="50">
        <f>VLOOKUP($A103,'Data shares'!$C:$FB,61)*100</f>
        <v>75.760000000000005</v>
      </c>
      <c r="M103" s="49">
        <f>VLOOKUP($A103,'Data shares'!$C:$FB,62)</f>
        <v>9780100</v>
      </c>
      <c r="N103" s="49">
        <f>VLOOKUP($A103,'Data shares'!$C:$FB,63)</f>
        <v>6534800</v>
      </c>
      <c r="O103" s="140">
        <f>VLOOKUP($A103,'Data shares'!$C:$FB,65)*100</f>
        <v>49.66</v>
      </c>
    </row>
    <row r="104" spans="1:15" x14ac:dyDescent="0.25">
      <c r="A104" s="101" t="str">
        <f>'Data shares'!C99</f>
        <v>INFY</v>
      </c>
      <c r="B104" s="50">
        <f>VLOOKUP($A104,'Data shares'!$C:$FB,7)</f>
        <v>1476</v>
      </c>
      <c r="C104" s="50">
        <f>VLOOKUP($A104,'Data shares'!$C:$FB,10)*100</f>
        <v>2.0299999999999998</v>
      </c>
      <c r="D104" s="49">
        <f>VLOOKUP($A104,'Data shares'!$C:$FB,66)</f>
        <v>52367200</v>
      </c>
      <c r="E104" s="49">
        <f>VLOOKUP($A104,'Data shares'!$C:$FB,67)</f>
        <v>28882000</v>
      </c>
      <c r="F104" s="50">
        <f>VLOOKUP($A104,'Data shares'!$C:$FB,69)*100</f>
        <v>81.31</v>
      </c>
      <c r="G104" s="49">
        <f>VLOOKUP($A104,'Data shares'!$C:$FB,42)</f>
        <v>11422400</v>
      </c>
      <c r="H104" s="49">
        <f>VLOOKUP($A104,'Data shares'!$C:$FB,43)</f>
        <v>6704400</v>
      </c>
      <c r="I104" s="50">
        <f>VLOOKUP($A104,'Data shares'!$C:$FB,45)*100</f>
        <v>70.37</v>
      </c>
      <c r="J104" s="49">
        <f>VLOOKUP($A104,'Data shares'!$C:$FB,58)</f>
        <v>27276400</v>
      </c>
      <c r="K104" s="49">
        <f>VLOOKUP($A104,'Data shares'!$C:$FB,59)</f>
        <v>14551600</v>
      </c>
      <c r="L104" s="50">
        <f>VLOOKUP($A104,'Data shares'!$C:$FB,61)*100</f>
        <v>87.45</v>
      </c>
      <c r="M104" s="49">
        <f>VLOOKUP($A104,'Data shares'!$C:$FB,62)</f>
        <v>13668400</v>
      </c>
      <c r="N104" s="49">
        <f>VLOOKUP($A104,'Data shares'!$C:$FB,63)</f>
        <v>7626000</v>
      </c>
      <c r="O104" s="140">
        <f>VLOOKUP($A104,'Data shares'!$C:$FB,65)*100</f>
        <v>79.23</v>
      </c>
    </row>
    <row r="105" spans="1:15" x14ac:dyDescent="0.25">
      <c r="A105" s="101" t="str">
        <f>'Data shares'!C100</f>
        <v>INOXWIND</v>
      </c>
      <c r="B105" s="50">
        <f>VLOOKUP($A105,'Data shares'!$C:$FB,7)</f>
        <v>139.38</v>
      </c>
      <c r="C105" s="50">
        <f>VLOOKUP($A105,'Data shares'!$C:$FB,10)*100</f>
        <v>-1.41</v>
      </c>
      <c r="D105" s="49">
        <f>VLOOKUP($A105,'Data shares'!$C:$FB,66)</f>
        <v>12770616</v>
      </c>
      <c r="E105" s="49">
        <f>VLOOKUP($A105,'Data shares'!$C:$FB,67)</f>
        <v>12760800</v>
      </c>
      <c r="F105" s="50">
        <f>VLOOKUP($A105,'Data shares'!$C:$FB,69)*100</f>
        <v>0.08</v>
      </c>
      <c r="G105" s="49">
        <f>VLOOKUP($A105,'Data shares'!$C:$FB,42)</f>
        <v>4018016</v>
      </c>
      <c r="H105" s="49">
        <f>VLOOKUP($A105,'Data shares'!$C:$FB,43)</f>
        <v>4780392</v>
      </c>
      <c r="I105" s="50">
        <f>VLOOKUP($A105,'Data shares'!$C:$FB,45)*100</f>
        <v>-15.950000000000001</v>
      </c>
      <c r="J105" s="49">
        <f>VLOOKUP($A105,'Data shares'!$C:$FB,58)</f>
        <v>6547272</v>
      </c>
      <c r="K105" s="49">
        <f>VLOOKUP($A105,'Data shares'!$C:$FB,59)</f>
        <v>6907192</v>
      </c>
      <c r="L105" s="50">
        <f>VLOOKUP($A105,'Data shares'!$C:$FB,61)*100</f>
        <v>-5.21</v>
      </c>
      <c r="M105" s="49">
        <f>VLOOKUP($A105,'Data shares'!$C:$FB,62)</f>
        <v>2205328</v>
      </c>
      <c r="N105" s="49">
        <f>VLOOKUP($A105,'Data shares'!$C:$FB,63)</f>
        <v>1073216</v>
      </c>
      <c r="O105" s="140">
        <f>VLOOKUP($A105,'Data shares'!$C:$FB,65)*100</f>
        <v>105.49</v>
      </c>
    </row>
    <row r="106" spans="1:15" x14ac:dyDescent="0.25">
      <c r="A106" s="101" t="str">
        <f>'Data shares'!C101</f>
        <v>IOC</v>
      </c>
      <c r="B106" s="50">
        <f>VLOOKUP($A106,'Data shares'!$C:$FB,7)</f>
        <v>154.84</v>
      </c>
      <c r="C106" s="50">
        <f>VLOOKUP($A106,'Data shares'!$C:$FB,10)*100</f>
        <v>2.96</v>
      </c>
      <c r="D106" s="49">
        <f>VLOOKUP($A106,'Data shares'!$C:$FB,66)</f>
        <v>158705625</v>
      </c>
      <c r="E106" s="49">
        <f>VLOOKUP($A106,'Data shares'!$C:$FB,67)</f>
        <v>63838125</v>
      </c>
      <c r="F106" s="50">
        <f>VLOOKUP($A106,'Data shares'!$C:$FB,69)*100</f>
        <v>148.60999999999999</v>
      </c>
      <c r="G106" s="49">
        <f>VLOOKUP($A106,'Data shares'!$C:$FB,42)</f>
        <v>28275000</v>
      </c>
      <c r="H106" s="49">
        <f>VLOOKUP($A106,'Data shares'!$C:$FB,43)</f>
        <v>12065625</v>
      </c>
      <c r="I106" s="50">
        <f>VLOOKUP($A106,'Data shares'!$C:$FB,45)*100</f>
        <v>134.34</v>
      </c>
      <c r="J106" s="49">
        <f>VLOOKUP($A106,'Data shares'!$C:$FB,58)</f>
        <v>88101000</v>
      </c>
      <c r="K106" s="49">
        <f>VLOOKUP($A106,'Data shares'!$C:$FB,59)</f>
        <v>35041500</v>
      </c>
      <c r="L106" s="50">
        <f>VLOOKUP($A106,'Data shares'!$C:$FB,61)*100</f>
        <v>151.41999999999999</v>
      </c>
      <c r="M106" s="49">
        <f>VLOOKUP($A106,'Data shares'!$C:$FB,62)</f>
        <v>42329625</v>
      </c>
      <c r="N106" s="49">
        <f>VLOOKUP($A106,'Data shares'!$C:$FB,63)</f>
        <v>16731000</v>
      </c>
      <c r="O106" s="140">
        <f>VLOOKUP($A106,'Data shares'!$C:$FB,65)*100</f>
        <v>153</v>
      </c>
    </row>
    <row r="107" spans="1:15" x14ac:dyDescent="0.25">
      <c r="A107" s="101" t="str">
        <f>'Data shares'!C102</f>
        <v>IRCTC</v>
      </c>
      <c r="B107" s="50">
        <f>VLOOKUP($A107,'Data shares'!$C:$FB,7)</f>
        <v>710.25</v>
      </c>
      <c r="C107" s="50">
        <f>VLOOKUP($A107,'Data shares'!$C:$FB,10)*100</f>
        <v>0.38999999999999996</v>
      </c>
      <c r="D107" s="49">
        <f>VLOOKUP($A107,'Data shares'!$C:$FB,66)</f>
        <v>5265750</v>
      </c>
      <c r="E107" s="49">
        <f>VLOOKUP($A107,'Data shares'!$C:$FB,67)</f>
        <v>5360250</v>
      </c>
      <c r="F107" s="50">
        <f>VLOOKUP($A107,'Data shares'!$C:$FB,69)*100</f>
        <v>-1.76</v>
      </c>
      <c r="G107" s="49">
        <f>VLOOKUP($A107,'Data shares'!$C:$FB,42)</f>
        <v>1175125</v>
      </c>
      <c r="H107" s="49">
        <f>VLOOKUP($A107,'Data shares'!$C:$FB,43)</f>
        <v>1216250</v>
      </c>
      <c r="I107" s="50">
        <f>VLOOKUP($A107,'Data shares'!$C:$FB,45)*100</f>
        <v>-3.38</v>
      </c>
      <c r="J107" s="49">
        <f>VLOOKUP($A107,'Data shares'!$C:$FB,58)</f>
        <v>3042375</v>
      </c>
      <c r="K107" s="49">
        <f>VLOOKUP($A107,'Data shares'!$C:$FB,59)</f>
        <v>3052000</v>
      </c>
      <c r="L107" s="50">
        <f>VLOOKUP($A107,'Data shares'!$C:$FB,61)*100</f>
        <v>-0.32</v>
      </c>
      <c r="M107" s="49">
        <f>VLOOKUP($A107,'Data shares'!$C:$FB,62)</f>
        <v>1048250</v>
      </c>
      <c r="N107" s="49">
        <f>VLOOKUP($A107,'Data shares'!$C:$FB,63)</f>
        <v>1092000</v>
      </c>
      <c r="O107" s="140">
        <f>VLOOKUP($A107,'Data shares'!$C:$FB,65)*100</f>
        <v>-4.01</v>
      </c>
    </row>
    <row r="108" spans="1:15" x14ac:dyDescent="0.25">
      <c r="A108" s="101" t="str">
        <f>'Data shares'!C103</f>
        <v>IREDA</v>
      </c>
      <c r="B108" s="50">
        <f>VLOOKUP($A108,'Data shares'!$C:$FB,7)</f>
        <v>151.16</v>
      </c>
      <c r="C108" s="50">
        <f>VLOOKUP($A108,'Data shares'!$C:$FB,10)*100</f>
        <v>-1.9</v>
      </c>
      <c r="D108" s="49">
        <f>VLOOKUP($A108,'Data shares'!$C:$FB,66)</f>
        <v>48003300</v>
      </c>
      <c r="E108" s="49">
        <f>VLOOKUP($A108,'Data shares'!$C:$FB,67)</f>
        <v>71604750</v>
      </c>
      <c r="F108" s="50">
        <f>VLOOKUP($A108,'Data shares'!$C:$FB,69)*100</f>
        <v>-32.96</v>
      </c>
      <c r="G108" s="49">
        <f>VLOOKUP($A108,'Data shares'!$C:$FB,42)</f>
        <v>10874400</v>
      </c>
      <c r="H108" s="49">
        <f>VLOOKUP($A108,'Data shares'!$C:$FB,43)</f>
        <v>12785700</v>
      </c>
      <c r="I108" s="50">
        <f>VLOOKUP($A108,'Data shares'!$C:$FB,45)*100</f>
        <v>-14.95</v>
      </c>
      <c r="J108" s="49">
        <f>VLOOKUP($A108,'Data shares'!$C:$FB,58)</f>
        <v>29345700</v>
      </c>
      <c r="K108" s="49">
        <f>VLOOKUP($A108,'Data shares'!$C:$FB,59)</f>
        <v>45926400</v>
      </c>
      <c r="L108" s="50">
        <f>VLOOKUP($A108,'Data shares'!$C:$FB,61)*100</f>
        <v>-36.1</v>
      </c>
      <c r="M108" s="49">
        <f>VLOOKUP($A108,'Data shares'!$C:$FB,62)</f>
        <v>7783200</v>
      </c>
      <c r="N108" s="49">
        <f>VLOOKUP($A108,'Data shares'!$C:$FB,63)</f>
        <v>12892650</v>
      </c>
      <c r="O108" s="140">
        <f>VLOOKUP($A108,'Data shares'!$C:$FB,65)*100</f>
        <v>-39.629999999999995</v>
      </c>
    </row>
    <row r="109" spans="1:15" x14ac:dyDescent="0.25">
      <c r="A109" s="101" t="str">
        <f>'Data shares'!C104</f>
        <v>IRFC</v>
      </c>
      <c r="B109" s="50">
        <f>VLOOKUP($A109,'Data shares'!$C:$FB,7)</f>
        <v>125.24</v>
      </c>
      <c r="C109" s="50">
        <f>VLOOKUP($A109,'Data shares'!$C:$FB,10)*100</f>
        <v>-0.48</v>
      </c>
      <c r="D109" s="49">
        <f>VLOOKUP($A109,'Data shares'!$C:$FB,66)</f>
        <v>14717750</v>
      </c>
      <c r="E109" s="49">
        <f>VLOOKUP($A109,'Data shares'!$C:$FB,67)</f>
        <v>16553750</v>
      </c>
      <c r="F109" s="50">
        <f>VLOOKUP($A109,'Data shares'!$C:$FB,69)*100</f>
        <v>-11.09</v>
      </c>
      <c r="G109" s="49">
        <f>VLOOKUP($A109,'Data shares'!$C:$FB,42)</f>
        <v>4092750</v>
      </c>
      <c r="H109" s="49">
        <f>VLOOKUP($A109,'Data shares'!$C:$FB,43)</f>
        <v>4071500</v>
      </c>
      <c r="I109" s="50">
        <f>VLOOKUP($A109,'Data shares'!$C:$FB,45)*100</f>
        <v>0.52</v>
      </c>
      <c r="J109" s="49">
        <f>VLOOKUP($A109,'Data shares'!$C:$FB,58)</f>
        <v>8138750</v>
      </c>
      <c r="K109" s="49">
        <f>VLOOKUP($A109,'Data shares'!$C:$FB,59)</f>
        <v>9269250</v>
      </c>
      <c r="L109" s="50">
        <f>VLOOKUP($A109,'Data shares'!$C:$FB,61)*100</f>
        <v>-12.2</v>
      </c>
      <c r="M109" s="49">
        <f>VLOOKUP($A109,'Data shares'!$C:$FB,62)</f>
        <v>2486250</v>
      </c>
      <c r="N109" s="49">
        <f>VLOOKUP($A109,'Data shares'!$C:$FB,63)</f>
        <v>3213000</v>
      </c>
      <c r="O109" s="140">
        <f>VLOOKUP($A109,'Data shares'!$C:$FB,65)*100</f>
        <v>-22.62</v>
      </c>
    </row>
    <row r="110" spans="1:15" x14ac:dyDescent="0.25">
      <c r="A110" s="101" t="str">
        <f>'Data shares'!C105</f>
        <v>ITC</v>
      </c>
      <c r="B110" s="50">
        <f>VLOOKUP($A110,'Data shares'!$C:$FB,7)</f>
        <v>400.75</v>
      </c>
      <c r="C110" s="50">
        <f>VLOOKUP($A110,'Data shares'!$C:$FB,10)*100</f>
        <v>-0.88</v>
      </c>
      <c r="D110" s="49">
        <f>VLOOKUP($A110,'Data shares'!$C:$FB,66)</f>
        <v>72412800</v>
      </c>
      <c r="E110" s="49">
        <f>VLOOKUP($A110,'Data shares'!$C:$FB,67)</f>
        <v>75769600</v>
      </c>
      <c r="F110" s="50">
        <f>VLOOKUP($A110,'Data shares'!$C:$FB,69)*100</f>
        <v>-4.43</v>
      </c>
      <c r="G110" s="49">
        <f>VLOOKUP($A110,'Data shares'!$C:$FB,42)</f>
        <v>14840000</v>
      </c>
      <c r="H110" s="49">
        <f>VLOOKUP($A110,'Data shares'!$C:$FB,43)</f>
        <v>12305600</v>
      </c>
      <c r="I110" s="50">
        <f>VLOOKUP($A110,'Data shares'!$C:$FB,45)*100</f>
        <v>20.599999999999998</v>
      </c>
      <c r="J110" s="49">
        <f>VLOOKUP($A110,'Data shares'!$C:$FB,58)</f>
        <v>37512000</v>
      </c>
      <c r="K110" s="49">
        <f>VLOOKUP($A110,'Data shares'!$C:$FB,59)</f>
        <v>39908800</v>
      </c>
      <c r="L110" s="50">
        <f>VLOOKUP($A110,'Data shares'!$C:$FB,61)*100</f>
        <v>-6.01</v>
      </c>
      <c r="M110" s="49">
        <f>VLOOKUP($A110,'Data shares'!$C:$FB,62)</f>
        <v>20060800</v>
      </c>
      <c r="N110" s="49">
        <f>VLOOKUP($A110,'Data shares'!$C:$FB,63)</f>
        <v>23555200</v>
      </c>
      <c r="O110" s="140">
        <f>VLOOKUP($A110,'Data shares'!$C:$FB,65)*100</f>
        <v>-14.829999999999998</v>
      </c>
    </row>
    <row r="111" spans="1:15" x14ac:dyDescent="0.25">
      <c r="A111" s="101" t="str">
        <f>'Data shares'!C106</f>
        <v>JINDALSTEL</v>
      </c>
      <c r="B111" s="50">
        <f>VLOOKUP($A111,'Data shares'!$C:$FB,7)</f>
        <v>1055.9000000000001</v>
      </c>
      <c r="C111" s="50">
        <f>VLOOKUP($A111,'Data shares'!$C:$FB,10)*100</f>
        <v>-1.91</v>
      </c>
      <c r="D111" s="49">
        <f>VLOOKUP($A111,'Data shares'!$C:$FB,66)</f>
        <v>21130625</v>
      </c>
      <c r="E111" s="49">
        <f>VLOOKUP($A111,'Data shares'!$C:$FB,67)</f>
        <v>20881875</v>
      </c>
      <c r="F111" s="50">
        <f>VLOOKUP($A111,'Data shares'!$C:$FB,69)*100</f>
        <v>1.1900000000000002</v>
      </c>
      <c r="G111" s="49">
        <f>VLOOKUP($A111,'Data shares'!$C:$FB,42)</f>
        <v>3813750</v>
      </c>
      <c r="H111" s="49">
        <f>VLOOKUP($A111,'Data shares'!$C:$FB,43)</f>
        <v>4055000</v>
      </c>
      <c r="I111" s="50">
        <f>VLOOKUP($A111,'Data shares'!$C:$FB,45)*100</f>
        <v>-5.9499999999999993</v>
      </c>
      <c r="J111" s="49">
        <f>VLOOKUP($A111,'Data shares'!$C:$FB,58)</f>
        <v>11200000</v>
      </c>
      <c r="K111" s="49">
        <f>VLOOKUP($A111,'Data shares'!$C:$FB,59)</f>
        <v>12799375</v>
      </c>
      <c r="L111" s="50">
        <f>VLOOKUP($A111,'Data shares'!$C:$FB,61)*100</f>
        <v>-12.5</v>
      </c>
      <c r="M111" s="49">
        <f>VLOOKUP($A111,'Data shares'!$C:$FB,62)</f>
        <v>6116875</v>
      </c>
      <c r="N111" s="49">
        <f>VLOOKUP($A111,'Data shares'!$C:$FB,63)</f>
        <v>4027500</v>
      </c>
      <c r="O111" s="140">
        <f>VLOOKUP($A111,'Data shares'!$C:$FB,65)*100</f>
        <v>51.88</v>
      </c>
    </row>
    <row r="112" spans="1:15" x14ac:dyDescent="0.25">
      <c r="A112" s="101" t="str">
        <f>'Data shares'!C107</f>
        <v>JIOFIN</v>
      </c>
      <c r="B112" s="50">
        <f>VLOOKUP($A112,'Data shares'!$C:$FB,7)</f>
        <v>306.25</v>
      </c>
      <c r="C112" s="50">
        <f>VLOOKUP($A112,'Data shares'!$C:$FB,10)*100</f>
        <v>1.51</v>
      </c>
      <c r="D112" s="49">
        <f>VLOOKUP($A112,'Data shares'!$C:$FB,66)</f>
        <v>97513250</v>
      </c>
      <c r="E112" s="49">
        <f>VLOOKUP($A112,'Data shares'!$C:$FB,67)</f>
        <v>65682500</v>
      </c>
      <c r="F112" s="50">
        <f>VLOOKUP($A112,'Data shares'!$C:$FB,69)*100</f>
        <v>48.46</v>
      </c>
      <c r="G112" s="49">
        <f>VLOOKUP($A112,'Data shares'!$C:$FB,42)</f>
        <v>18604950</v>
      </c>
      <c r="H112" s="49">
        <f>VLOOKUP($A112,'Data shares'!$C:$FB,43)</f>
        <v>11959150</v>
      </c>
      <c r="I112" s="50">
        <f>VLOOKUP($A112,'Data shares'!$C:$FB,45)*100</f>
        <v>55.57</v>
      </c>
      <c r="J112" s="49">
        <f>VLOOKUP($A112,'Data shares'!$C:$FB,58)</f>
        <v>57144950</v>
      </c>
      <c r="K112" s="49">
        <f>VLOOKUP($A112,'Data shares'!$C:$FB,59)</f>
        <v>37207550</v>
      </c>
      <c r="L112" s="50">
        <f>VLOOKUP($A112,'Data shares'!$C:$FB,61)*100</f>
        <v>53.580000000000005</v>
      </c>
      <c r="M112" s="49">
        <f>VLOOKUP($A112,'Data shares'!$C:$FB,62)</f>
        <v>21763350</v>
      </c>
      <c r="N112" s="49">
        <f>VLOOKUP($A112,'Data shares'!$C:$FB,63)</f>
        <v>16515800</v>
      </c>
      <c r="O112" s="140">
        <f>VLOOKUP($A112,'Data shares'!$C:$FB,65)*100</f>
        <v>31.77</v>
      </c>
    </row>
    <row r="113" spans="1:15" x14ac:dyDescent="0.25">
      <c r="A113" s="101" t="str">
        <f>'Data shares'!C108</f>
        <v>JSWENERGY</v>
      </c>
      <c r="B113" s="50">
        <f>VLOOKUP($A113,'Data shares'!$C:$FB,7)</f>
        <v>541</v>
      </c>
      <c r="C113" s="50">
        <f>VLOOKUP($A113,'Data shares'!$C:$FB,10)*100</f>
        <v>0.2</v>
      </c>
      <c r="D113" s="49">
        <f>VLOOKUP($A113,'Data shares'!$C:$FB,66)</f>
        <v>7958000</v>
      </c>
      <c r="E113" s="49">
        <f>VLOOKUP($A113,'Data shares'!$C:$FB,67)</f>
        <v>8148000</v>
      </c>
      <c r="F113" s="50">
        <f>VLOOKUP($A113,'Data shares'!$C:$FB,69)*100</f>
        <v>-2.33</v>
      </c>
      <c r="G113" s="49">
        <f>VLOOKUP($A113,'Data shares'!$C:$FB,42)</f>
        <v>2059000</v>
      </c>
      <c r="H113" s="49">
        <f>VLOOKUP($A113,'Data shares'!$C:$FB,43)</f>
        <v>1801000</v>
      </c>
      <c r="I113" s="50">
        <f>VLOOKUP($A113,'Data shares'!$C:$FB,45)*100</f>
        <v>14.330000000000002</v>
      </c>
      <c r="J113" s="49">
        <f>VLOOKUP($A113,'Data shares'!$C:$FB,58)</f>
        <v>4237000</v>
      </c>
      <c r="K113" s="49">
        <f>VLOOKUP($A113,'Data shares'!$C:$FB,59)</f>
        <v>4846000</v>
      </c>
      <c r="L113" s="50">
        <f>VLOOKUP($A113,'Data shares'!$C:$FB,61)*100</f>
        <v>-12.57</v>
      </c>
      <c r="M113" s="49">
        <f>VLOOKUP($A113,'Data shares'!$C:$FB,62)</f>
        <v>1662000</v>
      </c>
      <c r="N113" s="49">
        <f>VLOOKUP($A113,'Data shares'!$C:$FB,63)</f>
        <v>1501000</v>
      </c>
      <c r="O113" s="140">
        <f>VLOOKUP($A113,'Data shares'!$C:$FB,65)*100</f>
        <v>10.73</v>
      </c>
    </row>
    <row r="114" spans="1:15" x14ac:dyDescent="0.25">
      <c r="A114" s="101" t="str">
        <f>'Data shares'!C109</f>
        <v>JSWSTEEL</v>
      </c>
      <c r="B114" s="50">
        <f>VLOOKUP($A114,'Data shares'!$C:$FB,7)</f>
        <v>1159.9000000000001</v>
      </c>
      <c r="C114" s="50">
        <f>VLOOKUP($A114,'Data shares'!$C:$FB,10)*100</f>
        <v>-0.15</v>
      </c>
      <c r="D114" s="49">
        <f>VLOOKUP($A114,'Data shares'!$C:$FB,66)</f>
        <v>11414925</v>
      </c>
      <c r="E114" s="49">
        <f>VLOOKUP($A114,'Data shares'!$C:$FB,67)</f>
        <v>27618975</v>
      </c>
      <c r="F114" s="50">
        <f>VLOOKUP($A114,'Data shares'!$C:$FB,69)*100</f>
        <v>-58.67</v>
      </c>
      <c r="G114" s="49">
        <f>VLOOKUP($A114,'Data shares'!$C:$FB,42)</f>
        <v>1917675</v>
      </c>
      <c r="H114" s="49">
        <f>VLOOKUP($A114,'Data shares'!$C:$FB,43)</f>
        <v>4745250</v>
      </c>
      <c r="I114" s="50">
        <f>VLOOKUP($A114,'Data shares'!$C:$FB,45)*100</f>
        <v>-59.589999999999996</v>
      </c>
      <c r="J114" s="49">
        <f>VLOOKUP($A114,'Data shares'!$C:$FB,58)</f>
        <v>6311925</v>
      </c>
      <c r="K114" s="49">
        <f>VLOOKUP($A114,'Data shares'!$C:$FB,59)</f>
        <v>16048125</v>
      </c>
      <c r="L114" s="50">
        <f>VLOOKUP($A114,'Data shares'!$C:$FB,61)*100</f>
        <v>-60.67</v>
      </c>
      <c r="M114" s="49">
        <f>VLOOKUP($A114,'Data shares'!$C:$FB,62)</f>
        <v>3185325</v>
      </c>
      <c r="N114" s="49">
        <f>VLOOKUP($A114,'Data shares'!$C:$FB,63)</f>
        <v>6825600</v>
      </c>
      <c r="O114" s="140">
        <f>VLOOKUP($A114,'Data shares'!$C:$FB,65)*100</f>
        <v>-53.33</v>
      </c>
    </row>
    <row r="115" spans="1:15" x14ac:dyDescent="0.25">
      <c r="A115" s="101" t="str">
        <f>'Data shares'!C110</f>
        <v>JUBLFOOD</v>
      </c>
      <c r="B115" s="50">
        <f>VLOOKUP($A115,'Data shares'!$C:$FB,7)</f>
        <v>623.35</v>
      </c>
      <c r="C115" s="50">
        <f>VLOOKUP($A115,'Data shares'!$C:$FB,10)*100</f>
        <v>-0.80999999999999994</v>
      </c>
      <c r="D115" s="49">
        <f>VLOOKUP($A115,'Data shares'!$C:$FB,66)</f>
        <v>16103750</v>
      </c>
      <c r="E115" s="49">
        <f>VLOOKUP($A115,'Data shares'!$C:$FB,67)</f>
        <v>7862500</v>
      </c>
      <c r="F115" s="50">
        <f>VLOOKUP($A115,'Data shares'!$C:$FB,69)*100</f>
        <v>104.82000000000001</v>
      </c>
      <c r="G115" s="49">
        <f>VLOOKUP($A115,'Data shares'!$C:$FB,42)</f>
        <v>4386250</v>
      </c>
      <c r="H115" s="49">
        <f>VLOOKUP($A115,'Data shares'!$C:$FB,43)</f>
        <v>2137500</v>
      </c>
      <c r="I115" s="50">
        <f>VLOOKUP($A115,'Data shares'!$C:$FB,45)*100</f>
        <v>105.2</v>
      </c>
      <c r="J115" s="49">
        <f>VLOOKUP($A115,'Data shares'!$C:$FB,58)</f>
        <v>7920000</v>
      </c>
      <c r="K115" s="49">
        <f>VLOOKUP($A115,'Data shares'!$C:$FB,59)</f>
        <v>4277500</v>
      </c>
      <c r="L115" s="50">
        <f>VLOOKUP($A115,'Data shares'!$C:$FB,61)*100</f>
        <v>85.15</v>
      </c>
      <c r="M115" s="49">
        <f>VLOOKUP($A115,'Data shares'!$C:$FB,62)</f>
        <v>3797500</v>
      </c>
      <c r="N115" s="49">
        <f>VLOOKUP($A115,'Data shares'!$C:$FB,63)</f>
        <v>1447500</v>
      </c>
      <c r="O115" s="140">
        <f>VLOOKUP($A115,'Data shares'!$C:$FB,65)*100</f>
        <v>162.35</v>
      </c>
    </row>
    <row r="116" spans="1:15" x14ac:dyDescent="0.25">
      <c r="A116" s="101" t="str">
        <f>'Data shares'!C111</f>
        <v>KALYANKJIL</v>
      </c>
      <c r="B116" s="50">
        <f>VLOOKUP($A116,'Data shares'!$C:$FB,7)</f>
        <v>485.35</v>
      </c>
      <c r="C116" s="50">
        <f>VLOOKUP($A116,'Data shares'!$C:$FB,10)*100</f>
        <v>-1.38</v>
      </c>
      <c r="D116" s="49">
        <f>VLOOKUP($A116,'Data shares'!$C:$FB,66)</f>
        <v>36806875</v>
      </c>
      <c r="E116" s="49">
        <f>VLOOKUP($A116,'Data shares'!$C:$FB,67)</f>
        <v>76889650</v>
      </c>
      <c r="F116" s="50">
        <f>VLOOKUP($A116,'Data shares'!$C:$FB,69)*100</f>
        <v>-52.129999999999995</v>
      </c>
      <c r="G116" s="49">
        <f>VLOOKUP($A116,'Data shares'!$C:$FB,42)</f>
        <v>6299175</v>
      </c>
      <c r="H116" s="49">
        <f>VLOOKUP($A116,'Data shares'!$C:$FB,43)</f>
        <v>11016800</v>
      </c>
      <c r="I116" s="50">
        <f>VLOOKUP($A116,'Data shares'!$C:$FB,45)*100</f>
        <v>-42.82</v>
      </c>
      <c r="J116" s="49">
        <f>VLOOKUP($A116,'Data shares'!$C:$FB,58)</f>
        <v>21889075</v>
      </c>
      <c r="K116" s="49">
        <f>VLOOKUP($A116,'Data shares'!$C:$FB,59)</f>
        <v>48177350</v>
      </c>
      <c r="L116" s="50">
        <f>VLOOKUP($A116,'Data shares'!$C:$FB,61)*100</f>
        <v>-54.569999999999993</v>
      </c>
      <c r="M116" s="49">
        <f>VLOOKUP($A116,'Data shares'!$C:$FB,62)</f>
        <v>8618625</v>
      </c>
      <c r="N116" s="49">
        <f>VLOOKUP($A116,'Data shares'!$C:$FB,63)</f>
        <v>17695500</v>
      </c>
      <c r="O116" s="140">
        <f>VLOOKUP($A116,'Data shares'!$C:$FB,65)*100</f>
        <v>-51.29</v>
      </c>
    </row>
    <row r="117" spans="1:15" x14ac:dyDescent="0.25">
      <c r="A117" s="101" t="str">
        <f>'Data shares'!C112</f>
        <v>KAYNES</v>
      </c>
      <c r="B117" s="50">
        <f>VLOOKUP($A117,'Data shares'!$C:$FB,7)</f>
        <v>7466.5</v>
      </c>
      <c r="C117" s="50">
        <f>VLOOKUP($A117,'Data shares'!$C:$FB,10)*100</f>
        <v>2.6599999999999997</v>
      </c>
      <c r="D117" s="49">
        <f>VLOOKUP($A117,'Data shares'!$C:$FB,66)</f>
        <v>2266400</v>
      </c>
      <c r="E117" s="49">
        <f>VLOOKUP($A117,'Data shares'!$C:$FB,67)</f>
        <v>880600</v>
      </c>
      <c r="F117" s="50">
        <f>VLOOKUP($A117,'Data shares'!$C:$FB,69)*100</f>
        <v>157.37</v>
      </c>
      <c r="G117" s="49">
        <f>VLOOKUP($A117,'Data shares'!$C:$FB,42)</f>
        <v>414100</v>
      </c>
      <c r="H117" s="49">
        <f>VLOOKUP($A117,'Data shares'!$C:$FB,43)</f>
        <v>175800</v>
      </c>
      <c r="I117" s="50">
        <f>VLOOKUP($A117,'Data shares'!$C:$FB,45)*100</f>
        <v>135.54999999999998</v>
      </c>
      <c r="J117" s="49">
        <f>VLOOKUP($A117,'Data shares'!$C:$FB,58)</f>
        <v>1529400</v>
      </c>
      <c r="K117" s="49">
        <f>VLOOKUP($A117,'Data shares'!$C:$FB,59)</f>
        <v>547100</v>
      </c>
      <c r="L117" s="50">
        <f>VLOOKUP($A117,'Data shares'!$C:$FB,61)*100</f>
        <v>179.55</v>
      </c>
      <c r="M117" s="49">
        <f>VLOOKUP($A117,'Data shares'!$C:$FB,62)</f>
        <v>322900</v>
      </c>
      <c r="N117" s="49">
        <f>VLOOKUP($A117,'Data shares'!$C:$FB,63)</f>
        <v>157700</v>
      </c>
      <c r="O117" s="140">
        <f>VLOOKUP($A117,'Data shares'!$C:$FB,65)*100</f>
        <v>104.76</v>
      </c>
    </row>
    <row r="118" spans="1:15" x14ac:dyDescent="0.25">
      <c r="A118" s="101" t="str">
        <f>'Data shares'!C113</f>
        <v>KEI</v>
      </c>
      <c r="B118" s="50">
        <f>VLOOKUP($A118,'Data shares'!$C:$FB,7)</f>
        <v>4131.7</v>
      </c>
      <c r="C118" s="50">
        <f>VLOOKUP($A118,'Data shares'!$C:$FB,10)*100</f>
        <v>2.34</v>
      </c>
      <c r="D118" s="49">
        <f>VLOOKUP($A118,'Data shares'!$C:$FB,66)</f>
        <v>1873725</v>
      </c>
      <c r="E118" s="49">
        <f>VLOOKUP($A118,'Data shares'!$C:$FB,67)</f>
        <v>1345750</v>
      </c>
      <c r="F118" s="50">
        <f>VLOOKUP($A118,'Data shares'!$C:$FB,69)*100</f>
        <v>39.229999999999997</v>
      </c>
      <c r="G118" s="49">
        <f>VLOOKUP($A118,'Data shares'!$C:$FB,42)</f>
        <v>382200</v>
      </c>
      <c r="H118" s="49">
        <f>VLOOKUP($A118,'Data shares'!$C:$FB,43)</f>
        <v>318150</v>
      </c>
      <c r="I118" s="50">
        <f>VLOOKUP($A118,'Data shares'!$C:$FB,45)*100</f>
        <v>20.13</v>
      </c>
      <c r="J118" s="49">
        <f>VLOOKUP($A118,'Data shares'!$C:$FB,58)</f>
        <v>1147125</v>
      </c>
      <c r="K118" s="49">
        <f>VLOOKUP($A118,'Data shares'!$C:$FB,59)</f>
        <v>599550</v>
      </c>
      <c r="L118" s="50">
        <f>VLOOKUP($A118,'Data shares'!$C:$FB,61)*100</f>
        <v>91.33</v>
      </c>
      <c r="M118" s="49">
        <f>VLOOKUP($A118,'Data shares'!$C:$FB,62)</f>
        <v>344400</v>
      </c>
      <c r="N118" s="49">
        <f>VLOOKUP($A118,'Data shares'!$C:$FB,63)</f>
        <v>428050</v>
      </c>
      <c r="O118" s="140">
        <f>VLOOKUP($A118,'Data shares'!$C:$FB,65)*100</f>
        <v>-19.54</v>
      </c>
    </row>
    <row r="119" spans="1:15" x14ac:dyDescent="0.25">
      <c r="A119" s="101" t="str">
        <f>'Data shares'!C114</f>
        <v>KFINTECH</v>
      </c>
      <c r="B119" s="50">
        <f>VLOOKUP($A119,'Data shares'!$C:$FB,7)</f>
        <v>1062.5</v>
      </c>
      <c r="C119" s="50">
        <f>VLOOKUP($A119,'Data shares'!$C:$FB,10)*100</f>
        <v>-0.44999999999999996</v>
      </c>
      <c r="D119" s="49">
        <f>VLOOKUP($A119,'Data shares'!$C:$FB,66)</f>
        <v>1101150</v>
      </c>
      <c r="E119" s="49">
        <f>VLOOKUP($A119,'Data shares'!$C:$FB,67)</f>
        <v>1403550</v>
      </c>
      <c r="F119" s="50">
        <f>VLOOKUP($A119,'Data shares'!$C:$FB,69)*100</f>
        <v>-21.55</v>
      </c>
      <c r="G119" s="49">
        <f>VLOOKUP($A119,'Data shares'!$C:$FB,42)</f>
        <v>399600</v>
      </c>
      <c r="H119" s="49">
        <f>VLOOKUP($A119,'Data shares'!$C:$FB,43)</f>
        <v>468000</v>
      </c>
      <c r="I119" s="50">
        <f>VLOOKUP($A119,'Data shares'!$C:$FB,45)*100</f>
        <v>-14.62</v>
      </c>
      <c r="J119" s="49">
        <f>VLOOKUP($A119,'Data shares'!$C:$FB,58)</f>
        <v>588600</v>
      </c>
      <c r="K119" s="49">
        <f>VLOOKUP($A119,'Data shares'!$C:$FB,59)</f>
        <v>670500</v>
      </c>
      <c r="L119" s="50">
        <f>VLOOKUP($A119,'Data shares'!$C:$FB,61)*100</f>
        <v>-12.21</v>
      </c>
      <c r="M119" s="49">
        <f>VLOOKUP($A119,'Data shares'!$C:$FB,62)</f>
        <v>112950</v>
      </c>
      <c r="N119" s="49">
        <f>VLOOKUP($A119,'Data shares'!$C:$FB,63)</f>
        <v>265050</v>
      </c>
      <c r="O119" s="140">
        <f>VLOOKUP($A119,'Data shares'!$C:$FB,65)*100</f>
        <v>-57.389999999999993</v>
      </c>
    </row>
    <row r="120" spans="1:15" x14ac:dyDescent="0.25">
      <c r="A120" s="101" t="str">
        <f>'Data shares'!C115</f>
        <v>KOTAKBANK</v>
      </c>
      <c r="B120" s="50">
        <f>VLOOKUP($A120,'Data shares'!$C:$FB,7)</f>
        <v>2146</v>
      </c>
      <c r="C120" s="50">
        <f>VLOOKUP($A120,'Data shares'!$C:$FB,10)*100</f>
        <v>2.17</v>
      </c>
      <c r="D120" s="49">
        <f>VLOOKUP($A120,'Data shares'!$C:$FB,66)</f>
        <v>68834400</v>
      </c>
      <c r="E120" s="49">
        <f>VLOOKUP($A120,'Data shares'!$C:$FB,67)</f>
        <v>54685200</v>
      </c>
      <c r="F120" s="50">
        <f>VLOOKUP($A120,'Data shares'!$C:$FB,69)*100</f>
        <v>25.869999999999997</v>
      </c>
      <c r="G120" s="49">
        <f>VLOOKUP($A120,'Data shares'!$C:$FB,42)</f>
        <v>11420800</v>
      </c>
      <c r="H120" s="49">
        <f>VLOOKUP($A120,'Data shares'!$C:$FB,43)</f>
        <v>8092800</v>
      </c>
      <c r="I120" s="50">
        <f>VLOOKUP($A120,'Data shares'!$C:$FB,45)*100</f>
        <v>41.120000000000005</v>
      </c>
      <c r="J120" s="49">
        <f>VLOOKUP($A120,'Data shares'!$C:$FB,58)</f>
        <v>36031600</v>
      </c>
      <c r="K120" s="49">
        <f>VLOOKUP($A120,'Data shares'!$C:$FB,59)</f>
        <v>29897200</v>
      </c>
      <c r="L120" s="50">
        <f>VLOOKUP($A120,'Data shares'!$C:$FB,61)*100</f>
        <v>20.52</v>
      </c>
      <c r="M120" s="49">
        <f>VLOOKUP($A120,'Data shares'!$C:$FB,62)</f>
        <v>21382000</v>
      </c>
      <c r="N120" s="49">
        <f>VLOOKUP($A120,'Data shares'!$C:$FB,63)</f>
        <v>16695200</v>
      </c>
      <c r="O120" s="140">
        <f>VLOOKUP($A120,'Data shares'!$C:$FB,65)*100</f>
        <v>28.07</v>
      </c>
    </row>
    <row r="121" spans="1:15" x14ac:dyDescent="0.25">
      <c r="A121" s="101" t="str">
        <f>'Data shares'!C116</f>
        <v>KPITTECH</v>
      </c>
      <c r="B121" s="50">
        <f>VLOOKUP($A121,'Data shares'!$C:$FB,7)</f>
        <v>1156.7</v>
      </c>
      <c r="C121" s="50">
        <f>VLOOKUP($A121,'Data shares'!$C:$FB,10)*100</f>
        <v>-0.09</v>
      </c>
      <c r="D121" s="49">
        <f>VLOOKUP($A121,'Data shares'!$C:$FB,66)</f>
        <v>6184800</v>
      </c>
      <c r="E121" s="49">
        <f>VLOOKUP($A121,'Data shares'!$C:$FB,67)</f>
        <v>3619200</v>
      </c>
      <c r="F121" s="50">
        <f>VLOOKUP($A121,'Data shares'!$C:$FB,69)*100</f>
        <v>70.89</v>
      </c>
      <c r="G121" s="49">
        <f>VLOOKUP($A121,'Data shares'!$C:$FB,42)</f>
        <v>952000</v>
      </c>
      <c r="H121" s="49">
        <f>VLOOKUP($A121,'Data shares'!$C:$FB,43)</f>
        <v>954000</v>
      </c>
      <c r="I121" s="50">
        <f>VLOOKUP($A121,'Data shares'!$C:$FB,45)*100</f>
        <v>-0.21</v>
      </c>
      <c r="J121" s="49">
        <f>VLOOKUP($A121,'Data shares'!$C:$FB,58)</f>
        <v>3013200</v>
      </c>
      <c r="K121" s="49">
        <f>VLOOKUP($A121,'Data shares'!$C:$FB,59)</f>
        <v>1755600</v>
      </c>
      <c r="L121" s="50">
        <f>VLOOKUP($A121,'Data shares'!$C:$FB,61)*100</f>
        <v>71.63000000000001</v>
      </c>
      <c r="M121" s="49">
        <f>VLOOKUP($A121,'Data shares'!$C:$FB,62)</f>
        <v>2219600</v>
      </c>
      <c r="N121" s="49">
        <f>VLOOKUP($A121,'Data shares'!$C:$FB,63)</f>
        <v>909600</v>
      </c>
      <c r="O121" s="140">
        <f>VLOOKUP($A121,'Data shares'!$C:$FB,65)*100</f>
        <v>144.01999999999998</v>
      </c>
    </row>
    <row r="122" spans="1:15" x14ac:dyDescent="0.25">
      <c r="A122" s="101" t="str">
        <f>'Data shares'!C117</f>
        <v>LAURUSLABS</v>
      </c>
      <c r="B122" s="50">
        <f>VLOOKUP($A122,'Data shares'!$C:$FB,7)</f>
        <v>863</v>
      </c>
      <c r="C122" s="50">
        <f>VLOOKUP($A122,'Data shares'!$C:$FB,10)*100</f>
        <v>-0.16</v>
      </c>
      <c r="D122" s="49">
        <f>VLOOKUP($A122,'Data shares'!$C:$FB,66)</f>
        <v>13305900</v>
      </c>
      <c r="E122" s="49">
        <f>VLOOKUP($A122,'Data shares'!$C:$FB,67)</f>
        <v>19441200</v>
      </c>
      <c r="F122" s="50">
        <f>VLOOKUP($A122,'Data shares'!$C:$FB,69)*100</f>
        <v>-31.56</v>
      </c>
      <c r="G122" s="49">
        <f>VLOOKUP($A122,'Data shares'!$C:$FB,42)</f>
        <v>2640100</v>
      </c>
      <c r="H122" s="49">
        <f>VLOOKUP($A122,'Data shares'!$C:$FB,43)</f>
        <v>4532200</v>
      </c>
      <c r="I122" s="50">
        <f>VLOOKUP($A122,'Data shares'!$C:$FB,45)*100</f>
        <v>-41.75</v>
      </c>
      <c r="J122" s="49">
        <f>VLOOKUP($A122,'Data shares'!$C:$FB,58)</f>
        <v>7412000</v>
      </c>
      <c r="K122" s="49">
        <f>VLOOKUP($A122,'Data shares'!$C:$FB,59)</f>
        <v>9734200</v>
      </c>
      <c r="L122" s="50">
        <f>VLOOKUP($A122,'Data shares'!$C:$FB,61)*100</f>
        <v>-23.86</v>
      </c>
      <c r="M122" s="49">
        <f>VLOOKUP($A122,'Data shares'!$C:$FB,62)</f>
        <v>3253800</v>
      </c>
      <c r="N122" s="49">
        <f>VLOOKUP($A122,'Data shares'!$C:$FB,63)</f>
        <v>5174800</v>
      </c>
      <c r="O122" s="140">
        <f>VLOOKUP($A122,'Data shares'!$C:$FB,65)*100</f>
        <v>-37.119999999999997</v>
      </c>
    </row>
    <row r="123" spans="1:15" x14ac:dyDescent="0.25">
      <c r="A123" s="101" t="str">
        <f>'Data shares'!C118</f>
        <v>LICHSGFIN</v>
      </c>
      <c r="B123" s="50">
        <f>VLOOKUP($A123,'Data shares'!$C:$FB,7)</f>
        <v>576.85</v>
      </c>
      <c r="C123" s="50">
        <f>VLOOKUP($A123,'Data shares'!$C:$FB,10)*100</f>
        <v>-0.27999999999999997</v>
      </c>
      <c r="D123" s="49">
        <f>VLOOKUP($A123,'Data shares'!$C:$FB,66)</f>
        <v>6203000</v>
      </c>
      <c r="E123" s="49">
        <f>VLOOKUP($A123,'Data shares'!$C:$FB,67)</f>
        <v>8669000</v>
      </c>
      <c r="F123" s="50">
        <f>VLOOKUP($A123,'Data shares'!$C:$FB,69)*100</f>
        <v>-28.449999999999996</v>
      </c>
      <c r="G123" s="49">
        <f>VLOOKUP($A123,'Data shares'!$C:$FB,42)</f>
        <v>1947000</v>
      </c>
      <c r="H123" s="49">
        <f>VLOOKUP($A123,'Data shares'!$C:$FB,43)</f>
        <v>2646000</v>
      </c>
      <c r="I123" s="50">
        <f>VLOOKUP($A123,'Data shares'!$C:$FB,45)*100</f>
        <v>-26.419999999999998</v>
      </c>
      <c r="J123" s="49">
        <f>VLOOKUP($A123,'Data shares'!$C:$FB,58)</f>
        <v>3425000</v>
      </c>
      <c r="K123" s="49">
        <f>VLOOKUP($A123,'Data shares'!$C:$FB,59)</f>
        <v>4594000</v>
      </c>
      <c r="L123" s="50">
        <f>VLOOKUP($A123,'Data shares'!$C:$FB,61)*100</f>
        <v>-25.45</v>
      </c>
      <c r="M123" s="49">
        <f>VLOOKUP($A123,'Data shares'!$C:$FB,62)</f>
        <v>831000</v>
      </c>
      <c r="N123" s="49">
        <f>VLOOKUP($A123,'Data shares'!$C:$FB,63)</f>
        <v>1429000</v>
      </c>
      <c r="O123" s="140">
        <f>VLOOKUP($A123,'Data shares'!$C:$FB,65)*100</f>
        <v>-41.85</v>
      </c>
    </row>
    <row r="124" spans="1:15" x14ac:dyDescent="0.25">
      <c r="A124" s="101" t="str">
        <f>'Data shares'!C119</f>
        <v>LICI</v>
      </c>
      <c r="B124" s="50">
        <f>VLOOKUP($A124,'Data shares'!$C:$FB,7)</f>
        <v>907.15</v>
      </c>
      <c r="C124" s="50">
        <f>VLOOKUP($A124,'Data shares'!$C:$FB,10)*100</f>
        <v>0.21</v>
      </c>
      <c r="D124" s="49">
        <f>VLOOKUP($A124,'Data shares'!$C:$FB,66)</f>
        <v>4139800</v>
      </c>
      <c r="E124" s="49">
        <f>VLOOKUP($A124,'Data shares'!$C:$FB,67)</f>
        <v>5025300</v>
      </c>
      <c r="F124" s="50">
        <f>VLOOKUP($A124,'Data shares'!$C:$FB,69)*100</f>
        <v>-17.62</v>
      </c>
      <c r="G124" s="49">
        <f>VLOOKUP($A124,'Data shares'!$C:$FB,42)</f>
        <v>1219400</v>
      </c>
      <c r="H124" s="49">
        <f>VLOOKUP($A124,'Data shares'!$C:$FB,43)</f>
        <v>1173900</v>
      </c>
      <c r="I124" s="50">
        <f>VLOOKUP($A124,'Data shares'!$C:$FB,45)*100</f>
        <v>3.88</v>
      </c>
      <c r="J124" s="49">
        <f>VLOOKUP($A124,'Data shares'!$C:$FB,58)</f>
        <v>2276400</v>
      </c>
      <c r="K124" s="49">
        <f>VLOOKUP($A124,'Data shares'!$C:$FB,59)</f>
        <v>2975000</v>
      </c>
      <c r="L124" s="50">
        <f>VLOOKUP($A124,'Data shares'!$C:$FB,61)*100</f>
        <v>-23.48</v>
      </c>
      <c r="M124" s="49">
        <f>VLOOKUP($A124,'Data shares'!$C:$FB,62)</f>
        <v>644000</v>
      </c>
      <c r="N124" s="49">
        <f>VLOOKUP($A124,'Data shares'!$C:$FB,63)</f>
        <v>876400</v>
      </c>
      <c r="O124" s="140">
        <f>VLOOKUP($A124,'Data shares'!$C:$FB,65)*100</f>
        <v>-26.52</v>
      </c>
    </row>
    <row r="125" spans="1:15" x14ac:dyDescent="0.25">
      <c r="A125" s="101" t="str">
        <f>'Data shares'!C120</f>
        <v>LODHA</v>
      </c>
      <c r="B125" s="50">
        <f>VLOOKUP($A125,'Data shares'!$C:$FB,7)</f>
        <v>1115.0999999999999</v>
      </c>
      <c r="C125" s="50">
        <f>VLOOKUP($A125,'Data shares'!$C:$FB,10)*100</f>
        <v>0.19</v>
      </c>
      <c r="D125" s="49">
        <f>VLOOKUP($A125,'Data shares'!$C:$FB,66)</f>
        <v>6463800</v>
      </c>
      <c r="E125" s="49">
        <f>VLOOKUP($A125,'Data shares'!$C:$FB,67)</f>
        <v>6809850</v>
      </c>
      <c r="F125" s="50">
        <f>VLOOKUP($A125,'Data shares'!$C:$FB,69)*100</f>
        <v>-5.08</v>
      </c>
      <c r="G125" s="49">
        <f>VLOOKUP($A125,'Data shares'!$C:$FB,42)</f>
        <v>1557000</v>
      </c>
      <c r="H125" s="49">
        <f>VLOOKUP($A125,'Data shares'!$C:$FB,43)</f>
        <v>1891350</v>
      </c>
      <c r="I125" s="50">
        <f>VLOOKUP($A125,'Data shares'!$C:$FB,45)*100</f>
        <v>-17.68</v>
      </c>
      <c r="J125" s="49">
        <f>VLOOKUP($A125,'Data shares'!$C:$FB,58)</f>
        <v>3848850</v>
      </c>
      <c r="K125" s="49">
        <f>VLOOKUP($A125,'Data shares'!$C:$FB,59)</f>
        <v>3397950</v>
      </c>
      <c r="L125" s="50">
        <f>VLOOKUP($A125,'Data shares'!$C:$FB,61)*100</f>
        <v>13.270000000000001</v>
      </c>
      <c r="M125" s="49">
        <f>VLOOKUP($A125,'Data shares'!$C:$FB,62)</f>
        <v>1057950</v>
      </c>
      <c r="N125" s="49">
        <f>VLOOKUP($A125,'Data shares'!$C:$FB,63)</f>
        <v>1520550</v>
      </c>
      <c r="O125" s="140">
        <f>VLOOKUP($A125,'Data shares'!$C:$FB,65)*100</f>
        <v>-30.42</v>
      </c>
    </row>
    <row r="126" spans="1:15" x14ac:dyDescent="0.25">
      <c r="A126" s="101" t="str">
        <f>'Data shares'!C121</f>
        <v>LT</v>
      </c>
      <c r="B126" s="50">
        <f>VLOOKUP($A126,'Data shares'!$C:$FB,7)</f>
        <v>3737</v>
      </c>
      <c r="C126" s="50">
        <f>VLOOKUP($A126,'Data shares'!$C:$FB,10)*100</f>
        <v>0.1</v>
      </c>
      <c r="D126" s="49">
        <f>VLOOKUP($A126,'Data shares'!$C:$FB,66)</f>
        <v>15242150</v>
      </c>
      <c r="E126" s="49">
        <f>VLOOKUP($A126,'Data shares'!$C:$FB,67)</f>
        <v>13967100</v>
      </c>
      <c r="F126" s="50">
        <f>VLOOKUP($A126,'Data shares'!$C:$FB,69)*100</f>
        <v>9.1300000000000008</v>
      </c>
      <c r="G126" s="49">
        <f>VLOOKUP($A126,'Data shares'!$C:$FB,42)</f>
        <v>1791300</v>
      </c>
      <c r="H126" s="49">
        <f>VLOOKUP($A126,'Data shares'!$C:$FB,43)</f>
        <v>2525950</v>
      </c>
      <c r="I126" s="50">
        <f>VLOOKUP($A126,'Data shares'!$C:$FB,45)*100</f>
        <v>-29.080000000000002</v>
      </c>
      <c r="J126" s="49">
        <f>VLOOKUP($A126,'Data shares'!$C:$FB,58)</f>
        <v>10507000</v>
      </c>
      <c r="K126" s="49">
        <f>VLOOKUP($A126,'Data shares'!$C:$FB,59)</f>
        <v>8442875</v>
      </c>
      <c r="L126" s="50">
        <f>VLOOKUP($A126,'Data shares'!$C:$FB,61)*100</f>
        <v>24.45</v>
      </c>
      <c r="M126" s="49">
        <f>VLOOKUP($A126,'Data shares'!$C:$FB,62)</f>
        <v>2943850</v>
      </c>
      <c r="N126" s="49">
        <f>VLOOKUP($A126,'Data shares'!$C:$FB,63)</f>
        <v>2998275</v>
      </c>
      <c r="O126" s="140">
        <f>VLOOKUP($A126,'Data shares'!$C:$FB,65)*100</f>
        <v>-1.82</v>
      </c>
    </row>
    <row r="127" spans="1:15" x14ac:dyDescent="0.25">
      <c r="A127" s="101" t="str">
        <f>'Data shares'!C122</f>
        <v>LTF</v>
      </c>
      <c r="B127" s="50">
        <f>VLOOKUP($A127,'Data shares'!$C:$FB,7)</f>
        <v>259.87</v>
      </c>
      <c r="C127" s="50">
        <f>VLOOKUP($A127,'Data shares'!$C:$FB,10)*100</f>
        <v>-0.94000000000000006</v>
      </c>
      <c r="D127" s="49">
        <f>VLOOKUP($A127,'Data shares'!$C:$FB,66)</f>
        <v>110804846</v>
      </c>
      <c r="E127" s="49">
        <f>VLOOKUP($A127,'Data shares'!$C:$FB,67)</f>
        <v>91056034</v>
      </c>
      <c r="F127" s="50">
        <f>VLOOKUP($A127,'Data shares'!$C:$FB,69)*100</f>
        <v>21.69</v>
      </c>
      <c r="G127" s="49">
        <f>VLOOKUP($A127,'Data shares'!$C:$FB,42)</f>
        <v>28061518</v>
      </c>
      <c r="H127" s="49">
        <f>VLOOKUP($A127,'Data shares'!$C:$FB,43)</f>
        <v>19427548</v>
      </c>
      <c r="I127" s="50">
        <f>VLOOKUP($A127,'Data shares'!$C:$FB,45)*100</f>
        <v>44.440000000000005</v>
      </c>
      <c r="J127" s="49">
        <f>VLOOKUP($A127,'Data shares'!$C:$FB,58)</f>
        <v>53334286</v>
      </c>
      <c r="K127" s="49">
        <f>VLOOKUP($A127,'Data shares'!$C:$FB,59)</f>
        <v>46967012</v>
      </c>
      <c r="L127" s="50">
        <f>VLOOKUP($A127,'Data shares'!$C:$FB,61)*100</f>
        <v>13.56</v>
      </c>
      <c r="M127" s="49">
        <f>VLOOKUP($A127,'Data shares'!$C:$FB,62)</f>
        <v>29409042</v>
      </c>
      <c r="N127" s="49">
        <f>VLOOKUP($A127,'Data shares'!$C:$FB,63)</f>
        <v>24661474</v>
      </c>
      <c r="O127" s="140">
        <f>VLOOKUP($A127,'Data shares'!$C:$FB,65)*100</f>
        <v>19.25</v>
      </c>
    </row>
    <row r="128" spans="1:15" x14ac:dyDescent="0.25">
      <c r="A128" s="101" t="str">
        <f>'Data shares'!C123</f>
        <v>LTIM</v>
      </c>
      <c r="B128" s="50">
        <f>VLOOKUP($A128,'Data shares'!$C:$FB,7)</f>
        <v>5274</v>
      </c>
      <c r="C128" s="50">
        <f>VLOOKUP($A128,'Data shares'!$C:$FB,10)*100</f>
        <v>3.01</v>
      </c>
      <c r="D128" s="49">
        <f>VLOOKUP($A128,'Data shares'!$C:$FB,66)</f>
        <v>3501450</v>
      </c>
      <c r="E128" s="49">
        <f>VLOOKUP($A128,'Data shares'!$C:$FB,67)</f>
        <v>1215600</v>
      </c>
      <c r="F128" s="50">
        <f>VLOOKUP($A128,'Data shares'!$C:$FB,69)*100</f>
        <v>188.04000000000002</v>
      </c>
      <c r="G128" s="49">
        <f>VLOOKUP($A128,'Data shares'!$C:$FB,42)</f>
        <v>545550</v>
      </c>
      <c r="H128" s="49">
        <f>VLOOKUP($A128,'Data shares'!$C:$FB,43)</f>
        <v>312600</v>
      </c>
      <c r="I128" s="50">
        <f>VLOOKUP($A128,'Data shares'!$C:$FB,45)*100</f>
        <v>74.52</v>
      </c>
      <c r="J128" s="49">
        <f>VLOOKUP($A128,'Data shares'!$C:$FB,58)</f>
        <v>2400750</v>
      </c>
      <c r="K128" s="49">
        <f>VLOOKUP($A128,'Data shares'!$C:$FB,59)</f>
        <v>663450</v>
      </c>
      <c r="L128" s="50">
        <f>VLOOKUP($A128,'Data shares'!$C:$FB,61)*100</f>
        <v>261.85999999999996</v>
      </c>
      <c r="M128" s="49">
        <f>VLOOKUP($A128,'Data shares'!$C:$FB,62)</f>
        <v>555150</v>
      </c>
      <c r="N128" s="49">
        <f>VLOOKUP($A128,'Data shares'!$C:$FB,63)</f>
        <v>239550</v>
      </c>
      <c r="O128" s="140">
        <f>VLOOKUP($A128,'Data shares'!$C:$FB,65)*100</f>
        <v>131.75</v>
      </c>
    </row>
    <row r="129" spans="1:15" x14ac:dyDescent="0.25">
      <c r="A129" s="101" t="str">
        <f>'Data shares'!C124</f>
        <v>LUPIN</v>
      </c>
      <c r="B129" s="50">
        <f>VLOOKUP($A129,'Data shares'!$C:$FB,7)</f>
        <v>1937.3</v>
      </c>
      <c r="C129" s="50">
        <f>VLOOKUP($A129,'Data shares'!$C:$FB,10)*100</f>
        <v>-1.8399999999999999</v>
      </c>
      <c r="D129" s="49">
        <f>VLOOKUP($A129,'Data shares'!$C:$FB,66)</f>
        <v>8953475</v>
      </c>
      <c r="E129" s="49">
        <f>VLOOKUP($A129,'Data shares'!$C:$FB,67)</f>
        <v>4884525</v>
      </c>
      <c r="F129" s="50">
        <f>VLOOKUP($A129,'Data shares'!$C:$FB,69)*100</f>
        <v>83.3</v>
      </c>
      <c r="G129" s="49">
        <f>VLOOKUP($A129,'Data shares'!$C:$FB,42)</f>
        <v>1620525</v>
      </c>
      <c r="H129" s="49">
        <f>VLOOKUP($A129,'Data shares'!$C:$FB,43)</f>
        <v>907375</v>
      </c>
      <c r="I129" s="50">
        <f>VLOOKUP($A129,'Data shares'!$C:$FB,45)*100</f>
        <v>78.59</v>
      </c>
      <c r="J129" s="49">
        <f>VLOOKUP($A129,'Data shares'!$C:$FB,58)</f>
        <v>4485875</v>
      </c>
      <c r="K129" s="49">
        <f>VLOOKUP($A129,'Data shares'!$C:$FB,59)</f>
        <v>2496025</v>
      </c>
      <c r="L129" s="50">
        <f>VLOOKUP($A129,'Data shares'!$C:$FB,61)*100</f>
        <v>79.72</v>
      </c>
      <c r="M129" s="49">
        <f>VLOOKUP($A129,'Data shares'!$C:$FB,62)</f>
        <v>2847075</v>
      </c>
      <c r="N129" s="49">
        <f>VLOOKUP($A129,'Data shares'!$C:$FB,63)</f>
        <v>1481125</v>
      </c>
      <c r="O129" s="140">
        <f>VLOOKUP($A129,'Data shares'!$C:$FB,65)*100</f>
        <v>92.22</v>
      </c>
    </row>
    <row r="130" spans="1:15" x14ac:dyDescent="0.25">
      <c r="A130" s="101" t="str">
        <f>'Data shares'!C125</f>
        <v>M&amp;M</v>
      </c>
      <c r="B130" s="50">
        <f>VLOOKUP($A130,'Data shares'!$C:$FB,7)</f>
        <v>3472</v>
      </c>
      <c r="C130" s="50">
        <f>VLOOKUP($A130,'Data shares'!$C:$FB,10)*100</f>
        <v>0.28999999999999998</v>
      </c>
      <c r="D130" s="49">
        <f>VLOOKUP($A130,'Data shares'!$C:$FB,66)</f>
        <v>8092600</v>
      </c>
      <c r="E130" s="49">
        <f>VLOOKUP($A130,'Data shares'!$C:$FB,67)</f>
        <v>13221600</v>
      </c>
      <c r="F130" s="50">
        <f>VLOOKUP($A130,'Data shares'!$C:$FB,69)*100</f>
        <v>-38.79</v>
      </c>
      <c r="G130" s="49">
        <f>VLOOKUP($A130,'Data shares'!$C:$FB,42)</f>
        <v>1297600</v>
      </c>
      <c r="H130" s="49">
        <f>VLOOKUP($A130,'Data shares'!$C:$FB,43)</f>
        <v>3277200</v>
      </c>
      <c r="I130" s="50">
        <f>VLOOKUP($A130,'Data shares'!$C:$FB,45)*100</f>
        <v>-60.41</v>
      </c>
      <c r="J130" s="49">
        <f>VLOOKUP($A130,'Data shares'!$C:$FB,58)</f>
        <v>4789800</v>
      </c>
      <c r="K130" s="49">
        <f>VLOOKUP($A130,'Data shares'!$C:$FB,59)</f>
        <v>6354800</v>
      </c>
      <c r="L130" s="50">
        <f>VLOOKUP($A130,'Data shares'!$C:$FB,61)*100</f>
        <v>-24.63</v>
      </c>
      <c r="M130" s="49">
        <f>VLOOKUP($A130,'Data shares'!$C:$FB,62)</f>
        <v>2005200</v>
      </c>
      <c r="N130" s="49">
        <f>VLOOKUP($A130,'Data shares'!$C:$FB,63)</f>
        <v>3589600</v>
      </c>
      <c r="O130" s="140">
        <f>VLOOKUP($A130,'Data shares'!$C:$FB,65)*100</f>
        <v>-44.14</v>
      </c>
    </row>
    <row r="131" spans="1:15" x14ac:dyDescent="0.25">
      <c r="A131" s="101" t="str">
        <f>'Data shares'!C126</f>
        <v>MANAPPURAM</v>
      </c>
      <c r="B131" s="50">
        <f>VLOOKUP($A131,'Data shares'!$C:$FB,7)</f>
        <v>290.75</v>
      </c>
      <c r="C131" s="50">
        <f>VLOOKUP($A131,'Data shares'!$C:$FB,10)*100</f>
        <v>1.59</v>
      </c>
      <c r="D131" s="49">
        <f>VLOOKUP($A131,'Data shares'!$C:$FB,66)</f>
        <v>30450000</v>
      </c>
      <c r="E131" s="49">
        <f>VLOOKUP($A131,'Data shares'!$C:$FB,67)</f>
        <v>12894000</v>
      </c>
      <c r="F131" s="50">
        <f>VLOOKUP($A131,'Data shares'!$C:$FB,69)*100</f>
        <v>136.16</v>
      </c>
      <c r="G131" s="49">
        <f>VLOOKUP($A131,'Data shares'!$C:$FB,42)</f>
        <v>6171000</v>
      </c>
      <c r="H131" s="49">
        <f>VLOOKUP($A131,'Data shares'!$C:$FB,43)</f>
        <v>3132000</v>
      </c>
      <c r="I131" s="50">
        <f>VLOOKUP($A131,'Data shares'!$C:$FB,45)*100</f>
        <v>97.03</v>
      </c>
      <c r="J131" s="49">
        <f>VLOOKUP($A131,'Data shares'!$C:$FB,58)</f>
        <v>18606000</v>
      </c>
      <c r="K131" s="49">
        <f>VLOOKUP($A131,'Data shares'!$C:$FB,59)</f>
        <v>7317000</v>
      </c>
      <c r="L131" s="50">
        <f>VLOOKUP($A131,'Data shares'!$C:$FB,61)*100</f>
        <v>154.28</v>
      </c>
      <c r="M131" s="49">
        <f>VLOOKUP($A131,'Data shares'!$C:$FB,62)</f>
        <v>5673000</v>
      </c>
      <c r="N131" s="49">
        <f>VLOOKUP($A131,'Data shares'!$C:$FB,63)</f>
        <v>2445000</v>
      </c>
      <c r="O131" s="140">
        <f>VLOOKUP($A131,'Data shares'!$C:$FB,65)*100</f>
        <v>132.02000000000001</v>
      </c>
    </row>
    <row r="132" spans="1:15" x14ac:dyDescent="0.25">
      <c r="A132" s="101" t="str">
        <f>'Data shares'!C127</f>
        <v>MANKIND</v>
      </c>
      <c r="B132" s="50">
        <f>VLOOKUP($A132,'Data shares'!$C:$FB,7)</f>
        <v>2456.3000000000002</v>
      </c>
      <c r="C132" s="50">
        <f>VLOOKUP($A132,'Data shares'!$C:$FB,10)*100</f>
        <v>0.33999999999999997</v>
      </c>
      <c r="D132" s="49">
        <f>VLOOKUP($A132,'Data shares'!$C:$FB,66)</f>
        <v>993150</v>
      </c>
      <c r="E132" s="49">
        <f>VLOOKUP($A132,'Data shares'!$C:$FB,67)</f>
        <v>953325</v>
      </c>
      <c r="F132" s="50">
        <f>VLOOKUP($A132,'Data shares'!$C:$FB,69)*100</f>
        <v>4.18</v>
      </c>
      <c r="G132" s="49">
        <f>VLOOKUP($A132,'Data shares'!$C:$FB,42)</f>
        <v>343800</v>
      </c>
      <c r="H132" s="49">
        <f>VLOOKUP($A132,'Data shares'!$C:$FB,43)</f>
        <v>402075</v>
      </c>
      <c r="I132" s="50">
        <f>VLOOKUP($A132,'Data shares'!$C:$FB,45)*100</f>
        <v>-14.49</v>
      </c>
      <c r="J132" s="49">
        <f>VLOOKUP($A132,'Data shares'!$C:$FB,58)</f>
        <v>425700</v>
      </c>
      <c r="K132" s="49">
        <f>VLOOKUP($A132,'Data shares'!$C:$FB,59)</f>
        <v>349200</v>
      </c>
      <c r="L132" s="50">
        <f>VLOOKUP($A132,'Data shares'!$C:$FB,61)*100</f>
        <v>21.91</v>
      </c>
      <c r="M132" s="49">
        <f>VLOOKUP($A132,'Data shares'!$C:$FB,62)</f>
        <v>223650</v>
      </c>
      <c r="N132" s="49">
        <f>VLOOKUP($A132,'Data shares'!$C:$FB,63)</f>
        <v>202050</v>
      </c>
      <c r="O132" s="140">
        <f>VLOOKUP($A132,'Data shares'!$C:$FB,65)*100</f>
        <v>10.69</v>
      </c>
    </row>
    <row r="133" spans="1:15" x14ac:dyDescent="0.25">
      <c r="A133" s="101" t="str">
        <f>'Data shares'!C128</f>
        <v>MARICO</v>
      </c>
      <c r="B133" s="50">
        <f>VLOOKUP($A133,'Data shares'!$C:$FB,7)</f>
        <v>715.55</v>
      </c>
      <c r="C133" s="50">
        <f>VLOOKUP($A133,'Data shares'!$C:$FB,10)*100</f>
        <v>0.65</v>
      </c>
      <c r="D133" s="49">
        <f>VLOOKUP($A133,'Data shares'!$C:$FB,66)</f>
        <v>12562800</v>
      </c>
      <c r="E133" s="49">
        <f>VLOOKUP($A133,'Data shares'!$C:$FB,67)</f>
        <v>8349600</v>
      </c>
      <c r="F133" s="50">
        <f>VLOOKUP($A133,'Data shares'!$C:$FB,69)*100</f>
        <v>50.460000000000008</v>
      </c>
      <c r="G133" s="49">
        <f>VLOOKUP($A133,'Data shares'!$C:$FB,42)</f>
        <v>2966400</v>
      </c>
      <c r="H133" s="49">
        <f>VLOOKUP($A133,'Data shares'!$C:$FB,43)</f>
        <v>2352000</v>
      </c>
      <c r="I133" s="50">
        <f>VLOOKUP($A133,'Data shares'!$C:$FB,45)*100</f>
        <v>26.119999999999997</v>
      </c>
      <c r="J133" s="49">
        <f>VLOOKUP($A133,'Data shares'!$C:$FB,58)</f>
        <v>6271200</v>
      </c>
      <c r="K133" s="49">
        <f>VLOOKUP($A133,'Data shares'!$C:$FB,59)</f>
        <v>4284000</v>
      </c>
      <c r="L133" s="50">
        <f>VLOOKUP($A133,'Data shares'!$C:$FB,61)*100</f>
        <v>46.39</v>
      </c>
      <c r="M133" s="49">
        <f>VLOOKUP($A133,'Data shares'!$C:$FB,62)</f>
        <v>3325200</v>
      </c>
      <c r="N133" s="49">
        <f>VLOOKUP($A133,'Data shares'!$C:$FB,63)</f>
        <v>1713600</v>
      </c>
      <c r="O133" s="140">
        <f>VLOOKUP($A133,'Data shares'!$C:$FB,65)*100</f>
        <v>94.05</v>
      </c>
    </row>
    <row r="134" spans="1:15" x14ac:dyDescent="0.25">
      <c r="A134" s="101" t="str">
        <f>'Data shares'!C129</f>
        <v>MARUTI</v>
      </c>
      <c r="B134" s="50">
        <f>VLOOKUP($A134,'Data shares'!$C:$FB,7)</f>
        <v>15998</v>
      </c>
      <c r="C134" s="50">
        <f>VLOOKUP($A134,'Data shares'!$C:$FB,10)*100</f>
        <v>1.21</v>
      </c>
      <c r="D134" s="49">
        <f>VLOOKUP($A134,'Data shares'!$C:$FB,66)</f>
        <v>7422250</v>
      </c>
      <c r="E134" s="49">
        <f>VLOOKUP($A134,'Data shares'!$C:$FB,67)</f>
        <v>7814000</v>
      </c>
      <c r="F134" s="50">
        <f>VLOOKUP($A134,'Data shares'!$C:$FB,69)*100</f>
        <v>-5.01</v>
      </c>
      <c r="G134" s="49">
        <f>VLOOKUP($A134,'Data shares'!$C:$FB,42)</f>
        <v>560450</v>
      </c>
      <c r="H134" s="49">
        <f>VLOOKUP($A134,'Data shares'!$C:$FB,43)</f>
        <v>814800</v>
      </c>
      <c r="I134" s="50">
        <f>VLOOKUP($A134,'Data shares'!$C:$FB,45)*100</f>
        <v>-31.22</v>
      </c>
      <c r="J134" s="49">
        <f>VLOOKUP($A134,'Data shares'!$C:$FB,58)</f>
        <v>4806100</v>
      </c>
      <c r="K134" s="49">
        <f>VLOOKUP($A134,'Data shares'!$C:$FB,59)</f>
        <v>4584800</v>
      </c>
      <c r="L134" s="50">
        <f>VLOOKUP($A134,'Data shares'!$C:$FB,61)*100</f>
        <v>4.83</v>
      </c>
      <c r="M134" s="49">
        <f>VLOOKUP($A134,'Data shares'!$C:$FB,62)</f>
        <v>2055700</v>
      </c>
      <c r="N134" s="49">
        <f>VLOOKUP($A134,'Data shares'!$C:$FB,63)</f>
        <v>2414400</v>
      </c>
      <c r="O134" s="140">
        <f>VLOOKUP($A134,'Data shares'!$C:$FB,65)*100</f>
        <v>-14.860000000000001</v>
      </c>
    </row>
    <row r="135" spans="1:15" x14ac:dyDescent="0.25">
      <c r="A135" s="101" t="str">
        <f>'Data shares'!C130</f>
        <v>MAXHEALTH</v>
      </c>
      <c r="B135" s="50">
        <f>VLOOKUP($A135,'Data shares'!$C:$FB,7)</f>
        <v>1139.7</v>
      </c>
      <c r="C135" s="50">
        <f>VLOOKUP($A135,'Data shares'!$C:$FB,10)*100</f>
        <v>6.59</v>
      </c>
      <c r="D135" s="49">
        <f>VLOOKUP($A135,'Data shares'!$C:$FB,66)</f>
        <v>55843725</v>
      </c>
      <c r="E135" s="49">
        <f>VLOOKUP($A135,'Data shares'!$C:$FB,67)</f>
        <v>28951650</v>
      </c>
      <c r="F135" s="50">
        <f>VLOOKUP($A135,'Data shares'!$C:$FB,69)*100</f>
        <v>92.89</v>
      </c>
      <c r="G135" s="49">
        <f>VLOOKUP($A135,'Data shares'!$C:$FB,42)</f>
        <v>8150100</v>
      </c>
      <c r="H135" s="49">
        <f>VLOOKUP($A135,'Data shares'!$C:$FB,43)</f>
        <v>4365900</v>
      </c>
      <c r="I135" s="50">
        <f>VLOOKUP($A135,'Data shares'!$C:$FB,45)*100</f>
        <v>86.68</v>
      </c>
      <c r="J135" s="49">
        <f>VLOOKUP($A135,'Data shares'!$C:$FB,58)</f>
        <v>32587275</v>
      </c>
      <c r="K135" s="49">
        <f>VLOOKUP($A135,'Data shares'!$C:$FB,59)</f>
        <v>13333950</v>
      </c>
      <c r="L135" s="50">
        <f>VLOOKUP($A135,'Data shares'!$C:$FB,61)*100</f>
        <v>144.38999999999999</v>
      </c>
      <c r="M135" s="49">
        <f>VLOOKUP($A135,'Data shares'!$C:$FB,62)</f>
        <v>15106350</v>
      </c>
      <c r="N135" s="49">
        <f>VLOOKUP($A135,'Data shares'!$C:$FB,63)</f>
        <v>11251800</v>
      </c>
      <c r="O135" s="140">
        <f>VLOOKUP($A135,'Data shares'!$C:$FB,65)*100</f>
        <v>34.260000000000005</v>
      </c>
    </row>
    <row r="136" spans="1:15" x14ac:dyDescent="0.25">
      <c r="A136" s="101" t="str">
        <f>'Data shares'!C131</f>
        <v>MAZDOCK</v>
      </c>
      <c r="B136" s="50">
        <f>VLOOKUP($A136,'Data shares'!$C:$FB,7)</f>
        <v>2888</v>
      </c>
      <c r="C136" s="50">
        <f>VLOOKUP($A136,'Data shares'!$C:$FB,10)*100</f>
        <v>0.22999999999999998</v>
      </c>
      <c r="D136" s="49">
        <f>VLOOKUP($A136,'Data shares'!$C:$FB,66)</f>
        <v>3431225</v>
      </c>
      <c r="E136" s="49">
        <f>VLOOKUP($A136,'Data shares'!$C:$FB,67)</f>
        <v>3935050</v>
      </c>
      <c r="F136" s="50">
        <f>VLOOKUP($A136,'Data shares'!$C:$FB,69)*100</f>
        <v>-12.8</v>
      </c>
      <c r="G136" s="49">
        <f>VLOOKUP($A136,'Data shares'!$C:$FB,42)</f>
        <v>464800</v>
      </c>
      <c r="H136" s="49">
        <f>VLOOKUP($A136,'Data shares'!$C:$FB,43)</f>
        <v>603400</v>
      </c>
      <c r="I136" s="50">
        <f>VLOOKUP($A136,'Data shares'!$C:$FB,45)*100</f>
        <v>-22.97</v>
      </c>
      <c r="J136" s="49">
        <f>VLOOKUP($A136,'Data shares'!$C:$FB,58)</f>
        <v>2138675</v>
      </c>
      <c r="K136" s="49">
        <f>VLOOKUP($A136,'Data shares'!$C:$FB,59)</f>
        <v>2669100</v>
      </c>
      <c r="L136" s="50">
        <f>VLOOKUP($A136,'Data shares'!$C:$FB,61)*100</f>
        <v>-19.869999999999997</v>
      </c>
      <c r="M136" s="49">
        <f>VLOOKUP($A136,'Data shares'!$C:$FB,62)</f>
        <v>827750</v>
      </c>
      <c r="N136" s="49">
        <f>VLOOKUP($A136,'Data shares'!$C:$FB,63)</f>
        <v>662550</v>
      </c>
      <c r="O136" s="140">
        <f>VLOOKUP($A136,'Data shares'!$C:$FB,65)*100</f>
        <v>24.93</v>
      </c>
    </row>
    <row r="137" spans="1:15" x14ac:dyDescent="0.25">
      <c r="A137" s="101" t="str">
        <f>'Data shares'!C132</f>
        <v>MCX</v>
      </c>
      <c r="B137" s="50">
        <f>VLOOKUP($A137,'Data shares'!$C:$FB,7)</f>
        <v>8192</v>
      </c>
      <c r="C137" s="50">
        <f>VLOOKUP($A137,'Data shares'!$C:$FB,10)*100</f>
        <v>0.57999999999999996</v>
      </c>
      <c r="D137" s="49">
        <f>VLOOKUP($A137,'Data shares'!$C:$FB,66)</f>
        <v>5135000</v>
      </c>
      <c r="E137" s="49">
        <f>VLOOKUP($A137,'Data shares'!$C:$FB,67)</f>
        <v>7289125</v>
      </c>
      <c r="F137" s="50">
        <f>VLOOKUP($A137,'Data shares'!$C:$FB,69)*100</f>
        <v>-29.549999999999997</v>
      </c>
      <c r="G137" s="49">
        <f>VLOOKUP($A137,'Data shares'!$C:$FB,42)</f>
        <v>683750</v>
      </c>
      <c r="H137" s="49">
        <f>VLOOKUP($A137,'Data shares'!$C:$FB,43)</f>
        <v>794750</v>
      </c>
      <c r="I137" s="50">
        <f>VLOOKUP($A137,'Data shares'!$C:$FB,45)*100</f>
        <v>-13.969999999999999</v>
      </c>
      <c r="J137" s="49">
        <f>VLOOKUP($A137,'Data shares'!$C:$FB,58)</f>
        <v>3054625</v>
      </c>
      <c r="K137" s="49">
        <f>VLOOKUP($A137,'Data shares'!$C:$FB,59)</f>
        <v>4712375</v>
      </c>
      <c r="L137" s="50">
        <f>VLOOKUP($A137,'Data shares'!$C:$FB,61)*100</f>
        <v>-35.18</v>
      </c>
      <c r="M137" s="49">
        <f>VLOOKUP($A137,'Data shares'!$C:$FB,62)</f>
        <v>1396625</v>
      </c>
      <c r="N137" s="49">
        <f>VLOOKUP($A137,'Data shares'!$C:$FB,63)</f>
        <v>1782000</v>
      </c>
      <c r="O137" s="140">
        <f>VLOOKUP($A137,'Data shares'!$C:$FB,65)*100</f>
        <v>-21.63</v>
      </c>
    </row>
    <row r="138" spans="1:15" x14ac:dyDescent="0.25">
      <c r="A138" s="101" t="str">
        <f>'Data shares'!C133</f>
        <v>MFSL</v>
      </c>
      <c r="B138" s="50">
        <f>VLOOKUP($A138,'Data shares'!$C:$FB,7)</f>
        <v>1605.4</v>
      </c>
      <c r="C138" s="50">
        <f>VLOOKUP($A138,'Data shares'!$C:$FB,10)*100</f>
        <v>0.08</v>
      </c>
      <c r="D138" s="49">
        <f>VLOOKUP($A138,'Data shares'!$C:$FB,66)</f>
        <v>2829600</v>
      </c>
      <c r="E138" s="49">
        <f>VLOOKUP($A138,'Data shares'!$C:$FB,67)</f>
        <v>2764000</v>
      </c>
      <c r="F138" s="50">
        <f>VLOOKUP($A138,'Data shares'!$C:$FB,69)*100</f>
        <v>2.37</v>
      </c>
      <c r="G138" s="49">
        <f>VLOOKUP($A138,'Data shares'!$C:$FB,42)</f>
        <v>1092000</v>
      </c>
      <c r="H138" s="49">
        <f>VLOOKUP($A138,'Data shares'!$C:$FB,43)</f>
        <v>1117600</v>
      </c>
      <c r="I138" s="50">
        <f>VLOOKUP($A138,'Data shares'!$C:$FB,45)*100</f>
        <v>-2.29</v>
      </c>
      <c r="J138" s="49">
        <f>VLOOKUP($A138,'Data shares'!$C:$FB,58)</f>
        <v>1356800</v>
      </c>
      <c r="K138" s="49">
        <f>VLOOKUP($A138,'Data shares'!$C:$FB,59)</f>
        <v>1201600</v>
      </c>
      <c r="L138" s="50">
        <f>VLOOKUP($A138,'Data shares'!$C:$FB,61)*100</f>
        <v>12.920000000000002</v>
      </c>
      <c r="M138" s="49">
        <f>VLOOKUP($A138,'Data shares'!$C:$FB,62)</f>
        <v>380800</v>
      </c>
      <c r="N138" s="49">
        <f>VLOOKUP($A138,'Data shares'!$C:$FB,63)</f>
        <v>444800</v>
      </c>
      <c r="O138" s="140">
        <f>VLOOKUP($A138,'Data shares'!$C:$FB,65)*100</f>
        <v>-14.39</v>
      </c>
    </row>
    <row r="139" spans="1:15" x14ac:dyDescent="0.25">
      <c r="A139" s="101" t="str">
        <f>'Data shares'!C134</f>
        <v>MIDCPNIFTY</v>
      </c>
      <c r="B139" s="50">
        <f>VLOOKUP($A139,'Data shares'!$C:$FB,7)</f>
        <v>12944.95</v>
      </c>
      <c r="C139" s="50">
        <f>VLOOKUP($A139,'Data shares'!$C:$FB,10)*100</f>
        <v>1.18</v>
      </c>
      <c r="D139" s="49">
        <f>VLOOKUP($A139,'Data shares'!$C:$FB,66)</f>
        <v>28321860</v>
      </c>
      <c r="E139" s="49">
        <f>VLOOKUP($A139,'Data shares'!$C:$FB,67)</f>
        <v>22884120</v>
      </c>
      <c r="F139" s="50">
        <f>VLOOKUP($A139,'Data shares'!$C:$FB,69)*100</f>
        <v>23.76</v>
      </c>
      <c r="G139" s="49">
        <f>VLOOKUP($A139,'Data shares'!$C:$FB,42)</f>
        <v>438060</v>
      </c>
      <c r="H139" s="49">
        <f>VLOOKUP($A139,'Data shares'!$C:$FB,43)</f>
        <v>354900</v>
      </c>
      <c r="I139" s="50">
        <f>VLOOKUP($A139,'Data shares'!$C:$FB,45)*100</f>
        <v>23.43</v>
      </c>
      <c r="J139" s="49">
        <f>VLOOKUP($A139,'Data shares'!$C:$FB,58)</f>
        <v>12358080</v>
      </c>
      <c r="K139" s="49">
        <f>VLOOKUP($A139,'Data shares'!$C:$FB,59)</f>
        <v>11259920</v>
      </c>
      <c r="L139" s="50">
        <f>VLOOKUP($A139,'Data shares'!$C:$FB,61)*100</f>
        <v>9.75</v>
      </c>
      <c r="M139" s="49">
        <f>VLOOKUP($A139,'Data shares'!$C:$FB,62)</f>
        <v>15525720</v>
      </c>
      <c r="N139" s="49">
        <f>VLOOKUP($A139,'Data shares'!$C:$FB,63)</f>
        <v>11269300</v>
      </c>
      <c r="O139" s="140">
        <f>VLOOKUP($A139,'Data shares'!$C:$FB,65)*100</f>
        <v>37.769999999999996</v>
      </c>
    </row>
    <row r="140" spans="1:15" x14ac:dyDescent="0.25">
      <c r="A140" s="101" t="str">
        <f>'Data shares'!C135</f>
        <v>MOTHERSON</v>
      </c>
      <c r="B140" s="50">
        <f>VLOOKUP($A140,'Data shares'!$C:$FB,7)</f>
        <v>106.22</v>
      </c>
      <c r="C140" s="50">
        <f>VLOOKUP($A140,'Data shares'!$C:$FB,10)*100</f>
        <v>-0.42</v>
      </c>
      <c r="D140" s="49">
        <f>VLOOKUP($A140,'Data shares'!$C:$FB,66)</f>
        <v>45399300</v>
      </c>
      <c r="E140" s="49">
        <f>VLOOKUP($A140,'Data shares'!$C:$FB,67)</f>
        <v>58929300</v>
      </c>
      <c r="F140" s="50">
        <f>VLOOKUP($A140,'Data shares'!$C:$FB,69)*100</f>
        <v>-22.96</v>
      </c>
      <c r="G140" s="49">
        <f>VLOOKUP($A140,'Data shares'!$C:$FB,42)</f>
        <v>10670250</v>
      </c>
      <c r="H140" s="49">
        <f>VLOOKUP($A140,'Data shares'!$C:$FB,43)</f>
        <v>15264300</v>
      </c>
      <c r="I140" s="50">
        <f>VLOOKUP($A140,'Data shares'!$C:$FB,45)*100</f>
        <v>-30.099999999999998</v>
      </c>
      <c r="J140" s="49">
        <f>VLOOKUP($A140,'Data shares'!$C:$FB,58)</f>
        <v>23689800</v>
      </c>
      <c r="K140" s="49">
        <f>VLOOKUP($A140,'Data shares'!$C:$FB,59)</f>
        <v>29772150</v>
      </c>
      <c r="L140" s="50">
        <f>VLOOKUP($A140,'Data shares'!$C:$FB,61)*100</f>
        <v>-20.43</v>
      </c>
      <c r="M140" s="49">
        <f>VLOOKUP($A140,'Data shares'!$C:$FB,62)</f>
        <v>11039250</v>
      </c>
      <c r="N140" s="49">
        <f>VLOOKUP($A140,'Data shares'!$C:$FB,63)</f>
        <v>13892850</v>
      </c>
      <c r="O140" s="140">
        <f>VLOOKUP($A140,'Data shares'!$C:$FB,65)*100</f>
        <v>-20.54</v>
      </c>
    </row>
    <row r="141" spans="1:15" x14ac:dyDescent="0.25">
      <c r="A141" s="101" t="str">
        <f>'Data shares'!C136</f>
        <v>MPHASIS</v>
      </c>
      <c r="B141" s="50">
        <f>VLOOKUP($A141,'Data shares'!$C:$FB,7)</f>
        <v>2792.3</v>
      </c>
      <c r="C141" s="50">
        <f>VLOOKUP($A141,'Data shares'!$C:$FB,10)*100</f>
        <v>2.02</v>
      </c>
      <c r="D141" s="49">
        <f>VLOOKUP($A141,'Data shares'!$C:$FB,66)</f>
        <v>2904000</v>
      </c>
      <c r="E141" s="49">
        <f>VLOOKUP($A141,'Data shares'!$C:$FB,67)</f>
        <v>2266550</v>
      </c>
      <c r="F141" s="50">
        <f>VLOOKUP($A141,'Data shares'!$C:$FB,69)*100</f>
        <v>28.12</v>
      </c>
      <c r="G141" s="49">
        <f>VLOOKUP($A141,'Data shares'!$C:$FB,42)</f>
        <v>920150</v>
      </c>
      <c r="H141" s="49">
        <f>VLOOKUP($A141,'Data shares'!$C:$FB,43)</f>
        <v>862400</v>
      </c>
      <c r="I141" s="50">
        <f>VLOOKUP($A141,'Data shares'!$C:$FB,45)*100</f>
        <v>6.7</v>
      </c>
      <c r="J141" s="49">
        <f>VLOOKUP($A141,'Data shares'!$C:$FB,58)</f>
        <v>1459700</v>
      </c>
      <c r="K141" s="49">
        <f>VLOOKUP($A141,'Data shares'!$C:$FB,59)</f>
        <v>1028775</v>
      </c>
      <c r="L141" s="50">
        <f>VLOOKUP($A141,'Data shares'!$C:$FB,61)*100</f>
        <v>41.89</v>
      </c>
      <c r="M141" s="49">
        <f>VLOOKUP($A141,'Data shares'!$C:$FB,62)</f>
        <v>524150</v>
      </c>
      <c r="N141" s="49">
        <f>VLOOKUP($A141,'Data shares'!$C:$FB,63)</f>
        <v>375375</v>
      </c>
      <c r="O141" s="140">
        <f>VLOOKUP($A141,'Data shares'!$C:$FB,65)*100</f>
        <v>39.629999999999995</v>
      </c>
    </row>
    <row r="142" spans="1:15" x14ac:dyDescent="0.25">
      <c r="A142" s="101" t="str">
        <f>'Data shares'!C137</f>
        <v>MUTHOOTFIN</v>
      </c>
      <c r="B142" s="50">
        <f>VLOOKUP($A142,'Data shares'!$C:$FB,7)</f>
        <v>3227.7</v>
      </c>
      <c r="C142" s="50">
        <f>VLOOKUP($A142,'Data shares'!$C:$FB,10)*100</f>
        <v>1.9</v>
      </c>
      <c r="D142" s="49">
        <f>VLOOKUP($A142,'Data shares'!$C:$FB,66)</f>
        <v>6989950</v>
      </c>
      <c r="E142" s="49">
        <f>VLOOKUP($A142,'Data shares'!$C:$FB,67)</f>
        <v>4031775</v>
      </c>
      <c r="F142" s="50">
        <f>VLOOKUP($A142,'Data shares'!$C:$FB,69)*100</f>
        <v>73.37</v>
      </c>
      <c r="G142" s="49">
        <f>VLOOKUP($A142,'Data shares'!$C:$FB,42)</f>
        <v>820050</v>
      </c>
      <c r="H142" s="49">
        <f>VLOOKUP($A142,'Data shares'!$C:$FB,43)</f>
        <v>770825</v>
      </c>
      <c r="I142" s="50">
        <f>VLOOKUP($A142,'Data shares'!$C:$FB,45)*100</f>
        <v>6.39</v>
      </c>
      <c r="J142" s="49">
        <f>VLOOKUP($A142,'Data shares'!$C:$FB,58)</f>
        <v>4327400</v>
      </c>
      <c r="K142" s="49">
        <f>VLOOKUP($A142,'Data shares'!$C:$FB,59)</f>
        <v>1946725</v>
      </c>
      <c r="L142" s="50">
        <f>VLOOKUP($A142,'Data shares'!$C:$FB,61)*100</f>
        <v>122.29</v>
      </c>
      <c r="M142" s="49">
        <f>VLOOKUP($A142,'Data shares'!$C:$FB,62)</f>
        <v>1842500</v>
      </c>
      <c r="N142" s="49">
        <f>VLOOKUP($A142,'Data shares'!$C:$FB,63)</f>
        <v>1314225</v>
      </c>
      <c r="O142" s="140">
        <f>VLOOKUP($A142,'Data shares'!$C:$FB,65)*100</f>
        <v>40.200000000000003</v>
      </c>
    </row>
    <row r="143" spans="1:15" x14ac:dyDescent="0.25">
      <c r="A143" s="101" t="str">
        <f>'Data shares'!C138</f>
        <v>NATIONALUM</v>
      </c>
      <c r="B143" s="50">
        <f>VLOOKUP($A143,'Data shares'!$C:$FB,7)</f>
        <v>217.15</v>
      </c>
      <c r="C143" s="50">
        <f>VLOOKUP($A143,'Data shares'!$C:$FB,10)*100</f>
        <v>-1.81</v>
      </c>
      <c r="D143" s="49">
        <f>VLOOKUP($A143,'Data shares'!$C:$FB,66)</f>
        <v>97443750</v>
      </c>
      <c r="E143" s="49">
        <f>VLOOKUP($A143,'Data shares'!$C:$FB,67)</f>
        <v>212343750</v>
      </c>
      <c r="F143" s="50">
        <f>VLOOKUP($A143,'Data shares'!$C:$FB,69)*100</f>
        <v>-54.11</v>
      </c>
      <c r="G143" s="49">
        <f>VLOOKUP($A143,'Data shares'!$C:$FB,42)</f>
        <v>20306250</v>
      </c>
      <c r="H143" s="49">
        <f>VLOOKUP($A143,'Data shares'!$C:$FB,43)</f>
        <v>33596250</v>
      </c>
      <c r="I143" s="50">
        <f>VLOOKUP($A143,'Data shares'!$C:$FB,45)*100</f>
        <v>-39.56</v>
      </c>
      <c r="J143" s="49">
        <f>VLOOKUP($A143,'Data shares'!$C:$FB,58)</f>
        <v>53148750</v>
      </c>
      <c r="K143" s="49">
        <f>VLOOKUP($A143,'Data shares'!$C:$FB,59)</f>
        <v>124263750</v>
      </c>
      <c r="L143" s="50">
        <f>VLOOKUP($A143,'Data shares'!$C:$FB,61)*100</f>
        <v>-57.230000000000004</v>
      </c>
      <c r="M143" s="49">
        <f>VLOOKUP($A143,'Data shares'!$C:$FB,62)</f>
        <v>23988750</v>
      </c>
      <c r="N143" s="49">
        <f>VLOOKUP($A143,'Data shares'!$C:$FB,63)</f>
        <v>54483750</v>
      </c>
      <c r="O143" s="140">
        <f>VLOOKUP($A143,'Data shares'!$C:$FB,65)*100</f>
        <v>-55.97</v>
      </c>
    </row>
    <row r="144" spans="1:15" x14ac:dyDescent="0.25">
      <c r="A144" s="101" t="str">
        <f>'Data shares'!C139</f>
        <v>NAUKRI</v>
      </c>
      <c r="B144" s="50">
        <f>VLOOKUP($A144,'Data shares'!$C:$FB,7)</f>
        <v>1379.9</v>
      </c>
      <c r="C144" s="50">
        <f>VLOOKUP($A144,'Data shares'!$C:$FB,10)*100</f>
        <v>3.45</v>
      </c>
      <c r="D144" s="49">
        <f>VLOOKUP($A144,'Data shares'!$C:$FB,66)</f>
        <v>6228750</v>
      </c>
      <c r="E144" s="49">
        <f>VLOOKUP($A144,'Data shares'!$C:$FB,67)</f>
        <v>1794375</v>
      </c>
      <c r="F144" s="50">
        <f>VLOOKUP($A144,'Data shares'!$C:$FB,69)*100</f>
        <v>247.13</v>
      </c>
      <c r="G144" s="49">
        <f>VLOOKUP($A144,'Data shares'!$C:$FB,42)</f>
        <v>1132875</v>
      </c>
      <c r="H144" s="49">
        <f>VLOOKUP($A144,'Data shares'!$C:$FB,43)</f>
        <v>633375</v>
      </c>
      <c r="I144" s="50">
        <f>VLOOKUP($A144,'Data shares'!$C:$FB,45)*100</f>
        <v>78.86</v>
      </c>
      <c r="J144" s="49">
        <f>VLOOKUP($A144,'Data shares'!$C:$FB,58)</f>
        <v>3626250</v>
      </c>
      <c r="K144" s="49">
        <f>VLOOKUP($A144,'Data shares'!$C:$FB,59)</f>
        <v>756000</v>
      </c>
      <c r="L144" s="50">
        <f>VLOOKUP($A144,'Data shares'!$C:$FB,61)*100</f>
        <v>379.66</v>
      </c>
      <c r="M144" s="49">
        <f>VLOOKUP($A144,'Data shares'!$C:$FB,62)</f>
        <v>1469625</v>
      </c>
      <c r="N144" s="49">
        <f>VLOOKUP($A144,'Data shares'!$C:$FB,63)</f>
        <v>405000</v>
      </c>
      <c r="O144" s="140">
        <f>VLOOKUP($A144,'Data shares'!$C:$FB,65)*100</f>
        <v>262.87</v>
      </c>
    </row>
    <row r="145" spans="1:15" x14ac:dyDescent="0.25">
      <c r="A145" s="101" t="str">
        <f>'Data shares'!C140</f>
        <v>NBCC</v>
      </c>
      <c r="B145" s="50">
        <f>VLOOKUP($A145,'Data shares'!$C:$FB,7)</f>
        <v>111.34</v>
      </c>
      <c r="C145" s="50">
        <f>VLOOKUP($A145,'Data shares'!$C:$FB,10)*100</f>
        <v>-1.5699999999999998</v>
      </c>
      <c r="D145" s="49">
        <f>VLOOKUP($A145,'Data shares'!$C:$FB,66)</f>
        <v>36185500</v>
      </c>
      <c r="E145" s="49">
        <f>VLOOKUP($A145,'Data shares'!$C:$FB,67)</f>
        <v>58214000</v>
      </c>
      <c r="F145" s="50">
        <f>VLOOKUP($A145,'Data shares'!$C:$FB,69)*100</f>
        <v>-37.840000000000003</v>
      </c>
      <c r="G145" s="49">
        <f>VLOOKUP($A145,'Data shares'!$C:$FB,42)</f>
        <v>10465000</v>
      </c>
      <c r="H145" s="49">
        <f>VLOOKUP($A145,'Data shares'!$C:$FB,43)</f>
        <v>15522000</v>
      </c>
      <c r="I145" s="50">
        <f>VLOOKUP($A145,'Data shares'!$C:$FB,45)*100</f>
        <v>-32.58</v>
      </c>
      <c r="J145" s="49">
        <f>VLOOKUP($A145,'Data shares'!$C:$FB,58)</f>
        <v>19383000</v>
      </c>
      <c r="K145" s="49">
        <f>VLOOKUP($A145,'Data shares'!$C:$FB,59)</f>
        <v>32604000</v>
      </c>
      <c r="L145" s="50">
        <f>VLOOKUP($A145,'Data shares'!$C:$FB,61)*100</f>
        <v>-40.550000000000004</v>
      </c>
      <c r="M145" s="49">
        <f>VLOOKUP($A145,'Data shares'!$C:$FB,62)</f>
        <v>6337500</v>
      </c>
      <c r="N145" s="49">
        <f>VLOOKUP($A145,'Data shares'!$C:$FB,63)</f>
        <v>10088000</v>
      </c>
      <c r="O145" s="140">
        <f>VLOOKUP($A145,'Data shares'!$C:$FB,65)*100</f>
        <v>-37.18</v>
      </c>
    </row>
    <row r="146" spans="1:15" x14ac:dyDescent="0.25">
      <c r="A146" s="101" t="str">
        <f>'Data shares'!C141</f>
        <v>NCC</v>
      </c>
      <c r="B146" s="50">
        <f>VLOOKUP($A146,'Data shares'!$C:$FB,7)</f>
        <v>210.42</v>
      </c>
      <c r="C146" s="50">
        <f>VLOOKUP($A146,'Data shares'!$C:$FB,10)*100</f>
        <v>0.02</v>
      </c>
      <c r="D146" s="49">
        <f>VLOOKUP($A146,'Data shares'!$C:$FB,66)</f>
        <v>4198500</v>
      </c>
      <c r="E146" s="49">
        <f>VLOOKUP($A146,'Data shares'!$C:$FB,67)</f>
        <v>4147200</v>
      </c>
      <c r="F146" s="50">
        <f>VLOOKUP($A146,'Data shares'!$C:$FB,69)*100</f>
        <v>1.24</v>
      </c>
      <c r="G146" s="49">
        <f>VLOOKUP($A146,'Data shares'!$C:$FB,42)</f>
        <v>1584900</v>
      </c>
      <c r="H146" s="49">
        <f>VLOOKUP($A146,'Data shares'!$C:$FB,43)</f>
        <v>1925100</v>
      </c>
      <c r="I146" s="50">
        <f>VLOOKUP($A146,'Data shares'!$C:$FB,45)*100</f>
        <v>-17.669999999999998</v>
      </c>
      <c r="J146" s="49">
        <f>VLOOKUP($A146,'Data shares'!$C:$FB,58)</f>
        <v>1846800</v>
      </c>
      <c r="K146" s="49">
        <f>VLOOKUP($A146,'Data shares'!$C:$FB,59)</f>
        <v>1468800</v>
      </c>
      <c r="L146" s="50">
        <f>VLOOKUP($A146,'Data shares'!$C:$FB,61)*100</f>
        <v>25.740000000000002</v>
      </c>
      <c r="M146" s="49">
        <f>VLOOKUP($A146,'Data shares'!$C:$FB,62)</f>
        <v>766800</v>
      </c>
      <c r="N146" s="49">
        <f>VLOOKUP($A146,'Data shares'!$C:$FB,63)</f>
        <v>753300</v>
      </c>
      <c r="O146" s="140">
        <f>VLOOKUP($A146,'Data shares'!$C:$FB,65)*100</f>
        <v>1.79</v>
      </c>
    </row>
    <row r="147" spans="1:15" x14ac:dyDescent="0.25">
      <c r="A147" s="101" t="str">
        <f>'Data shares'!C142</f>
        <v>NESTLEIND</v>
      </c>
      <c r="B147" s="50">
        <f>VLOOKUP($A147,'Data shares'!$C:$FB,7)</f>
        <v>1181.7</v>
      </c>
      <c r="C147" s="50">
        <f>VLOOKUP($A147,'Data shares'!$C:$FB,10)*100</f>
        <v>1.01</v>
      </c>
      <c r="D147" s="49">
        <f>VLOOKUP($A147,'Data shares'!$C:$FB,66)</f>
        <v>5567500</v>
      </c>
      <c r="E147" s="49">
        <f>VLOOKUP($A147,'Data shares'!$C:$FB,67)</f>
        <v>3875000</v>
      </c>
      <c r="F147" s="50">
        <f>VLOOKUP($A147,'Data shares'!$C:$FB,69)*100</f>
        <v>43.68</v>
      </c>
      <c r="G147" s="49">
        <f>VLOOKUP($A147,'Data shares'!$C:$FB,42)</f>
        <v>1148000</v>
      </c>
      <c r="H147" s="49">
        <f>VLOOKUP($A147,'Data shares'!$C:$FB,43)</f>
        <v>1023500</v>
      </c>
      <c r="I147" s="50">
        <f>VLOOKUP($A147,'Data shares'!$C:$FB,45)*100</f>
        <v>12.16</v>
      </c>
      <c r="J147" s="49">
        <f>VLOOKUP($A147,'Data shares'!$C:$FB,58)</f>
        <v>3017500</v>
      </c>
      <c r="K147" s="49">
        <f>VLOOKUP($A147,'Data shares'!$C:$FB,59)</f>
        <v>2099000</v>
      </c>
      <c r="L147" s="50">
        <f>VLOOKUP($A147,'Data shares'!$C:$FB,61)*100</f>
        <v>43.76</v>
      </c>
      <c r="M147" s="49">
        <f>VLOOKUP($A147,'Data shares'!$C:$FB,62)</f>
        <v>1402000</v>
      </c>
      <c r="N147" s="49">
        <f>VLOOKUP($A147,'Data shares'!$C:$FB,63)</f>
        <v>752500</v>
      </c>
      <c r="O147" s="140">
        <f>VLOOKUP($A147,'Data shares'!$C:$FB,65)*100</f>
        <v>86.31</v>
      </c>
    </row>
    <row r="148" spans="1:15" x14ac:dyDescent="0.25">
      <c r="A148" s="101" t="str">
        <f>'Data shares'!C143</f>
        <v>NHPC</v>
      </c>
      <c r="B148" s="50">
        <f>VLOOKUP($A148,'Data shares'!$C:$FB,7)</f>
        <v>86.61</v>
      </c>
      <c r="C148" s="50">
        <f>VLOOKUP($A148,'Data shares'!$C:$FB,10)*100</f>
        <v>-0.37</v>
      </c>
      <c r="D148" s="49">
        <f>VLOOKUP($A148,'Data shares'!$C:$FB,66)</f>
        <v>13612800</v>
      </c>
      <c r="E148" s="49">
        <f>VLOOKUP($A148,'Data shares'!$C:$FB,67)</f>
        <v>18598400</v>
      </c>
      <c r="F148" s="50">
        <f>VLOOKUP($A148,'Data shares'!$C:$FB,69)*100</f>
        <v>-26.810000000000002</v>
      </c>
      <c r="G148" s="49">
        <f>VLOOKUP($A148,'Data shares'!$C:$FB,42)</f>
        <v>4403200</v>
      </c>
      <c r="H148" s="49">
        <f>VLOOKUP($A148,'Data shares'!$C:$FB,43)</f>
        <v>6681600</v>
      </c>
      <c r="I148" s="50">
        <f>VLOOKUP($A148,'Data shares'!$C:$FB,45)*100</f>
        <v>-34.1</v>
      </c>
      <c r="J148" s="49">
        <f>VLOOKUP($A148,'Data shares'!$C:$FB,58)</f>
        <v>7308800</v>
      </c>
      <c r="K148" s="49">
        <f>VLOOKUP($A148,'Data shares'!$C:$FB,59)</f>
        <v>8057600</v>
      </c>
      <c r="L148" s="50">
        <f>VLOOKUP($A148,'Data shares'!$C:$FB,61)*100</f>
        <v>-9.2899999999999991</v>
      </c>
      <c r="M148" s="49">
        <f>VLOOKUP($A148,'Data shares'!$C:$FB,62)</f>
        <v>1900800</v>
      </c>
      <c r="N148" s="49">
        <f>VLOOKUP($A148,'Data shares'!$C:$FB,63)</f>
        <v>3859200</v>
      </c>
      <c r="O148" s="140">
        <f>VLOOKUP($A148,'Data shares'!$C:$FB,65)*100</f>
        <v>-50.749999999999993</v>
      </c>
    </row>
    <row r="149" spans="1:15" x14ac:dyDescent="0.25">
      <c r="A149" s="101" t="str">
        <f>'Data shares'!C144</f>
        <v>NIFTY</v>
      </c>
      <c r="B149" s="50">
        <f>VLOOKUP($A149,'Data shares'!$C:$FB,7)</f>
        <v>25077.65</v>
      </c>
      <c r="C149" s="50">
        <f>VLOOKUP($A149,'Data shares'!$C:$FB,10)*100</f>
        <v>0.74</v>
      </c>
      <c r="D149" s="49">
        <f>VLOOKUP($A149,'Data shares'!$C:$FB,66)</f>
        <v>10966346850</v>
      </c>
      <c r="E149" s="49">
        <f>VLOOKUP($A149,'Data shares'!$C:$FB,67)</f>
        <v>7463196675</v>
      </c>
      <c r="F149" s="50">
        <f>VLOOKUP($A149,'Data shares'!$C:$FB,69)*100</f>
        <v>46.94</v>
      </c>
      <c r="G149" s="49">
        <f>VLOOKUP($A149,'Data shares'!$C:$FB,42)</f>
        <v>5987925</v>
      </c>
      <c r="H149" s="49">
        <f>VLOOKUP($A149,'Data shares'!$C:$FB,43)</f>
        <v>4910400</v>
      </c>
      <c r="I149" s="50">
        <f>VLOOKUP($A149,'Data shares'!$C:$FB,45)*100</f>
        <v>21.94</v>
      </c>
      <c r="J149" s="49">
        <f>VLOOKUP($A149,'Data shares'!$C:$FB,58)</f>
        <v>5817291375</v>
      </c>
      <c r="K149" s="49">
        <f>VLOOKUP($A149,'Data shares'!$C:$FB,59)</f>
        <v>3884671125</v>
      </c>
      <c r="L149" s="50">
        <f>VLOOKUP($A149,'Data shares'!$C:$FB,61)*100</f>
        <v>49.75</v>
      </c>
      <c r="M149" s="49">
        <f>VLOOKUP($A149,'Data shares'!$C:$FB,62)</f>
        <v>5143067550</v>
      </c>
      <c r="N149" s="49">
        <f>VLOOKUP($A149,'Data shares'!$C:$FB,63)</f>
        <v>3573615150</v>
      </c>
      <c r="O149" s="140">
        <f>VLOOKUP($A149,'Data shares'!$C:$FB,65)*100</f>
        <v>43.919999999999995</v>
      </c>
    </row>
    <row r="150" spans="1:15" x14ac:dyDescent="0.25">
      <c r="A150" s="101" t="str">
        <f>'Data shares'!C145</f>
        <v>NIFTYNXT50</v>
      </c>
      <c r="B150" s="50">
        <f>VLOOKUP($A150,'Data shares'!$C:$FB,7)</f>
        <v>68590.25</v>
      </c>
      <c r="C150" s="50">
        <f>VLOOKUP($A150,'Data shares'!$C:$FB,10)*100</f>
        <v>0.33999999999999997</v>
      </c>
      <c r="D150" s="49">
        <f>VLOOKUP($A150,'Data shares'!$C:$FB,66)</f>
        <v>11825</v>
      </c>
      <c r="E150" s="49">
        <f>VLOOKUP($A150,'Data shares'!$C:$FB,67)</f>
        <v>8125</v>
      </c>
      <c r="F150" s="50">
        <f>VLOOKUP($A150,'Data shares'!$C:$FB,69)*100</f>
        <v>45.540000000000006</v>
      </c>
      <c r="G150" s="49">
        <f>VLOOKUP($A150,'Data shares'!$C:$FB,42)</f>
        <v>6150</v>
      </c>
      <c r="H150" s="49">
        <f>VLOOKUP($A150,'Data shares'!$C:$FB,43)</f>
        <v>5700</v>
      </c>
      <c r="I150" s="50">
        <f>VLOOKUP($A150,'Data shares'!$C:$FB,45)*100</f>
        <v>7.89</v>
      </c>
      <c r="J150" s="49">
        <f>VLOOKUP($A150,'Data shares'!$C:$FB,58)</f>
        <v>3175</v>
      </c>
      <c r="K150" s="49">
        <f>VLOOKUP($A150,'Data shares'!$C:$FB,59)</f>
        <v>1750</v>
      </c>
      <c r="L150" s="50">
        <f>VLOOKUP($A150,'Data shares'!$C:$FB,61)*100</f>
        <v>81.430000000000007</v>
      </c>
      <c r="M150" s="49">
        <f>VLOOKUP($A150,'Data shares'!$C:$FB,62)</f>
        <v>2500</v>
      </c>
      <c r="N150" s="49">
        <f>VLOOKUP($A150,'Data shares'!$C:$FB,63)</f>
        <v>675</v>
      </c>
      <c r="O150" s="140">
        <f>VLOOKUP($A150,'Data shares'!$C:$FB,65)*100</f>
        <v>270.37</v>
      </c>
    </row>
    <row r="151" spans="1:15" x14ac:dyDescent="0.25">
      <c r="A151" s="101" t="str">
        <f>'Data shares'!C146</f>
        <v>NMDC</v>
      </c>
      <c r="B151" s="50">
        <f>VLOOKUP($A151,'Data shares'!$C:$FB,7)</f>
        <v>76.06</v>
      </c>
      <c r="C151" s="50">
        <f>VLOOKUP($A151,'Data shares'!$C:$FB,10)*100</f>
        <v>-1.35</v>
      </c>
      <c r="D151" s="49">
        <f>VLOOKUP($A151,'Data shares'!$C:$FB,66)</f>
        <v>150970500</v>
      </c>
      <c r="E151" s="49">
        <f>VLOOKUP($A151,'Data shares'!$C:$FB,67)</f>
        <v>231160500</v>
      </c>
      <c r="F151" s="50">
        <f>VLOOKUP($A151,'Data shares'!$C:$FB,69)*100</f>
        <v>-34.69</v>
      </c>
      <c r="G151" s="49">
        <f>VLOOKUP($A151,'Data shares'!$C:$FB,42)</f>
        <v>32049000</v>
      </c>
      <c r="H151" s="49">
        <f>VLOOKUP($A151,'Data shares'!$C:$FB,43)</f>
        <v>45643500</v>
      </c>
      <c r="I151" s="50">
        <f>VLOOKUP($A151,'Data shares'!$C:$FB,45)*100</f>
        <v>-29.78</v>
      </c>
      <c r="J151" s="49">
        <f>VLOOKUP($A151,'Data shares'!$C:$FB,58)</f>
        <v>83200500</v>
      </c>
      <c r="K151" s="49">
        <f>VLOOKUP($A151,'Data shares'!$C:$FB,59)</f>
        <v>131112000</v>
      </c>
      <c r="L151" s="50">
        <f>VLOOKUP($A151,'Data shares'!$C:$FB,61)*100</f>
        <v>-36.54</v>
      </c>
      <c r="M151" s="49">
        <f>VLOOKUP($A151,'Data shares'!$C:$FB,62)</f>
        <v>35721000</v>
      </c>
      <c r="N151" s="49">
        <f>VLOOKUP($A151,'Data shares'!$C:$FB,63)</f>
        <v>54405000</v>
      </c>
      <c r="O151" s="140">
        <f>VLOOKUP($A151,'Data shares'!$C:$FB,65)*100</f>
        <v>-34.339999999999996</v>
      </c>
    </row>
    <row r="152" spans="1:15" x14ac:dyDescent="0.25">
      <c r="A152" s="101" t="str">
        <f>'Data shares'!C147</f>
        <v>NTPC</v>
      </c>
      <c r="B152" s="50">
        <f>VLOOKUP($A152,'Data shares'!$C:$FB,7)</f>
        <v>339.1</v>
      </c>
      <c r="C152" s="50">
        <f>VLOOKUP($A152,'Data shares'!$C:$FB,10)*100</f>
        <v>-0.85000000000000009</v>
      </c>
      <c r="D152" s="49">
        <f>VLOOKUP($A152,'Data shares'!$C:$FB,66)</f>
        <v>48714000</v>
      </c>
      <c r="E152" s="49">
        <f>VLOOKUP($A152,'Data shares'!$C:$FB,67)</f>
        <v>43090500</v>
      </c>
      <c r="F152" s="50">
        <f>VLOOKUP($A152,'Data shares'!$C:$FB,69)*100</f>
        <v>13.05</v>
      </c>
      <c r="G152" s="49">
        <f>VLOOKUP($A152,'Data shares'!$C:$FB,42)</f>
        <v>8650500</v>
      </c>
      <c r="H152" s="49">
        <f>VLOOKUP($A152,'Data shares'!$C:$FB,43)</f>
        <v>9025500</v>
      </c>
      <c r="I152" s="50">
        <f>VLOOKUP($A152,'Data shares'!$C:$FB,45)*100</f>
        <v>-4.1500000000000004</v>
      </c>
      <c r="J152" s="49">
        <f>VLOOKUP($A152,'Data shares'!$C:$FB,58)</f>
        <v>27987000</v>
      </c>
      <c r="K152" s="49">
        <f>VLOOKUP($A152,'Data shares'!$C:$FB,59)</f>
        <v>22582500</v>
      </c>
      <c r="L152" s="50">
        <f>VLOOKUP($A152,'Data shares'!$C:$FB,61)*100</f>
        <v>23.93</v>
      </c>
      <c r="M152" s="49">
        <f>VLOOKUP($A152,'Data shares'!$C:$FB,62)</f>
        <v>12076500</v>
      </c>
      <c r="N152" s="49">
        <f>VLOOKUP($A152,'Data shares'!$C:$FB,63)</f>
        <v>11482500</v>
      </c>
      <c r="O152" s="140">
        <f>VLOOKUP($A152,'Data shares'!$C:$FB,65)*100</f>
        <v>5.17</v>
      </c>
    </row>
    <row r="153" spans="1:15" x14ac:dyDescent="0.25">
      <c r="A153" s="101" t="str">
        <f>'Data shares'!C148</f>
        <v>NUVAMA</v>
      </c>
      <c r="B153" s="50">
        <f>VLOOKUP($A153,'Data shares'!$C:$FB,7)</f>
        <v>6928</v>
      </c>
      <c r="C153" s="50">
        <f>VLOOKUP($A153,'Data shares'!$C:$FB,10)*100</f>
        <v>2.5700000000000003</v>
      </c>
      <c r="D153" s="49">
        <f>VLOOKUP($A153,'Data shares'!$C:$FB,66)</f>
        <v>1810875</v>
      </c>
      <c r="E153" s="49">
        <f>VLOOKUP($A153,'Data shares'!$C:$FB,67)</f>
        <v>3120375</v>
      </c>
      <c r="F153" s="50">
        <f>VLOOKUP($A153,'Data shares'!$C:$FB,69)*100</f>
        <v>-41.97</v>
      </c>
      <c r="G153" s="49">
        <f>VLOOKUP($A153,'Data shares'!$C:$FB,42)</f>
        <v>191700</v>
      </c>
      <c r="H153" s="49">
        <f>VLOOKUP($A153,'Data shares'!$C:$FB,43)</f>
        <v>327825</v>
      </c>
      <c r="I153" s="50">
        <f>VLOOKUP($A153,'Data shares'!$C:$FB,45)*100</f>
        <v>-41.52</v>
      </c>
      <c r="J153" s="49">
        <f>VLOOKUP($A153,'Data shares'!$C:$FB,58)</f>
        <v>1161075</v>
      </c>
      <c r="K153" s="49">
        <f>VLOOKUP($A153,'Data shares'!$C:$FB,59)</f>
        <v>2133525</v>
      </c>
      <c r="L153" s="50">
        <f>VLOOKUP($A153,'Data shares'!$C:$FB,61)*100</f>
        <v>-45.58</v>
      </c>
      <c r="M153" s="49">
        <f>VLOOKUP($A153,'Data shares'!$C:$FB,62)</f>
        <v>458100</v>
      </c>
      <c r="N153" s="49">
        <f>VLOOKUP($A153,'Data shares'!$C:$FB,63)</f>
        <v>659025</v>
      </c>
      <c r="O153" s="140">
        <f>VLOOKUP($A153,'Data shares'!$C:$FB,65)*100</f>
        <v>-30.490000000000002</v>
      </c>
    </row>
    <row r="154" spans="1:15" x14ac:dyDescent="0.25">
      <c r="A154" s="101" t="str">
        <f>'Data shares'!C149</f>
        <v>NYKAA</v>
      </c>
      <c r="B154" s="50">
        <f>VLOOKUP($A154,'Data shares'!$C:$FB,7)</f>
        <v>255.34</v>
      </c>
      <c r="C154" s="50">
        <f>VLOOKUP($A154,'Data shares'!$C:$FB,10)*100</f>
        <v>6.4799999999999995</v>
      </c>
      <c r="D154" s="49">
        <f>VLOOKUP($A154,'Data shares'!$C:$FB,66)</f>
        <v>127837500</v>
      </c>
      <c r="E154" s="49">
        <f>VLOOKUP($A154,'Data shares'!$C:$FB,67)</f>
        <v>19450000</v>
      </c>
      <c r="F154" s="50">
        <f>VLOOKUP($A154,'Data shares'!$C:$FB,69)*100</f>
        <v>557.26</v>
      </c>
      <c r="G154" s="49">
        <f>VLOOKUP($A154,'Data shares'!$C:$FB,42)</f>
        <v>20765625</v>
      </c>
      <c r="H154" s="49">
        <f>VLOOKUP($A154,'Data shares'!$C:$FB,43)</f>
        <v>5743750</v>
      </c>
      <c r="I154" s="50">
        <f>VLOOKUP($A154,'Data shares'!$C:$FB,45)*100</f>
        <v>261.52999999999997</v>
      </c>
      <c r="J154" s="49">
        <f>VLOOKUP($A154,'Data shares'!$C:$FB,58)</f>
        <v>78381250</v>
      </c>
      <c r="K154" s="49">
        <f>VLOOKUP($A154,'Data shares'!$C:$FB,59)</f>
        <v>10578125</v>
      </c>
      <c r="L154" s="50">
        <f>VLOOKUP($A154,'Data shares'!$C:$FB,61)*100</f>
        <v>640.97</v>
      </c>
      <c r="M154" s="49">
        <f>VLOOKUP($A154,'Data shares'!$C:$FB,62)</f>
        <v>28690625</v>
      </c>
      <c r="N154" s="49">
        <f>VLOOKUP($A154,'Data shares'!$C:$FB,63)</f>
        <v>3128125</v>
      </c>
      <c r="O154" s="140">
        <f>VLOOKUP($A154,'Data shares'!$C:$FB,65)*100</f>
        <v>817.18</v>
      </c>
    </row>
    <row r="155" spans="1:15" x14ac:dyDescent="0.25">
      <c r="A155" s="101" t="str">
        <f>'Data shares'!C150</f>
        <v>OBEROIRLTY</v>
      </c>
      <c r="B155" s="50">
        <f>VLOOKUP($A155,'Data shares'!$C:$FB,7)</f>
        <v>1622.3</v>
      </c>
      <c r="C155" s="50">
        <f>VLOOKUP($A155,'Data shares'!$C:$FB,10)*100</f>
        <v>1.05</v>
      </c>
      <c r="D155" s="49">
        <f>VLOOKUP($A155,'Data shares'!$C:$FB,66)</f>
        <v>2491650</v>
      </c>
      <c r="E155" s="49">
        <f>VLOOKUP($A155,'Data shares'!$C:$FB,67)</f>
        <v>1393700</v>
      </c>
      <c r="F155" s="50">
        <f>VLOOKUP($A155,'Data shares'!$C:$FB,69)*100</f>
        <v>78.78</v>
      </c>
      <c r="G155" s="49">
        <f>VLOOKUP($A155,'Data shares'!$C:$FB,42)</f>
        <v>595350</v>
      </c>
      <c r="H155" s="49">
        <f>VLOOKUP($A155,'Data shares'!$C:$FB,43)</f>
        <v>640150</v>
      </c>
      <c r="I155" s="50">
        <f>VLOOKUP($A155,'Data shares'!$C:$FB,45)*100</f>
        <v>-7.0000000000000009</v>
      </c>
      <c r="J155" s="49">
        <f>VLOOKUP($A155,'Data shares'!$C:$FB,58)</f>
        <v>1518300</v>
      </c>
      <c r="K155" s="49">
        <f>VLOOKUP($A155,'Data shares'!$C:$FB,59)</f>
        <v>586600</v>
      </c>
      <c r="L155" s="50">
        <f>VLOOKUP($A155,'Data shares'!$C:$FB,61)*100</f>
        <v>158.83000000000001</v>
      </c>
      <c r="M155" s="49">
        <f>VLOOKUP($A155,'Data shares'!$C:$FB,62)</f>
        <v>378000</v>
      </c>
      <c r="N155" s="49">
        <f>VLOOKUP($A155,'Data shares'!$C:$FB,63)</f>
        <v>166950</v>
      </c>
      <c r="O155" s="140">
        <f>VLOOKUP($A155,'Data shares'!$C:$FB,65)*100</f>
        <v>126.42</v>
      </c>
    </row>
    <row r="156" spans="1:15" x14ac:dyDescent="0.25">
      <c r="A156" s="101" t="str">
        <f>'Data shares'!C151</f>
        <v>OFSS</v>
      </c>
      <c r="B156" s="50">
        <f>VLOOKUP($A156,'Data shares'!$C:$FB,7)</f>
        <v>9093.5</v>
      </c>
      <c r="C156" s="50">
        <f>VLOOKUP($A156,'Data shares'!$C:$FB,10)*100</f>
        <v>1.47</v>
      </c>
      <c r="D156" s="49">
        <f>VLOOKUP($A156,'Data shares'!$C:$FB,66)</f>
        <v>1434075</v>
      </c>
      <c r="E156" s="49">
        <f>VLOOKUP($A156,'Data shares'!$C:$FB,67)</f>
        <v>2034150</v>
      </c>
      <c r="F156" s="50">
        <f>VLOOKUP($A156,'Data shares'!$C:$FB,69)*100</f>
        <v>-29.5</v>
      </c>
      <c r="G156" s="49">
        <f>VLOOKUP($A156,'Data shares'!$C:$FB,42)</f>
        <v>246900</v>
      </c>
      <c r="H156" s="49">
        <f>VLOOKUP($A156,'Data shares'!$C:$FB,43)</f>
        <v>317325</v>
      </c>
      <c r="I156" s="50">
        <f>VLOOKUP($A156,'Data shares'!$C:$FB,45)*100</f>
        <v>-22.189999999999998</v>
      </c>
      <c r="J156" s="49">
        <f>VLOOKUP($A156,'Data shares'!$C:$FB,58)</f>
        <v>880425</v>
      </c>
      <c r="K156" s="49">
        <f>VLOOKUP($A156,'Data shares'!$C:$FB,59)</f>
        <v>1284450</v>
      </c>
      <c r="L156" s="50">
        <f>VLOOKUP($A156,'Data shares'!$C:$FB,61)*100</f>
        <v>-31.46</v>
      </c>
      <c r="M156" s="49">
        <f>VLOOKUP($A156,'Data shares'!$C:$FB,62)</f>
        <v>306750</v>
      </c>
      <c r="N156" s="49">
        <f>VLOOKUP($A156,'Data shares'!$C:$FB,63)</f>
        <v>432375</v>
      </c>
      <c r="O156" s="140">
        <f>VLOOKUP($A156,'Data shares'!$C:$FB,65)*100</f>
        <v>-29.049999999999997</v>
      </c>
    </row>
    <row r="157" spans="1:15" x14ac:dyDescent="0.25">
      <c r="A157" s="101" t="str">
        <f>'Data shares'!C152</f>
        <v>OIL</v>
      </c>
      <c r="B157" s="50">
        <f>VLOOKUP($A157,'Data shares'!$C:$FB,7)</f>
        <v>419.2</v>
      </c>
      <c r="C157" s="50">
        <f>VLOOKUP($A157,'Data shares'!$C:$FB,10)*100</f>
        <v>1.0900000000000001</v>
      </c>
      <c r="D157" s="49">
        <f>VLOOKUP($A157,'Data shares'!$C:$FB,66)</f>
        <v>8968400</v>
      </c>
      <c r="E157" s="49">
        <f>VLOOKUP($A157,'Data shares'!$C:$FB,67)</f>
        <v>7695800</v>
      </c>
      <c r="F157" s="50">
        <f>VLOOKUP($A157,'Data shares'!$C:$FB,69)*100</f>
        <v>16.54</v>
      </c>
      <c r="G157" s="49">
        <f>VLOOKUP($A157,'Data shares'!$C:$FB,42)</f>
        <v>2650200</v>
      </c>
      <c r="H157" s="49">
        <f>VLOOKUP($A157,'Data shares'!$C:$FB,43)</f>
        <v>2436000</v>
      </c>
      <c r="I157" s="50">
        <f>VLOOKUP($A157,'Data shares'!$C:$FB,45)*100</f>
        <v>8.7900000000000009</v>
      </c>
      <c r="J157" s="49">
        <f>VLOOKUP($A157,'Data shares'!$C:$FB,58)</f>
        <v>4699800</v>
      </c>
      <c r="K157" s="49">
        <f>VLOOKUP($A157,'Data shares'!$C:$FB,59)</f>
        <v>3736600</v>
      </c>
      <c r="L157" s="50">
        <f>VLOOKUP($A157,'Data shares'!$C:$FB,61)*100</f>
        <v>25.779999999999998</v>
      </c>
      <c r="M157" s="49">
        <f>VLOOKUP($A157,'Data shares'!$C:$FB,62)</f>
        <v>1618400</v>
      </c>
      <c r="N157" s="49">
        <f>VLOOKUP($A157,'Data shares'!$C:$FB,63)</f>
        <v>1523200</v>
      </c>
      <c r="O157" s="140">
        <f>VLOOKUP($A157,'Data shares'!$C:$FB,65)*100</f>
        <v>6.25</v>
      </c>
    </row>
    <row r="158" spans="1:15" x14ac:dyDescent="0.25">
      <c r="A158" s="101" t="str">
        <f>'Data shares'!C153</f>
        <v>ONGC</v>
      </c>
      <c r="B158" s="50">
        <f>VLOOKUP($A158,'Data shares'!$C:$FB,7)</f>
        <v>245.86</v>
      </c>
      <c r="C158" s="50">
        <f>VLOOKUP($A158,'Data shares'!$C:$FB,10)*100</f>
        <v>0.89999999999999991</v>
      </c>
      <c r="D158" s="49">
        <f>VLOOKUP($A158,'Data shares'!$C:$FB,66)</f>
        <v>103286250</v>
      </c>
      <c r="E158" s="49">
        <f>VLOOKUP($A158,'Data shares'!$C:$FB,67)</f>
        <v>73255500</v>
      </c>
      <c r="F158" s="50">
        <f>VLOOKUP($A158,'Data shares'!$C:$FB,69)*100</f>
        <v>40.99</v>
      </c>
      <c r="G158" s="49">
        <f>VLOOKUP($A158,'Data shares'!$C:$FB,42)</f>
        <v>15948000</v>
      </c>
      <c r="H158" s="49">
        <f>VLOOKUP($A158,'Data shares'!$C:$FB,43)</f>
        <v>13738500</v>
      </c>
      <c r="I158" s="50">
        <f>VLOOKUP($A158,'Data shares'!$C:$FB,45)*100</f>
        <v>16.079999999999998</v>
      </c>
      <c r="J158" s="49">
        <f>VLOOKUP($A158,'Data shares'!$C:$FB,58)</f>
        <v>61296750</v>
      </c>
      <c r="K158" s="49">
        <f>VLOOKUP($A158,'Data shares'!$C:$FB,59)</f>
        <v>42162750</v>
      </c>
      <c r="L158" s="50">
        <f>VLOOKUP($A158,'Data shares'!$C:$FB,61)*100</f>
        <v>45.379999999999995</v>
      </c>
      <c r="M158" s="49">
        <f>VLOOKUP($A158,'Data shares'!$C:$FB,62)</f>
        <v>26041500</v>
      </c>
      <c r="N158" s="49">
        <f>VLOOKUP($A158,'Data shares'!$C:$FB,63)</f>
        <v>17354250</v>
      </c>
      <c r="O158" s="140">
        <f>VLOOKUP($A158,'Data shares'!$C:$FB,65)*100</f>
        <v>50.06</v>
      </c>
    </row>
    <row r="159" spans="1:15" x14ac:dyDescent="0.25">
      <c r="A159" s="101" t="str">
        <f>'Data shares'!C154</f>
        <v>PAGEIND</v>
      </c>
      <c r="B159" s="50">
        <f>VLOOKUP($A159,'Data shares'!$C:$FB,7)</f>
        <v>42195</v>
      </c>
      <c r="C159" s="50">
        <f>VLOOKUP($A159,'Data shares'!$C:$FB,10)*100</f>
        <v>-1.59</v>
      </c>
      <c r="D159" s="49">
        <f>VLOOKUP($A159,'Data shares'!$C:$FB,66)</f>
        <v>132525</v>
      </c>
      <c r="E159" s="49">
        <f>VLOOKUP($A159,'Data shares'!$C:$FB,67)</f>
        <v>271125</v>
      </c>
      <c r="F159" s="50">
        <f>VLOOKUP($A159,'Data shares'!$C:$FB,69)*100</f>
        <v>-51.12</v>
      </c>
      <c r="G159" s="49">
        <f>VLOOKUP($A159,'Data shares'!$C:$FB,42)</f>
        <v>26490</v>
      </c>
      <c r="H159" s="49">
        <f>VLOOKUP($A159,'Data shares'!$C:$FB,43)</f>
        <v>44040</v>
      </c>
      <c r="I159" s="50">
        <f>VLOOKUP($A159,'Data shares'!$C:$FB,45)*100</f>
        <v>-39.85</v>
      </c>
      <c r="J159" s="49">
        <f>VLOOKUP($A159,'Data shares'!$C:$FB,58)</f>
        <v>91830</v>
      </c>
      <c r="K159" s="49">
        <f>VLOOKUP($A159,'Data shares'!$C:$FB,59)</f>
        <v>180630</v>
      </c>
      <c r="L159" s="50">
        <f>VLOOKUP($A159,'Data shares'!$C:$FB,61)*100</f>
        <v>-49.16</v>
      </c>
      <c r="M159" s="49">
        <f>VLOOKUP($A159,'Data shares'!$C:$FB,62)</f>
        <v>14205</v>
      </c>
      <c r="N159" s="49">
        <f>VLOOKUP($A159,'Data shares'!$C:$FB,63)</f>
        <v>46455</v>
      </c>
      <c r="O159" s="140">
        <f>VLOOKUP($A159,'Data shares'!$C:$FB,65)*100</f>
        <v>-69.42</v>
      </c>
    </row>
    <row r="160" spans="1:15" x14ac:dyDescent="0.25">
      <c r="A160" s="101" t="str">
        <f>'Data shares'!C155</f>
        <v>PATANJALI</v>
      </c>
      <c r="B160" s="50">
        <f>VLOOKUP($A160,'Data shares'!$C:$FB,7)</f>
        <v>597.54999999999995</v>
      </c>
      <c r="C160" s="50">
        <f>VLOOKUP($A160,'Data shares'!$C:$FB,10)*100</f>
        <v>1.55</v>
      </c>
      <c r="D160" s="49">
        <f>VLOOKUP($A160,'Data shares'!$C:$FB,66)</f>
        <v>12633300</v>
      </c>
      <c r="E160" s="49">
        <f>VLOOKUP($A160,'Data shares'!$C:$FB,67)</f>
        <v>9693900</v>
      </c>
      <c r="F160" s="50">
        <f>VLOOKUP($A160,'Data shares'!$C:$FB,69)*100</f>
        <v>30.320000000000004</v>
      </c>
      <c r="G160" s="49">
        <f>VLOOKUP($A160,'Data shares'!$C:$FB,42)</f>
        <v>3690000</v>
      </c>
      <c r="H160" s="49">
        <f>VLOOKUP($A160,'Data shares'!$C:$FB,43)</f>
        <v>3234600</v>
      </c>
      <c r="I160" s="50">
        <f>VLOOKUP($A160,'Data shares'!$C:$FB,45)*100</f>
        <v>14.08</v>
      </c>
      <c r="J160" s="49">
        <f>VLOOKUP($A160,'Data shares'!$C:$FB,58)</f>
        <v>6563700</v>
      </c>
      <c r="K160" s="49">
        <f>VLOOKUP($A160,'Data shares'!$C:$FB,59)</f>
        <v>3977100</v>
      </c>
      <c r="L160" s="50">
        <f>VLOOKUP($A160,'Data shares'!$C:$FB,61)*100</f>
        <v>65.039999999999992</v>
      </c>
      <c r="M160" s="49">
        <f>VLOOKUP($A160,'Data shares'!$C:$FB,62)</f>
        <v>2379600</v>
      </c>
      <c r="N160" s="49">
        <f>VLOOKUP($A160,'Data shares'!$C:$FB,63)</f>
        <v>2482200</v>
      </c>
      <c r="O160" s="140">
        <f>VLOOKUP($A160,'Data shares'!$C:$FB,65)*100</f>
        <v>-4.1300000000000008</v>
      </c>
    </row>
    <row r="161" spans="1:15" x14ac:dyDescent="0.25">
      <c r="A161" s="101" t="str">
        <f>'Data shares'!C156</f>
        <v>PAYTM</v>
      </c>
      <c r="B161" s="50">
        <f>VLOOKUP($A161,'Data shares'!$C:$FB,7)</f>
        <v>1224.2</v>
      </c>
      <c r="C161" s="50">
        <f>VLOOKUP($A161,'Data shares'!$C:$FB,10)*100</f>
        <v>4.8099999999999996</v>
      </c>
      <c r="D161" s="49">
        <f>VLOOKUP($A161,'Data shares'!$C:$FB,66)</f>
        <v>46822675</v>
      </c>
      <c r="E161" s="49">
        <f>VLOOKUP($A161,'Data shares'!$C:$FB,67)</f>
        <v>19227000</v>
      </c>
      <c r="F161" s="50">
        <f>VLOOKUP($A161,'Data shares'!$C:$FB,69)*100</f>
        <v>143.53</v>
      </c>
      <c r="G161" s="49">
        <f>VLOOKUP($A161,'Data shares'!$C:$FB,42)</f>
        <v>7918450</v>
      </c>
      <c r="H161" s="49">
        <f>VLOOKUP($A161,'Data shares'!$C:$FB,43)</f>
        <v>4073775</v>
      </c>
      <c r="I161" s="50">
        <f>VLOOKUP($A161,'Data shares'!$C:$FB,45)*100</f>
        <v>94.38</v>
      </c>
      <c r="J161" s="49">
        <f>VLOOKUP($A161,'Data shares'!$C:$FB,58)</f>
        <v>25810725</v>
      </c>
      <c r="K161" s="49">
        <f>VLOOKUP($A161,'Data shares'!$C:$FB,59)</f>
        <v>10685775</v>
      </c>
      <c r="L161" s="50">
        <f>VLOOKUP($A161,'Data shares'!$C:$FB,61)*100</f>
        <v>141.54</v>
      </c>
      <c r="M161" s="49">
        <f>VLOOKUP($A161,'Data shares'!$C:$FB,62)</f>
        <v>13093500</v>
      </c>
      <c r="N161" s="49">
        <f>VLOOKUP($A161,'Data shares'!$C:$FB,63)</f>
        <v>4467450</v>
      </c>
      <c r="O161" s="140">
        <f>VLOOKUP($A161,'Data shares'!$C:$FB,65)*100</f>
        <v>193.09</v>
      </c>
    </row>
    <row r="162" spans="1:15" x14ac:dyDescent="0.25">
      <c r="A162" s="101" t="str">
        <f>'Data shares'!C157</f>
        <v>PERSISTENT</v>
      </c>
      <c r="B162" s="50">
        <f>VLOOKUP($A162,'Data shares'!$C:$FB,7)</f>
        <v>5189.3</v>
      </c>
      <c r="C162" s="50">
        <f>VLOOKUP($A162,'Data shares'!$C:$FB,10)*100</f>
        <v>2.3800000000000003</v>
      </c>
      <c r="D162" s="49">
        <f>VLOOKUP($A162,'Data shares'!$C:$FB,66)</f>
        <v>4092500</v>
      </c>
      <c r="E162" s="49">
        <f>VLOOKUP($A162,'Data shares'!$C:$FB,67)</f>
        <v>2704100</v>
      </c>
      <c r="F162" s="50">
        <f>VLOOKUP($A162,'Data shares'!$C:$FB,69)*100</f>
        <v>51.339999999999996</v>
      </c>
      <c r="G162" s="49">
        <f>VLOOKUP($A162,'Data shares'!$C:$FB,42)</f>
        <v>677200</v>
      </c>
      <c r="H162" s="49">
        <f>VLOOKUP($A162,'Data shares'!$C:$FB,43)</f>
        <v>498700</v>
      </c>
      <c r="I162" s="50">
        <f>VLOOKUP($A162,'Data shares'!$C:$FB,45)*100</f>
        <v>35.79</v>
      </c>
      <c r="J162" s="49">
        <f>VLOOKUP($A162,'Data shares'!$C:$FB,58)</f>
        <v>2366800</v>
      </c>
      <c r="K162" s="49">
        <f>VLOOKUP($A162,'Data shares'!$C:$FB,59)</f>
        <v>1589500</v>
      </c>
      <c r="L162" s="50">
        <f>VLOOKUP($A162,'Data shares'!$C:$FB,61)*100</f>
        <v>48.9</v>
      </c>
      <c r="M162" s="49">
        <f>VLOOKUP($A162,'Data shares'!$C:$FB,62)</f>
        <v>1048500</v>
      </c>
      <c r="N162" s="49">
        <f>VLOOKUP($A162,'Data shares'!$C:$FB,63)</f>
        <v>615900</v>
      </c>
      <c r="O162" s="140">
        <f>VLOOKUP($A162,'Data shares'!$C:$FB,65)*100</f>
        <v>70.240000000000009</v>
      </c>
    </row>
    <row r="163" spans="1:15" x14ac:dyDescent="0.25">
      <c r="A163" s="101" t="str">
        <f>'Data shares'!C158</f>
        <v>PETRONET</v>
      </c>
      <c r="B163" s="50">
        <f>VLOOKUP($A163,'Data shares'!$C:$FB,7)</f>
        <v>280.3</v>
      </c>
      <c r="C163" s="50">
        <f>VLOOKUP($A163,'Data shares'!$C:$FB,10)*100</f>
        <v>0.48</v>
      </c>
      <c r="D163" s="49">
        <f>VLOOKUP($A163,'Data shares'!$C:$FB,66)</f>
        <v>15224400</v>
      </c>
      <c r="E163" s="49">
        <f>VLOOKUP($A163,'Data shares'!$C:$FB,67)</f>
        <v>11804400</v>
      </c>
      <c r="F163" s="50">
        <f>VLOOKUP($A163,'Data shares'!$C:$FB,69)*100</f>
        <v>28.970000000000002</v>
      </c>
      <c r="G163" s="49">
        <f>VLOOKUP($A163,'Data shares'!$C:$FB,42)</f>
        <v>2215800</v>
      </c>
      <c r="H163" s="49">
        <f>VLOOKUP($A163,'Data shares'!$C:$FB,43)</f>
        <v>4230000</v>
      </c>
      <c r="I163" s="50">
        <f>VLOOKUP($A163,'Data shares'!$C:$FB,45)*100</f>
        <v>-47.620000000000005</v>
      </c>
      <c r="J163" s="49">
        <f>VLOOKUP($A163,'Data shares'!$C:$FB,58)</f>
        <v>10530000</v>
      </c>
      <c r="K163" s="49">
        <f>VLOOKUP($A163,'Data shares'!$C:$FB,59)</f>
        <v>4737600</v>
      </c>
      <c r="L163" s="50">
        <f>VLOOKUP($A163,'Data shares'!$C:$FB,61)*100</f>
        <v>122.25999999999999</v>
      </c>
      <c r="M163" s="49">
        <f>VLOOKUP($A163,'Data shares'!$C:$FB,62)</f>
        <v>2478600</v>
      </c>
      <c r="N163" s="49">
        <f>VLOOKUP($A163,'Data shares'!$C:$FB,63)</f>
        <v>2836800</v>
      </c>
      <c r="O163" s="140">
        <f>VLOOKUP($A163,'Data shares'!$C:$FB,65)*100</f>
        <v>-12.629999999999999</v>
      </c>
    </row>
    <row r="164" spans="1:15" x14ac:dyDescent="0.25">
      <c r="A164" s="101" t="str">
        <f>'Data shares'!C159</f>
        <v>PFC</v>
      </c>
      <c r="B164" s="50">
        <f>VLOOKUP($A164,'Data shares'!$C:$FB,7)</f>
        <v>405.9</v>
      </c>
      <c r="C164" s="50">
        <f>VLOOKUP($A164,'Data shares'!$C:$FB,10)*100</f>
        <v>-1.53</v>
      </c>
      <c r="D164" s="49">
        <f>VLOOKUP($A164,'Data shares'!$C:$FB,66)</f>
        <v>39403000</v>
      </c>
      <c r="E164" s="49">
        <f>VLOOKUP($A164,'Data shares'!$C:$FB,67)</f>
        <v>38681500</v>
      </c>
      <c r="F164" s="50">
        <f>VLOOKUP($A164,'Data shares'!$C:$FB,69)*100</f>
        <v>1.87</v>
      </c>
      <c r="G164" s="49">
        <f>VLOOKUP($A164,'Data shares'!$C:$FB,42)</f>
        <v>8201700</v>
      </c>
      <c r="H164" s="49">
        <f>VLOOKUP($A164,'Data shares'!$C:$FB,43)</f>
        <v>7385300</v>
      </c>
      <c r="I164" s="50">
        <f>VLOOKUP($A164,'Data shares'!$C:$FB,45)*100</f>
        <v>11.05</v>
      </c>
      <c r="J164" s="49">
        <f>VLOOKUP($A164,'Data shares'!$C:$FB,58)</f>
        <v>21060000</v>
      </c>
      <c r="K164" s="49">
        <f>VLOOKUP($A164,'Data shares'!$C:$FB,59)</f>
        <v>20754500</v>
      </c>
      <c r="L164" s="50">
        <f>VLOOKUP($A164,'Data shares'!$C:$FB,61)*100</f>
        <v>1.47</v>
      </c>
      <c r="M164" s="49">
        <f>VLOOKUP($A164,'Data shares'!$C:$FB,62)</f>
        <v>10141300</v>
      </c>
      <c r="N164" s="49">
        <f>VLOOKUP($A164,'Data shares'!$C:$FB,63)</f>
        <v>10541700</v>
      </c>
      <c r="O164" s="140">
        <f>VLOOKUP($A164,'Data shares'!$C:$FB,65)*100</f>
        <v>-3.8</v>
      </c>
    </row>
    <row r="165" spans="1:15" x14ac:dyDescent="0.25">
      <c r="A165" s="101" t="str">
        <f>'Data shares'!C160</f>
        <v>PGEL</v>
      </c>
      <c r="B165" s="50">
        <f>VLOOKUP($A165,'Data shares'!$C:$FB,7)</f>
        <v>517.20000000000005</v>
      </c>
      <c r="C165" s="50">
        <f>VLOOKUP($A165,'Data shares'!$C:$FB,10)*100</f>
        <v>0.59</v>
      </c>
      <c r="D165" s="49">
        <f>VLOOKUP($A165,'Data shares'!$C:$FB,66)</f>
        <v>8532300</v>
      </c>
      <c r="E165" s="49">
        <f>VLOOKUP($A165,'Data shares'!$C:$FB,67)</f>
        <v>6822200</v>
      </c>
      <c r="F165" s="50">
        <f>VLOOKUP($A165,'Data shares'!$C:$FB,69)*100</f>
        <v>25.069999999999997</v>
      </c>
      <c r="G165" s="49">
        <f>VLOOKUP($A165,'Data shares'!$C:$FB,42)</f>
        <v>1977500</v>
      </c>
      <c r="H165" s="49">
        <f>VLOOKUP($A165,'Data shares'!$C:$FB,43)</f>
        <v>1603000</v>
      </c>
      <c r="I165" s="50">
        <f>VLOOKUP($A165,'Data shares'!$C:$FB,45)*100</f>
        <v>23.36</v>
      </c>
      <c r="J165" s="49">
        <f>VLOOKUP($A165,'Data shares'!$C:$FB,58)</f>
        <v>4673900</v>
      </c>
      <c r="K165" s="49">
        <f>VLOOKUP($A165,'Data shares'!$C:$FB,59)</f>
        <v>4048800</v>
      </c>
      <c r="L165" s="50">
        <f>VLOOKUP($A165,'Data shares'!$C:$FB,61)*100</f>
        <v>15.440000000000001</v>
      </c>
      <c r="M165" s="49">
        <f>VLOOKUP($A165,'Data shares'!$C:$FB,62)</f>
        <v>1880900</v>
      </c>
      <c r="N165" s="49">
        <f>VLOOKUP($A165,'Data shares'!$C:$FB,63)</f>
        <v>1170400</v>
      </c>
      <c r="O165" s="140">
        <f>VLOOKUP($A165,'Data shares'!$C:$FB,65)*100</f>
        <v>60.709999999999994</v>
      </c>
    </row>
    <row r="166" spans="1:15" x14ac:dyDescent="0.25">
      <c r="A166" s="101" t="str">
        <f>'Data shares'!C161</f>
        <v>PHOENIXLTD</v>
      </c>
      <c r="B166" s="50">
        <f>VLOOKUP($A166,'Data shares'!$C:$FB,7)</f>
        <v>1594.4</v>
      </c>
      <c r="C166" s="50">
        <f>VLOOKUP($A166,'Data shares'!$C:$FB,10)*100</f>
        <v>2.04</v>
      </c>
      <c r="D166" s="49">
        <f>VLOOKUP($A166,'Data shares'!$C:$FB,66)</f>
        <v>1591100</v>
      </c>
      <c r="E166" s="49">
        <f>VLOOKUP($A166,'Data shares'!$C:$FB,67)</f>
        <v>776300</v>
      </c>
      <c r="F166" s="50">
        <f>VLOOKUP($A166,'Data shares'!$C:$FB,69)*100</f>
        <v>104.96000000000001</v>
      </c>
      <c r="G166" s="49">
        <f>VLOOKUP($A166,'Data shares'!$C:$FB,42)</f>
        <v>452900</v>
      </c>
      <c r="H166" s="49">
        <f>VLOOKUP($A166,'Data shares'!$C:$FB,43)</f>
        <v>384650</v>
      </c>
      <c r="I166" s="50">
        <f>VLOOKUP($A166,'Data shares'!$C:$FB,45)*100</f>
        <v>17.740000000000002</v>
      </c>
      <c r="J166" s="49">
        <f>VLOOKUP($A166,'Data shares'!$C:$FB,58)</f>
        <v>915250</v>
      </c>
      <c r="K166" s="49">
        <f>VLOOKUP($A166,'Data shares'!$C:$FB,59)</f>
        <v>256550</v>
      </c>
      <c r="L166" s="50">
        <f>VLOOKUP($A166,'Data shares'!$C:$FB,61)*100</f>
        <v>256.75</v>
      </c>
      <c r="M166" s="49">
        <f>VLOOKUP($A166,'Data shares'!$C:$FB,62)</f>
        <v>222950</v>
      </c>
      <c r="N166" s="49">
        <f>VLOOKUP($A166,'Data shares'!$C:$FB,63)</f>
        <v>135100</v>
      </c>
      <c r="O166" s="140">
        <f>VLOOKUP($A166,'Data shares'!$C:$FB,65)*100</f>
        <v>65.03</v>
      </c>
    </row>
    <row r="167" spans="1:15" x14ac:dyDescent="0.25">
      <c r="A167" s="101" t="str">
        <f>'Data shares'!C162</f>
        <v>PIDILITIND</v>
      </c>
      <c r="B167" s="50">
        <f>VLOOKUP($A167,'Data shares'!$C:$FB,7)</f>
        <v>1489</v>
      </c>
      <c r="C167" s="50">
        <f>VLOOKUP($A167,'Data shares'!$C:$FB,10)*100</f>
        <v>-0.04</v>
      </c>
      <c r="D167" s="49">
        <f>VLOOKUP($A167,'Data shares'!$C:$FB,66)</f>
        <v>1148500</v>
      </c>
      <c r="E167" s="49">
        <f>VLOOKUP($A167,'Data shares'!$C:$FB,67)</f>
        <v>2396500</v>
      </c>
      <c r="F167" s="50">
        <f>VLOOKUP($A167,'Data shares'!$C:$FB,69)*100</f>
        <v>-52.080000000000005</v>
      </c>
      <c r="G167" s="49">
        <f>VLOOKUP($A167,'Data shares'!$C:$FB,42)</f>
        <v>439000</v>
      </c>
      <c r="H167" s="49">
        <f>VLOOKUP($A167,'Data shares'!$C:$FB,43)</f>
        <v>885000</v>
      </c>
      <c r="I167" s="50">
        <f>VLOOKUP($A167,'Data shares'!$C:$FB,45)*100</f>
        <v>-50.4</v>
      </c>
      <c r="J167" s="49">
        <f>VLOOKUP($A167,'Data shares'!$C:$FB,58)</f>
        <v>464000</v>
      </c>
      <c r="K167" s="49">
        <f>VLOOKUP($A167,'Data shares'!$C:$FB,59)</f>
        <v>1116000</v>
      </c>
      <c r="L167" s="50">
        <f>VLOOKUP($A167,'Data shares'!$C:$FB,61)*100</f>
        <v>-58.42</v>
      </c>
      <c r="M167" s="49">
        <f>VLOOKUP($A167,'Data shares'!$C:$FB,62)</f>
        <v>245500</v>
      </c>
      <c r="N167" s="49">
        <f>VLOOKUP($A167,'Data shares'!$C:$FB,63)</f>
        <v>395500</v>
      </c>
      <c r="O167" s="140">
        <f>VLOOKUP($A167,'Data shares'!$C:$FB,65)*100</f>
        <v>-37.93</v>
      </c>
    </row>
    <row r="168" spans="1:15" x14ac:dyDescent="0.25">
      <c r="A168" s="101" t="str">
        <f>'Data shares'!C163</f>
        <v>PIIND</v>
      </c>
      <c r="B168" s="50">
        <f>VLOOKUP($A168,'Data shares'!$C:$FB,7)</f>
        <v>3630.4</v>
      </c>
      <c r="C168" s="50">
        <f>VLOOKUP($A168,'Data shares'!$C:$FB,10)*100</f>
        <v>0.37</v>
      </c>
      <c r="D168" s="49">
        <f>VLOOKUP($A168,'Data shares'!$C:$FB,66)</f>
        <v>1127525</v>
      </c>
      <c r="E168" s="49">
        <f>VLOOKUP($A168,'Data shares'!$C:$FB,67)</f>
        <v>684775</v>
      </c>
      <c r="F168" s="50">
        <f>VLOOKUP($A168,'Data shares'!$C:$FB,69)*100</f>
        <v>64.66</v>
      </c>
      <c r="G168" s="49">
        <f>VLOOKUP($A168,'Data shares'!$C:$FB,42)</f>
        <v>395675</v>
      </c>
      <c r="H168" s="49">
        <f>VLOOKUP($A168,'Data shares'!$C:$FB,43)</f>
        <v>240275</v>
      </c>
      <c r="I168" s="50">
        <f>VLOOKUP($A168,'Data shares'!$C:$FB,45)*100</f>
        <v>64.680000000000007</v>
      </c>
      <c r="J168" s="49">
        <f>VLOOKUP($A168,'Data shares'!$C:$FB,58)</f>
        <v>487550</v>
      </c>
      <c r="K168" s="49">
        <f>VLOOKUP($A168,'Data shares'!$C:$FB,59)</f>
        <v>282450</v>
      </c>
      <c r="L168" s="50">
        <f>VLOOKUP($A168,'Data shares'!$C:$FB,61)*100</f>
        <v>72.61</v>
      </c>
      <c r="M168" s="49">
        <f>VLOOKUP($A168,'Data shares'!$C:$FB,62)</f>
        <v>244300</v>
      </c>
      <c r="N168" s="49">
        <f>VLOOKUP($A168,'Data shares'!$C:$FB,63)</f>
        <v>162050</v>
      </c>
      <c r="O168" s="140">
        <f>VLOOKUP($A168,'Data shares'!$C:$FB,65)*100</f>
        <v>50.760000000000005</v>
      </c>
    </row>
    <row r="169" spans="1:15" x14ac:dyDescent="0.25">
      <c r="A169" s="101" t="str">
        <f>'Data shares'!C164</f>
        <v>PNB</v>
      </c>
      <c r="B169" s="50">
        <f>VLOOKUP($A169,'Data shares'!$C:$FB,7)</f>
        <v>114.54</v>
      </c>
      <c r="C169" s="50">
        <f>VLOOKUP($A169,'Data shares'!$C:$FB,10)*100</f>
        <v>0.15</v>
      </c>
      <c r="D169" s="49">
        <f>VLOOKUP($A169,'Data shares'!$C:$FB,66)</f>
        <v>269016000</v>
      </c>
      <c r="E169" s="49">
        <f>VLOOKUP($A169,'Data shares'!$C:$FB,67)</f>
        <v>341512000</v>
      </c>
      <c r="F169" s="50">
        <f>VLOOKUP($A169,'Data shares'!$C:$FB,69)*100</f>
        <v>-21.23</v>
      </c>
      <c r="G169" s="49">
        <f>VLOOKUP($A169,'Data shares'!$C:$FB,42)</f>
        <v>47512000</v>
      </c>
      <c r="H169" s="49">
        <f>VLOOKUP($A169,'Data shares'!$C:$FB,43)</f>
        <v>58760000</v>
      </c>
      <c r="I169" s="50">
        <f>VLOOKUP($A169,'Data shares'!$C:$FB,45)*100</f>
        <v>-19.139999999999997</v>
      </c>
      <c r="J169" s="49">
        <f>VLOOKUP($A169,'Data shares'!$C:$FB,58)</f>
        <v>156240000</v>
      </c>
      <c r="K169" s="49">
        <f>VLOOKUP($A169,'Data shares'!$C:$FB,59)</f>
        <v>195072000</v>
      </c>
      <c r="L169" s="50">
        <f>VLOOKUP($A169,'Data shares'!$C:$FB,61)*100</f>
        <v>-19.91</v>
      </c>
      <c r="M169" s="49">
        <f>VLOOKUP($A169,'Data shares'!$C:$FB,62)</f>
        <v>65264000</v>
      </c>
      <c r="N169" s="49">
        <f>VLOOKUP($A169,'Data shares'!$C:$FB,63)</f>
        <v>87680000</v>
      </c>
      <c r="O169" s="140">
        <f>VLOOKUP($A169,'Data shares'!$C:$FB,65)*100</f>
        <v>-25.569999999999997</v>
      </c>
    </row>
    <row r="170" spans="1:15" x14ac:dyDescent="0.25">
      <c r="A170" s="101" t="str">
        <f>'Data shares'!C165</f>
        <v>PNBHOUSING</v>
      </c>
      <c r="B170" s="50">
        <f>VLOOKUP($A170,'Data shares'!$C:$FB,7)</f>
        <v>895.05</v>
      </c>
      <c r="C170" s="50">
        <f>VLOOKUP($A170,'Data shares'!$C:$FB,10)*100</f>
        <v>0.79</v>
      </c>
      <c r="D170" s="49">
        <f>VLOOKUP($A170,'Data shares'!$C:$FB,66)</f>
        <v>6463600</v>
      </c>
      <c r="E170" s="49">
        <f>VLOOKUP($A170,'Data shares'!$C:$FB,67)</f>
        <v>3281200</v>
      </c>
      <c r="F170" s="50">
        <f>VLOOKUP($A170,'Data shares'!$C:$FB,69)*100</f>
        <v>96.99</v>
      </c>
      <c r="G170" s="49">
        <f>VLOOKUP($A170,'Data shares'!$C:$FB,42)</f>
        <v>2046850</v>
      </c>
      <c r="H170" s="49">
        <f>VLOOKUP($A170,'Data shares'!$C:$FB,43)</f>
        <v>1058200</v>
      </c>
      <c r="I170" s="50">
        <f>VLOOKUP($A170,'Data shares'!$C:$FB,45)*100</f>
        <v>93.43</v>
      </c>
      <c r="J170" s="49">
        <f>VLOOKUP($A170,'Data shares'!$C:$FB,58)</f>
        <v>3106350</v>
      </c>
      <c r="K170" s="49">
        <f>VLOOKUP($A170,'Data shares'!$C:$FB,59)</f>
        <v>1328600</v>
      </c>
      <c r="L170" s="50">
        <f>VLOOKUP($A170,'Data shares'!$C:$FB,61)*100</f>
        <v>133.81</v>
      </c>
      <c r="M170" s="49">
        <f>VLOOKUP($A170,'Data shares'!$C:$FB,62)</f>
        <v>1310400</v>
      </c>
      <c r="N170" s="49">
        <f>VLOOKUP($A170,'Data shares'!$C:$FB,63)</f>
        <v>894400</v>
      </c>
      <c r="O170" s="140">
        <f>VLOOKUP($A170,'Data shares'!$C:$FB,65)*100</f>
        <v>46.51</v>
      </c>
    </row>
    <row r="171" spans="1:15" x14ac:dyDescent="0.25">
      <c r="A171" s="101" t="str">
        <f>'Data shares'!C166</f>
        <v>POLICYBZR</v>
      </c>
      <c r="B171" s="50">
        <f>VLOOKUP($A171,'Data shares'!$C:$FB,7)</f>
        <v>1725.4</v>
      </c>
      <c r="C171" s="50">
        <f>VLOOKUP($A171,'Data shares'!$C:$FB,10)*100</f>
        <v>1.46</v>
      </c>
      <c r="D171" s="49">
        <f>VLOOKUP($A171,'Data shares'!$C:$FB,66)</f>
        <v>3364900</v>
      </c>
      <c r="E171" s="49">
        <f>VLOOKUP($A171,'Data shares'!$C:$FB,67)</f>
        <v>6043450</v>
      </c>
      <c r="F171" s="50">
        <f>VLOOKUP($A171,'Data shares'!$C:$FB,69)*100</f>
        <v>-44.32</v>
      </c>
      <c r="G171" s="49">
        <f>VLOOKUP($A171,'Data shares'!$C:$FB,42)</f>
        <v>1340850</v>
      </c>
      <c r="H171" s="49">
        <f>VLOOKUP($A171,'Data shares'!$C:$FB,43)</f>
        <v>1797950</v>
      </c>
      <c r="I171" s="50">
        <f>VLOOKUP($A171,'Data shares'!$C:$FB,45)*100</f>
        <v>-25.419999999999998</v>
      </c>
      <c r="J171" s="49">
        <f>VLOOKUP($A171,'Data shares'!$C:$FB,58)</f>
        <v>1184050</v>
      </c>
      <c r="K171" s="49">
        <f>VLOOKUP($A171,'Data shares'!$C:$FB,59)</f>
        <v>1745100</v>
      </c>
      <c r="L171" s="50">
        <f>VLOOKUP($A171,'Data shares'!$C:$FB,61)*100</f>
        <v>-32.15</v>
      </c>
      <c r="M171" s="49">
        <f>VLOOKUP($A171,'Data shares'!$C:$FB,62)</f>
        <v>840000</v>
      </c>
      <c r="N171" s="49">
        <f>VLOOKUP($A171,'Data shares'!$C:$FB,63)</f>
        <v>2500400</v>
      </c>
      <c r="O171" s="140">
        <f>VLOOKUP($A171,'Data shares'!$C:$FB,65)*100</f>
        <v>-66.41</v>
      </c>
    </row>
    <row r="172" spans="1:15" x14ac:dyDescent="0.25">
      <c r="A172" s="101" t="str">
        <f>'Data shares'!C167</f>
        <v>POLYCAB</v>
      </c>
      <c r="B172" s="50">
        <f>VLOOKUP($A172,'Data shares'!$C:$FB,7)</f>
        <v>7615.5</v>
      </c>
      <c r="C172" s="50">
        <f>VLOOKUP($A172,'Data shares'!$C:$FB,10)*100</f>
        <v>3.01</v>
      </c>
      <c r="D172" s="49">
        <f>VLOOKUP($A172,'Data shares'!$C:$FB,66)</f>
        <v>2722875</v>
      </c>
      <c r="E172" s="49">
        <f>VLOOKUP($A172,'Data shares'!$C:$FB,67)</f>
        <v>868500</v>
      </c>
      <c r="F172" s="50">
        <f>VLOOKUP($A172,'Data shares'!$C:$FB,69)*100</f>
        <v>213.51</v>
      </c>
      <c r="G172" s="49">
        <f>VLOOKUP($A172,'Data shares'!$C:$FB,42)</f>
        <v>505000</v>
      </c>
      <c r="H172" s="49">
        <f>VLOOKUP($A172,'Data shares'!$C:$FB,43)</f>
        <v>199500</v>
      </c>
      <c r="I172" s="50">
        <f>VLOOKUP($A172,'Data shares'!$C:$FB,45)*100</f>
        <v>153.13000000000002</v>
      </c>
      <c r="J172" s="49">
        <f>VLOOKUP($A172,'Data shares'!$C:$FB,58)</f>
        <v>1613375</v>
      </c>
      <c r="K172" s="49">
        <f>VLOOKUP($A172,'Data shares'!$C:$FB,59)</f>
        <v>455250</v>
      </c>
      <c r="L172" s="50">
        <f>VLOOKUP($A172,'Data shares'!$C:$FB,61)*100</f>
        <v>254.39</v>
      </c>
      <c r="M172" s="49">
        <f>VLOOKUP($A172,'Data shares'!$C:$FB,62)</f>
        <v>604500</v>
      </c>
      <c r="N172" s="49">
        <f>VLOOKUP($A172,'Data shares'!$C:$FB,63)</f>
        <v>213750</v>
      </c>
      <c r="O172" s="140">
        <f>VLOOKUP($A172,'Data shares'!$C:$FB,65)*100</f>
        <v>182.81</v>
      </c>
    </row>
    <row r="173" spans="1:15" x14ac:dyDescent="0.25">
      <c r="A173" s="101" t="str">
        <f>'Data shares'!C168</f>
        <v>POWERGRID</v>
      </c>
      <c r="B173" s="50">
        <f>VLOOKUP($A173,'Data shares'!$C:$FB,7)</f>
        <v>286.89999999999998</v>
      </c>
      <c r="C173" s="50">
        <f>VLOOKUP($A173,'Data shares'!$C:$FB,10)*100</f>
        <v>-0.97</v>
      </c>
      <c r="D173" s="49">
        <f>VLOOKUP($A173,'Data shares'!$C:$FB,66)</f>
        <v>41412400</v>
      </c>
      <c r="E173" s="49">
        <f>VLOOKUP($A173,'Data shares'!$C:$FB,67)</f>
        <v>64689300</v>
      </c>
      <c r="F173" s="50">
        <f>VLOOKUP($A173,'Data shares'!$C:$FB,69)*100</f>
        <v>-35.980000000000004</v>
      </c>
      <c r="G173" s="49">
        <f>VLOOKUP($A173,'Data shares'!$C:$FB,42)</f>
        <v>8827400</v>
      </c>
      <c r="H173" s="49">
        <f>VLOOKUP($A173,'Data shares'!$C:$FB,43)</f>
        <v>14320300</v>
      </c>
      <c r="I173" s="50">
        <f>VLOOKUP($A173,'Data shares'!$C:$FB,45)*100</f>
        <v>-38.36</v>
      </c>
      <c r="J173" s="49">
        <f>VLOOKUP($A173,'Data shares'!$C:$FB,58)</f>
        <v>22104600</v>
      </c>
      <c r="K173" s="49">
        <f>VLOOKUP($A173,'Data shares'!$C:$FB,59)</f>
        <v>36329900</v>
      </c>
      <c r="L173" s="50">
        <f>VLOOKUP($A173,'Data shares'!$C:$FB,61)*100</f>
        <v>-39.160000000000004</v>
      </c>
      <c r="M173" s="49">
        <f>VLOOKUP($A173,'Data shares'!$C:$FB,62)</f>
        <v>10480400</v>
      </c>
      <c r="N173" s="49">
        <f>VLOOKUP($A173,'Data shares'!$C:$FB,63)</f>
        <v>14039100</v>
      </c>
      <c r="O173" s="140">
        <f>VLOOKUP($A173,'Data shares'!$C:$FB,65)*100</f>
        <v>-25.35</v>
      </c>
    </row>
    <row r="174" spans="1:15" x14ac:dyDescent="0.25">
      <c r="A174" s="101" t="str">
        <f>'Data shares'!C169</f>
        <v>POWERINDIA</v>
      </c>
      <c r="B174" s="50">
        <f>VLOOKUP($A174,'Data shares'!$C:$FB,7)</f>
        <v>18203</v>
      </c>
      <c r="C174" s="50">
        <f>VLOOKUP($A174,'Data shares'!$C:$FB,10)*100</f>
        <v>-0.11</v>
      </c>
      <c r="D174" s="49">
        <f>VLOOKUP($A174,'Data shares'!$C:$FB,66)</f>
        <v>34500</v>
      </c>
      <c r="E174" s="49">
        <f>VLOOKUP($A174,'Data shares'!$C:$FB,67)</f>
        <v>53800</v>
      </c>
      <c r="F174" s="50">
        <f>VLOOKUP($A174,'Data shares'!$C:$FB,69)*100</f>
        <v>-35.870000000000005</v>
      </c>
      <c r="G174" s="49">
        <f>VLOOKUP($A174,'Data shares'!$C:$FB,42)</f>
        <v>19000</v>
      </c>
      <c r="H174" s="49">
        <f>VLOOKUP($A174,'Data shares'!$C:$FB,43)</f>
        <v>19300</v>
      </c>
      <c r="I174" s="50">
        <f>VLOOKUP($A174,'Data shares'!$C:$FB,45)*100</f>
        <v>-1.55</v>
      </c>
      <c r="J174" s="49">
        <f>VLOOKUP($A174,'Data shares'!$C:$FB,58)</f>
        <v>11950</v>
      </c>
      <c r="K174" s="49">
        <f>VLOOKUP($A174,'Data shares'!$C:$FB,59)</f>
        <v>30100</v>
      </c>
      <c r="L174" s="50">
        <f>VLOOKUP($A174,'Data shares'!$C:$FB,61)*100</f>
        <v>-60.3</v>
      </c>
      <c r="M174" s="49">
        <f>VLOOKUP($A174,'Data shares'!$C:$FB,62)</f>
        <v>3550</v>
      </c>
      <c r="N174" s="49">
        <f>VLOOKUP($A174,'Data shares'!$C:$FB,63)</f>
        <v>4400</v>
      </c>
      <c r="O174" s="140">
        <f>VLOOKUP($A174,'Data shares'!$C:$FB,65)*100</f>
        <v>-19.32</v>
      </c>
    </row>
    <row r="175" spans="1:15" x14ac:dyDescent="0.25">
      <c r="A175" s="101" t="str">
        <f>'Data shares'!C170</f>
        <v>PPLPHARMA</v>
      </c>
      <c r="B175" s="50">
        <f>VLOOKUP($A175,'Data shares'!$C:$FB,7)</f>
        <v>195.61</v>
      </c>
      <c r="C175" s="50">
        <f>VLOOKUP($A175,'Data shares'!$C:$FB,10)*100</f>
        <v>-1.44</v>
      </c>
      <c r="D175" s="49">
        <f>VLOOKUP($A175,'Data shares'!$C:$FB,66)</f>
        <v>10927500</v>
      </c>
      <c r="E175" s="49">
        <f>VLOOKUP($A175,'Data shares'!$C:$FB,67)</f>
        <v>9657500</v>
      </c>
      <c r="F175" s="50">
        <f>VLOOKUP($A175,'Data shares'!$C:$FB,69)*100</f>
        <v>13.15</v>
      </c>
      <c r="G175" s="49">
        <f>VLOOKUP($A175,'Data shares'!$C:$FB,42)</f>
        <v>2725000</v>
      </c>
      <c r="H175" s="49">
        <f>VLOOKUP($A175,'Data shares'!$C:$FB,43)</f>
        <v>2630000</v>
      </c>
      <c r="I175" s="50">
        <f>VLOOKUP($A175,'Data shares'!$C:$FB,45)*100</f>
        <v>3.61</v>
      </c>
      <c r="J175" s="49">
        <f>VLOOKUP($A175,'Data shares'!$C:$FB,58)</f>
        <v>5100000</v>
      </c>
      <c r="K175" s="49">
        <f>VLOOKUP($A175,'Data shares'!$C:$FB,59)</f>
        <v>4765000</v>
      </c>
      <c r="L175" s="50">
        <f>VLOOKUP($A175,'Data shares'!$C:$FB,61)*100</f>
        <v>7.03</v>
      </c>
      <c r="M175" s="49">
        <f>VLOOKUP($A175,'Data shares'!$C:$FB,62)</f>
        <v>3102500</v>
      </c>
      <c r="N175" s="49">
        <f>VLOOKUP($A175,'Data shares'!$C:$FB,63)</f>
        <v>2262500</v>
      </c>
      <c r="O175" s="140">
        <f>VLOOKUP($A175,'Data shares'!$C:$FB,65)*100</f>
        <v>37.130000000000003</v>
      </c>
    </row>
    <row r="176" spans="1:15" x14ac:dyDescent="0.25">
      <c r="A176" s="101" t="str">
        <f>'Data shares'!C171</f>
        <v>PRESTIGE</v>
      </c>
      <c r="B176" s="50">
        <f>VLOOKUP($A176,'Data shares'!$C:$FB,7)</f>
        <v>1541.3</v>
      </c>
      <c r="C176" s="50">
        <f>VLOOKUP($A176,'Data shares'!$C:$FB,10)*100</f>
        <v>0.73</v>
      </c>
      <c r="D176" s="49">
        <f>VLOOKUP($A176,'Data shares'!$C:$FB,66)</f>
        <v>2186550</v>
      </c>
      <c r="E176" s="49">
        <f>VLOOKUP($A176,'Data shares'!$C:$FB,67)</f>
        <v>2380950</v>
      </c>
      <c r="F176" s="50">
        <f>VLOOKUP($A176,'Data shares'!$C:$FB,69)*100</f>
        <v>-8.16</v>
      </c>
      <c r="G176" s="49">
        <f>VLOOKUP($A176,'Data shares'!$C:$FB,42)</f>
        <v>673650</v>
      </c>
      <c r="H176" s="49">
        <f>VLOOKUP($A176,'Data shares'!$C:$FB,43)</f>
        <v>899550</v>
      </c>
      <c r="I176" s="50">
        <f>VLOOKUP($A176,'Data shares'!$C:$FB,45)*100</f>
        <v>-25.11</v>
      </c>
      <c r="J176" s="49">
        <f>VLOOKUP($A176,'Data shares'!$C:$FB,58)</f>
        <v>1015650</v>
      </c>
      <c r="K176" s="49">
        <f>VLOOKUP($A176,'Data shares'!$C:$FB,59)</f>
        <v>916200</v>
      </c>
      <c r="L176" s="50">
        <f>VLOOKUP($A176,'Data shares'!$C:$FB,61)*100</f>
        <v>10.85</v>
      </c>
      <c r="M176" s="49">
        <f>VLOOKUP($A176,'Data shares'!$C:$FB,62)</f>
        <v>497250</v>
      </c>
      <c r="N176" s="49">
        <f>VLOOKUP($A176,'Data shares'!$C:$FB,63)</f>
        <v>565200</v>
      </c>
      <c r="O176" s="140">
        <f>VLOOKUP($A176,'Data shares'!$C:$FB,65)*100</f>
        <v>-12.02</v>
      </c>
    </row>
    <row r="177" spans="1:15" x14ac:dyDescent="0.25">
      <c r="A177" s="101" t="str">
        <f>'Data shares'!C172</f>
        <v>RBLBANK</v>
      </c>
      <c r="B177" s="50">
        <f>VLOOKUP($A177,'Data shares'!$C:$FB,7)</f>
        <v>275.60000000000002</v>
      </c>
      <c r="C177" s="50">
        <f>VLOOKUP($A177,'Data shares'!$C:$FB,10)*100</f>
        <v>-0.11</v>
      </c>
      <c r="D177" s="49">
        <f>VLOOKUP($A177,'Data shares'!$C:$FB,66)</f>
        <v>2270125</v>
      </c>
      <c r="E177" s="49">
        <f>VLOOKUP($A177,'Data shares'!$C:$FB,67)</f>
        <v>4914900</v>
      </c>
      <c r="F177" s="50">
        <f>VLOOKUP($A177,'Data shares'!$C:$FB,69)*100</f>
        <v>-53.81</v>
      </c>
      <c r="G177" s="49">
        <f>VLOOKUP($A177,'Data shares'!$C:$FB,42)</f>
        <v>1282700</v>
      </c>
      <c r="H177" s="49">
        <f>VLOOKUP($A177,'Data shares'!$C:$FB,43)</f>
        <v>3746500</v>
      </c>
      <c r="I177" s="50">
        <f>VLOOKUP($A177,'Data shares'!$C:$FB,45)*100</f>
        <v>-65.759999999999991</v>
      </c>
      <c r="J177" s="49">
        <f>VLOOKUP($A177,'Data shares'!$C:$FB,58)</f>
        <v>730250</v>
      </c>
      <c r="K177" s="49">
        <f>VLOOKUP($A177,'Data shares'!$C:$FB,59)</f>
        <v>942975</v>
      </c>
      <c r="L177" s="50">
        <f>VLOOKUP($A177,'Data shares'!$C:$FB,61)*100</f>
        <v>-22.56</v>
      </c>
      <c r="M177" s="49">
        <f>VLOOKUP($A177,'Data shares'!$C:$FB,62)</f>
        <v>257175</v>
      </c>
      <c r="N177" s="49">
        <f>VLOOKUP($A177,'Data shares'!$C:$FB,63)</f>
        <v>225425</v>
      </c>
      <c r="O177" s="140">
        <f>VLOOKUP($A177,'Data shares'!$C:$FB,65)*100</f>
        <v>14.08</v>
      </c>
    </row>
    <row r="178" spans="1:15" x14ac:dyDescent="0.25">
      <c r="A178" s="101" t="str">
        <f>'Data shares'!C173</f>
        <v>RECLTD</v>
      </c>
      <c r="B178" s="50">
        <f>VLOOKUP($A178,'Data shares'!$C:$FB,7)</f>
        <v>378.05</v>
      </c>
      <c r="C178" s="50">
        <f>VLOOKUP($A178,'Data shares'!$C:$FB,10)*100</f>
        <v>-0.6</v>
      </c>
      <c r="D178" s="49">
        <f>VLOOKUP($A178,'Data shares'!$C:$FB,66)</f>
        <v>24468525</v>
      </c>
      <c r="E178" s="49">
        <f>VLOOKUP($A178,'Data shares'!$C:$FB,67)</f>
        <v>28997325</v>
      </c>
      <c r="F178" s="50">
        <f>VLOOKUP($A178,'Data shares'!$C:$FB,69)*100</f>
        <v>-15.620000000000001</v>
      </c>
      <c r="G178" s="49">
        <f>VLOOKUP($A178,'Data shares'!$C:$FB,42)</f>
        <v>5105100</v>
      </c>
      <c r="H178" s="49">
        <f>VLOOKUP($A178,'Data shares'!$C:$FB,43)</f>
        <v>5894325</v>
      </c>
      <c r="I178" s="50">
        <f>VLOOKUP($A178,'Data shares'!$C:$FB,45)*100</f>
        <v>-13.389999999999999</v>
      </c>
      <c r="J178" s="49">
        <f>VLOOKUP($A178,'Data shares'!$C:$FB,58)</f>
        <v>11930175</v>
      </c>
      <c r="K178" s="49">
        <f>VLOOKUP($A178,'Data shares'!$C:$FB,59)</f>
        <v>15116400</v>
      </c>
      <c r="L178" s="50">
        <f>VLOOKUP($A178,'Data shares'!$C:$FB,61)*100</f>
        <v>-21.08</v>
      </c>
      <c r="M178" s="49">
        <f>VLOOKUP($A178,'Data shares'!$C:$FB,62)</f>
        <v>7433250</v>
      </c>
      <c r="N178" s="49">
        <f>VLOOKUP($A178,'Data shares'!$C:$FB,63)</f>
        <v>7986600</v>
      </c>
      <c r="O178" s="140">
        <f>VLOOKUP($A178,'Data shares'!$C:$FB,65)*100</f>
        <v>-6.93</v>
      </c>
    </row>
    <row r="179" spans="1:15" x14ac:dyDescent="0.25">
      <c r="A179" s="101" t="str">
        <f>'Data shares'!C174</f>
        <v>RELIANCE</v>
      </c>
      <c r="B179" s="50">
        <f>VLOOKUP($A179,'Data shares'!$C:$FB,7)</f>
        <v>1375</v>
      </c>
      <c r="C179" s="50">
        <f>VLOOKUP($A179,'Data shares'!$C:$FB,10)*100</f>
        <v>0.85000000000000009</v>
      </c>
      <c r="D179" s="49">
        <f>VLOOKUP($A179,'Data shares'!$C:$FB,66)</f>
        <v>94267000</v>
      </c>
      <c r="E179" s="49">
        <f>VLOOKUP($A179,'Data shares'!$C:$FB,67)</f>
        <v>76174000</v>
      </c>
      <c r="F179" s="50">
        <f>VLOOKUP($A179,'Data shares'!$C:$FB,69)*100</f>
        <v>23.75</v>
      </c>
      <c r="G179" s="49">
        <f>VLOOKUP($A179,'Data shares'!$C:$FB,42)</f>
        <v>15742500</v>
      </c>
      <c r="H179" s="49">
        <f>VLOOKUP($A179,'Data shares'!$C:$FB,43)</f>
        <v>12098000</v>
      </c>
      <c r="I179" s="50">
        <f>VLOOKUP($A179,'Data shares'!$C:$FB,45)*100</f>
        <v>30.12</v>
      </c>
      <c r="J179" s="49">
        <f>VLOOKUP($A179,'Data shares'!$C:$FB,58)</f>
        <v>52198500</v>
      </c>
      <c r="K179" s="49">
        <f>VLOOKUP($A179,'Data shares'!$C:$FB,59)</f>
        <v>40431500</v>
      </c>
      <c r="L179" s="50">
        <f>VLOOKUP($A179,'Data shares'!$C:$FB,61)*100</f>
        <v>29.099999999999998</v>
      </c>
      <c r="M179" s="49">
        <f>VLOOKUP($A179,'Data shares'!$C:$FB,62)</f>
        <v>26326000</v>
      </c>
      <c r="N179" s="49">
        <f>VLOOKUP($A179,'Data shares'!$C:$FB,63)</f>
        <v>23644500</v>
      </c>
      <c r="O179" s="140">
        <f>VLOOKUP($A179,'Data shares'!$C:$FB,65)*100</f>
        <v>11.34</v>
      </c>
    </row>
    <row r="180" spans="1:15" x14ac:dyDescent="0.25">
      <c r="A180" s="101" t="str">
        <f>'Data shares'!C175</f>
        <v>RVNL</v>
      </c>
      <c r="B180" s="50">
        <f>VLOOKUP($A180,'Data shares'!$C:$FB,7)</f>
        <v>346.6</v>
      </c>
      <c r="C180" s="50">
        <f>VLOOKUP($A180,'Data shares'!$C:$FB,10)*100</f>
        <v>-0.13</v>
      </c>
      <c r="D180" s="49">
        <f>VLOOKUP($A180,'Data shares'!$C:$FB,66)</f>
        <v>14295875</v>
      </c>
      <c r="E180" s="49">
        <f>VLOOKUP($A180,'Data shares'!$C:$FB,67)</f>
        <v>17711375</v>
      </c>
      <c r="F180" s="50">
        <f>VLOOKUP($A180,'Data shares'!$C:$FB,69)*100</f>
        <v>-19.28</v>
      </c>
      <c r="G180" s="49">
        <f>VLOOKUP($A180,'Data shares'!$C:$FB,42)</f>
        <v>3052500</v>
      </c>
      <c r="H180" s="49">
        <f>VLOOKUP($A180,'Data shares'!$C:$FB,43)</f>
        <v>4122250</v>
      </c>
      <c r="I180" s="50">
        <f>VLOOKUP($A180,'Data shares'!$C:$FB,45)*100</f>
        <v>-25.95</v>
      </c>
      <c r="J180" s="49">
        <f>VLOOKUP($A180,'Data shares'!$C:$FB,58)</f>
        <v>9355500</v>
      </c>
      <c r="K180" s="49">
        <f>VLOOKUP($A180,'Data shares'!$C:$FB,59)</f>
        <v>10960125</v>
      </c>
      <c r="L180" s="50">
        <f>VLOOKUP($A180,'Data shares'!$C:$FB,61)*100</f>
        <v>-14.64</v>
      </c>
      <c r="M180" s="49">
        <f>VLOOKUP($A180,'Data shares'!$C:$FB,62)</f>
        <v>1887875</v>
      </c>
      <c r="N180" s="49">
        <f>VLOOKUP($A180,'Data shares'!$C:$FB,63)</f>
        <v>2629000</v>
      </c>
      <c r="O180" s="140">
        <f>VLOOKUP($A180,'Data shares'!$C:$FB,65)*100</f>
        <v>-28.189999999999998</v>
      </c>
    </row>
    <row r="181" spans="1:15" x14ac:dyDescent="0.25">
      <c r="A181" s="101" t="str">
        <f>'Data shares'!C176</f>
        <v>SAIL</v>
      </c>
      <c r="B181" s="50">
        <f>VLOOKUP($A181,'Data shares'!$C:$FB,7)</f>
        <v>132.62</v>
      </c>
      <c r="C181" s="50">
        <f>VLOOKUP($A181,'Data shares'!$C:$FB,10)*100</f>
        <v>-1.73</v>
      </c>
      <c r="D181" s="49">
        <f>VLOOKUP($A181,'Data shares'!$C:$FB,66)</f>
        <v>183718300</v>
      </c>
      <c r="E181" s="49">
        <f>VLOOKUP($A181,'Data shares'!$C:$FB,67)</f>
        <v>139702800</v>
      </c>
      <c r="F181" s="50">
        <f>VLOOKUP($A181,'Data shares'!$C:$FB,69)*100</f>
        <v>31.509999999999998</v>
      </c>
      <c r="G181" s="49">
        <f>VLOOKUP($A181,'Data shares'!$C:$FB,42)</f>
        <v>46647500</v>
      </c>
      <c r="H181" s="49">
        <f>VLOOKUP($A181,'Data shares'!$C:$FB,43)</f>
        <v>34352300</v>
      </c>
      <c r="I181" s="50">
        <f>VLOOKUP($A181,'Data shares'!$C:$FB,45)*100</f>
        <v>35.79</v>
      </c>
      <c r="J181" s="49">
        <f>VLOOKUP($A181,'Data shares'!$C:$FB,58)</f>
        <v>91584200</v>
      </c>
      <c r="K181" s="49">
        <f>VLOOKUP($A181,'Data shares'!$C:$FB,59)</f>
        <v>76196400</v>
      </c>
      <c r="L181" s="50">
        <f>VLOOKUP($A181,'Data shares'!$C:$FB,61)*100</f>
        <v>20.190000000000001</v>
      </c>
      <c r="M181" s="49">
        <f>VLOOKUP($A181,'Data shares'!$C:$FB,62)</f>
        <v>45486600</v>
      </c>
      <c r="N181" s="49">
        <f>VLOOKUP($A181,'Data shares'!$C:$FB,63)</f>
        <v>29154100</v>
      </c>
      <c r="O181" s="140">
        <f>VLOOKUP($A181,'Data shares'!$C:$FB,65)*100</f>
        <v>56.02</v>
      </c>
    </row>
    <row r="182" spans="1:15" x14ac:dyDescent="0.25">
      <c r="A182" s="101" t="str">
        <f>'Data shares'!C177</f>
        <v>SAMMAANCAP</v>
      </c>
      <c r="B182" s="50">
        <f>VLOOKUP($A182,'Data shares'!$C:$FB,7)</f>
        <v>159.94</v>
      </c>
      <c r="C182" s="50">
        <f>VLOOKUP($A182,'Data shares'!$C:$FB,10)*100</f>
        <v>-3.08</v>
      </c>
      <c r="D182" s="49">
        <f>VLOOKUP($A182,'Data shares'!$C:$FB,66)</f>
        <v>211921200</v>
      </c>
      <c r="E182" s="49">
        <f>VLOOKUP($A182,'Data shares'!$C:$FB,67)</f>
        <v>11240200</v>
      </c>
      <c r="F182" s="50">
        <f>VLOOKUP($A182,'Data shares'!$C:$FB,69)*100</f>
        <v>1785.3899999999999</v>
      </c>
      <c r="G182" s="49">
        <f>VLOOKUP($A182,'Data shares'!$C:$FB,42)</f>
        <v>54455200</v>
      </c>
      <c r="H182" s="49">
        <f>VLOOKUP($A182,'Data shares'!$C:$FB,43)</f>
        <v>6110300</v>
      </c>
      <c r="I182" s="50">
        <f>VLOOKUP($A182,'Data shares'!$C:$FB,45)*100</f>
        <v>791.2</v>
      </c>
      <c r="J182" s="49">
        <f>VLOOKUP($A182,'Data shares'!$C:$FB,58)</f>
        <v>92450000</v>
      </c>
      <c r="K182" s="49">
        <f>VLOOKUP($A182,'Data shares'!$C:$FB,59)</f>
        <v>4106500</v>
      </c>
      <c r="L182" s="50">
        <f>VLOOKUP($A182,'Data shares'!$C:$FB,61)*100</f>
        <v>2151.31</v>
      </c>
      <c r="M182" s="49">
        <f>VLOOKUP($A182,'Data shares'!$C:$FB,62)</f>
        <v>65016000</v>
      </c>
      <c r="N182" s="49">
        <f>VLOOKUP($A182,'Data shares'!$C:$FB,63)</f>
        <v>1023400</v>
      </c>
      <c r="O182" s="140">
        <f>VLOOKUP($A182,'Data shares'!$C:$FB,65)*100</f>
        <v>6252.9400000000005</v>
      </c>
    </row>
    <row r="183" spans="1:15" x14ac:dyDescent="0.25">
      <c r="A183" s="101" t="str">
        <f>'Data shares'!C178</f>
        <v>SBICARD</v>
      </c>
      <c r="B183" s="50">
        <f>VLOOKUP($A183,'Data shares'!$C:$FB,7)</f>
        <v>902.6</v>
      </c>
      <c r="C183" s="50">
        <f>VLOOKUP($A183,'Data shares'!$C:$FB,10)*100</f>
        <v>1.18</v>
      </c>
      <c r="D183" s="49">
        <f>VLOOKUP($A183,'Data shares'!$C:$FB,66)</f>
        <v>29335200</v>
      </c>
      <c r="E183" s="49">
        <f>VLOOKUP($A183,'Data shares'!$C:$FB,67)</f>
        <v>13445600</v>
      </c>
      <c r="F183" s="50">
        <f>VLOOKUP($A183,'Data shares'!$C:$FB,69)*100</f>
        <v>118.17999999999999</v>
      </c>
      <c r="G183" s="49">
        <f>VLOOKUP($A183,'Data shares'!$C:$FB,42)</f>
        <v>6009600</v>
      </c>
      <c r="H183" s="49">
        <f>VLOOKUP($A183,'Data shares'!$C:$FB,43)</f>
        <v>4308800</v>
      </c>
      <c r="I183" s="50">
        <f>VLOOKUP($A183,'Data shares'!$C:$FB,45)*100</f>
        <v>39.47</v>
      </c>
      <c r="J183" s="49">
        <f>VLOOKUP($A183,'Data shares'!$C:$FB,58)</f>
        <v>17039200</v>
      </c>
      <c r="K183" s="49">
        <f>VLOOKUP($A183,'Data shares'!$C:$FB,59)</f>
        <v>7051200</v>
      </c>
      <c r="L183" s="50">
        <f>VLOOKUP($A183,'Data shares'!$C:$FB,61)*100</f>
        <v>141.65</v>
      </c>
      <c r="M183" s="49">
        <f>VLOOKUP($A183,'Data shares'!$C:$FB,62)</f>
        <v>6286400</v>
      </c>
      <c r="N183" s="49">
        <f>VLOOKUP($A183,'Data shares'!$C:$FB,63)</f>
        <v>2085600</v>
      </c>
      <c r="O183" s="140">
        <f>VLOOKUP($A183,'Data shares'!$C:$FB,65)*100</f>
        <v>201.42000000000002</v>
      </c>
    </row>
    <row r="184" spans="1:15" x14ac:dyDescent="0.25">
      <c r="A184" s="101" t="str">
        <f>'Data shares'!C179</f>
        <v>SBILIFE</v>
      </c>
      <c r="B184" s="50">
        <f>VLOOKUP($A184,'Data shares'!$C:$FB,7)</f>
        <v>1770.9</v>
      </c>
      <c r="C184" s="50">
        <f>VLOOKUP($A184,'Data shares'!$C:$FB,10)*100</f>
        <v>-0.8</v>
      </c>
      <c r="D184" s="49">
        <f>VLOOKUP($A184,'Data shares'!$C:$FB,66)</f>
        <v>4415250</v>
      </c>
      <c r="E184" s="49">
        <f>VLOOKUP($A184,'Data shares'!$C:$FB,67)</f>
        <v>4912125</v>
      </c>
      <c r="F184" s="50">
        <f>VLOOKUP($A184,'Data shares'!$C:$FB,69)*100</f>
        <v>-10.119999999999999</v>
      </c>
      <c r="G184" s="49">
        <f>VLOOKUP($A184,'Data shares'!$C:$FB,42)</f>
        <v>1841250</v>
      </c>
      <c r="H184" s="49">
        <f>VLOOKUP($A184,'Data shares'!$C:$FB,43)</f>
        <v>1099125</v>
      </c>
      <c r="I184" s="50">
        <f>VLOOKUP($A184,'Data shares'!$C:$FB,45)*100</f>
        <v>67.52</v>
      </c>
      <c r="J184" s="49">
        <f>VLOOKUP($A184,'Data shares'!$C:$FB,58)</f>
        <v>1764375</v>
      </c>
      <c r="K184" s="49">
        <f>VLOOKUP($A184,'Data shares'!$C:$FB,59)</f>
        <v>2936625</v>
      </c>
      <c r="L184" s="50">
        <f>VLOOKUP($A184,'Data shares'!$C:$FB,61)*100</f>
        <v>-39.92</v>
      </c>
      <c r="M184" s="49">
        <f>VLOOKUP($A184,'Data shares'!$C:$FB,62)</f>
        <v>809625</v>
      </c>
      <c r="N184" s="49">
        <f>VLOOKUP($A184,'Data shares'!$C:$FB,63)</f>
        <v>876375</v>
      </c>
      <c r="O184" s="140">
        <f>VLOOKUP($A184,'Data shares'!$C:$FB,65)*100</f>
        <v>-7.62</v>
      </c>
    </row>
    <row r="185" spans="1:15" x14ac:dyDescent="0.25">
      <c r="A185" s="101" t="str">
        <f>'Data shares'!C180</f>
        <v>SBIN</v>
      </c>
      <c r="B185" s="50">
        <f>VLOOKUP($A185,'Data shares'!$C:$FB,7)</f>
        <v>874.05</v>
      </c>
      <c r="C185" s="50">
        <f>VLOOKUP($A185,'Data shares'!$C:$FB,10)*100</f>
        <v>0.77999999999999992</v>
      </c>
      <c r="D185" s="49">
        <f>VLOOKUP($A185,'Data shares'!$C:$FB,66)</f>
        <v>115168500</v>
      </c>
      <c r="E185" s="49">
        <f>VLOOKUP($A185,'Data shares'!$C:$FB,67)</f>
        <v>115455750</v>
      </c>
      <c r="F185" s="50">
        <f>VLOOKUP($A185,'Data shares'!$C:$FB,69)*100</f>
        <v>-0.25</v>
      </c>
      <c r="G185" s="49">
        <f>VLOOKUP($A185,'Data shares'!$C:$FB,42)</f>
        <v>13131000</v>
      </c>
      <c r="H185" s="49">
        <f>VLOOKUP($A185,'Data shares'!$C:$FB,43)</f>
        <v>12274500</v>
      </c>
      <c r="I185" s="50">
        <f>VLOOKUP($A185,'Data shares'!$C:$FB,45)*100</f>
        <v>6.98</v>
      </c>
      <c r="J185" s="49">
        <f>VLOOKUP($A185,'Data shares'!$C:$FB,58)</f>
        <v>64977000</v>
      </c>
      <c r="K185" s="49">
        <f>VLOOKUP($A185,'Data shares'!$C:$FB,59)</f>
        <v>63338250</v>
      </c>
      <c r="L185" s="50">
        <f>VLOOKUP($A185,'Data shares'!$C:$FB,61)*100</f>
        <v>2.59</v>
      </c>
      <c r="M185" s="49">
        <f>VLOOKUP($A185,'Data shares'!$C:$FB,62)</f>
        <v>37060500</v>
      </c>
      <c r="N185" s="49">
        <f>VLOOKUP($A185,'Data shares'!$C:$FB,63)</f>
        <v>39843000</v>
      </c>
      <c r="O185" s="140">
        <f>VLOOKUP($A185,'Data shares'!$C:$FB,65)*100</f>
        <v>-6.98</v>
      </c>
    </row>
    <row r="186" spans="1:15" x14ac:dyDescent="0.25">
      <c r="A186" s="101" t="str">
        <f>'Data shares'!C181</f>
        <v>SHREECEM</v>
      </c>
      <c r="B186" s="50">
        <f>VLOOKUP($A186,'Data shares'!$C:$FB,7)</f>
        <v>29295</v>
      </c>
      <c r="C186" s="50">
        <f>VLOOKUP($A186,'Data shares'!$C:$FB,10)*100</f>
        <v>0.38999999999999996</v>
      </c>
      <c r="D186" s="49">
        <f>VLOOKUP($A186,'Data shares'!$C:$FB,66)</f>
        <v>89425</v>
      </c>
      <c r="E186" s="49">
        <f>VLOOKUP($A186,'Data shares'!$C:$FB,67)</f>
        <v>39550</v>
      </c>
      <c r="F186" s="50">
        <f>VLOOKUP($A186,'Data shares'!$C:$FB,69)*100</f>
        <v>126.11000000000001</v>
      </c>
      <c r="G186" s="49">
        <f>VLOOKUP($A186,'Data shares'!$C:$FB,42)</f>
        <v>33500</v>
      </c>
      <c r="H186" s="49">
        <f>VLOOKUP($A186,'Data shares'!$C:$FB,43)</f>
        <v>18275</v>
      </c>
      <c r="I186" s="50">
        <f>VLOOKUP($A186,'Data shares'!$C:$FB,45)*100</f>
        <v>83.31</v>
      </c>
      <c r="J186" s="49">
        <f>VLOOKUP($A186,'Data shares'!$C:$FB,58)</f>
        <v>42950</v>
      </c>
      <c r="K186" s="49">
        <f>VLOOKUP($A186,'Data shares'!$C:$FB,59)</f>
        <v>15550</v>
      </c>
      <c r="L186" s="50">
        <f>VLOOKUP($A186,'Data shares'!$C:$FB,61)*100</f>
        <v>176.21</v>
      </c>
      <c r="M186" s="49">
        <f>VLOOKUP($A186,'Data shares'!$C:$FB,62)</f>
        <v>12975</v>
      </c>
      <c r="N186" s="49">
        <f>VLOOKUP($A186,'Data shares'!$C:$FB,63)</f>
        <v>5725</v>
      </c>
      <c r="O186" s="140">
        <f>VLOOKUP($A186,'Data shares'!$C:$FB,65)*100</f>
        <v>126.64</v>
      </c>
    </row>
    <row r="187" spans="1:15" x14ac:dyDescent="0.25">
      <c r="A187" s="101" t="str">
        <f>'Data shares'!C182</f>
        <v>SHRIRAMFIN</v>
      </c>
      <c r="B187" s="50">
        <f>VLOOKUP($A187,'Data shares'!$C:$FB,7)</f>
        <v>671.45</v>
      </c>
      <c r="C187" s="50">
        <f>VLOOKUP($A187,'Data shares'!$C:$FB,10)*100</f>
        <v>3.9699999999999998</v>
      </c>
      <c r="D187" s="49">
        <f>VLOOKUP($A187,'Data shares'!$C:$FB,66)</f>
        <v>67993200</v>
      </c>
      <c r="E187" s="49">
        <f>VLOOKUP($A187,'Data shares'!$C:$FB,67)</f>
        <v>26391750</v>
      </c>
      <c r="F187" s="50">
        <f>VLOOKUP($A187,'Data shares'!$C:$FB,69)*100</f>
        <v>157.63</v>
      </c>
      <c r="G187" s="49">
        <f>VLOOKUP($A187,'Data shares'!$C:$FB,42)</f>
        <v>11843700</v>
      </c>
      <c r="H187" s="49">
        <f>VLOOKUP($A187,'Data shares'!$C:$FB,43)</f>
        <v>8490900</v>
      </c>
      <c r="I187" s="50">
        <f>VLOOKUP($A187,'Data shares'!$C:$FB,45)*100</f>
        <v>39.489999999999995</v>
      </c>
      <c r="J187" s="49">
        <f>VLOOKUP($A187,'Data shares'!$C:$FB,58)</f>
        <v>39010125</v>
      </c>
      <c r="K187" s="49">
        <f>VLOOKUP($A187,'Data shares'!$C:$FB,59)</f>
        <v>11372625</v>
      </c>
      <c r="L187" s="50">
        <f>VLOOKUP($A187,'Data shares'!$C:$FB,61)*100</f>
        <v>243.02</v>
      </c>
      <c r="M187" s="49">
        <f>VLOOKUP($A187,'Data shares'!$C:$FB,62)</f>
        <v>17139375</v>
      </c>
      <c r="N187" s="49">
        <f>VLOOKUP($A187,'Data shares'!$C:$FB,63)</f>
        <v>6528225</v>
      </c>
      <c r="O187" s="140">
        <f>VLOOKUP($A187,'Data shares'!$C:$FB,65)*100</f>
        <v>162.54</v>
      </c>
    </row>
    <row r="188" spans="1:15" x14ac:dyDescent="0.25">
      <c r="A188" s="101" t="str">
        <f>'Data shares'!C183</f>
        <v>SIEMENS</v>
      </c>
      <c r="B188" s="50">
        <f>VLOOKUP($A188,'Data shares'!$C:$FB,7)</f>
        <v>3251.7</v>
      </c>
      <c r="C188" s="50">
        <f>VLOOKUP($A188,'Data shares'!$C:$FB,10)*100</f>
        <v>2.77</v>
      </c>
      <c r="D188" s="49">
        <f>VLOOKUP($A188,'Data shares'!$C:$FB,66)</f>
        <v>3862750</v>
      </c>
      <c r="E188" s="49">
        <f>VLOOKUP($A188,'Data shares'!$C:$FB,67)</f>
        <v>1304000</v>
      </c>
      <c r="F188" s="50">
        <f>VLOOKUP($A188,'Data shares'!$C:$FB,69)*100</f>
        <v>196.22</v>
      </c>
      <c r="G188" s="49">
        <f>VLOOKUP($A188,'Data shares'!$C:$FB,42)</f>
        <v>609625</v>
      </c>
      <c r="H188" s="49">
        <f>VLOOKUP($A188,'Data shares'!$C:$FB,43)</f>
        <v>283000</v>
      </c>
      <c r="I188" s="50">
        <f>VLOOKUP($A188,'Data shares'!$C:$FB,45)*100</f>
        <v>115.41999999999999</v>
      </c>
      <c r="J188" s="49">
        <f>VLOOKUP($A188,'Data shares'!$C:$FB,58)</f>
        <v>2476000</v>
      </c>
      <c r="K188" s="49">
        <f>VLOOKUP($A188,'Data shares'!$C:$FB,59)</f>
        <v>730375</v>
      </c>
      <c r="L188" s="50">
        <f>VLOOKUP($A188,'Data shares'!$C:$FB,61)*100</f>
        <v>239</v>
      </c>
      <c r="M188" s="49">
        <f>VLOOKUP($A188,'Data shares'!$C:$FB,62)</f>
        <v>777125</v>
      </c>
      <c r="N188" s="49">
        <f>VLOOKUP($A188,'Data shares'!$C:$FB,63)</f>
        <v>290625</v>
      </c>
      <c r="O188" s="140">
        <f>VLOOKUP($A188,'Data shares'!$C:$FB,65)*100</f>
        <v>167.4</v>
      </c>
    </row>
    <row r="189" spans="1:15" x14ac:dyDescent="0.25">
      <c r="A189" s="101" t="str">
        <f>'Data shares'!C216</f>
        <v>ZYDUSLIFE</v>
      </c>
      <c r="B189" s="50">
        <f>VLOOKUP($A189,'Data shares'!$C:$FB,7)</f>
        <v>994.65</v>
      </c>
      <c r="C189" s="50">
        <f>VLOOKUP($A189,'Data shares'!$C:$FB,10)*100</f>
        <v>0.64</v>
      </c>
      <c r="D189" s="49">
        <f>VLOOKUP($A189,'Data shares'!$C:$FB,66)</f>
        <v>3319200</v>
      </c>
      <c r="E189" s="49">
        <f>VLOOKUP($A189,'Data shares'!$C:$FB,67)</f>
        <v>2979000</v>
      </c>
      <c r="F189" s="50">
        <f>VLOOKUP($A189,'Data shares'!$C:$FB,69)*100</f>
        <v>11.42</v>
      </c>
      <c r="G189" s="49">
        <f>VLOOKUP($A189,'Data shares'!$C:$FB,42)</f>
        <v>756900</v>
      </c>
      <c r="H189" s="49">
        <f>VLOOKUP($A189,'Data shares'!$C:$FB,43)</f>
        <v>996300</v>
      </c>
      <c r="I189" s="50">
        <f>VLOOKUP($A189,'Data shares'!$C:$FB,45)*100</f>
        <v>-24.03</v>
      </c>
      <c r="J189" s="49">
        <f>VLOOKUP($A189,'Data shares'!$C:$FB,58)</f>
        <v>1862100</v>
      </c>
      <c r="K189" s="49">
        <f>VLOOKUP($A189,'Data shares'!$C:$FB,59)</f>
        <v>1084500</v>
      </c>
      <c r="L189" s="50">
        <f>VLOOKUP($A189,'Data shares'!$C:$FB,61)*100</f>
        <v>71.7</v>
      </c>
      <c r="M189" s="49">
        <f>VLOOKUP($A189,'Data shares'!$C:$FB,62)</f>
        <v>700200</v>
      </c>
      <c r="N189" s="49">
        <f>VLOOKUP($A189,'Data shares'!$C:$FB,63)</f>
        <v>898200</v>
      </c>
      <c r="O189" s="140">
        <f>VLOOKUP($A189,'Data shares'!$C:$FB,65)*100</f>
        <v>-22.040000000000003</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22741874912</v>
      </c>
      <c r="E209" s="133">
        <f>SUM(E7:E172)</f>
        <v>15289718784</v>
      </c>
      <c r="F209" s="134">
        <f>(D209-E209)/E209</f>
        <v>0.48739654622021855</v>
      </c>
      <c r="G209" s="133">
        <f>SUM(G7:G172)</f>
        <v>2932673969</v>
      </c>
      <c r="H209" s="133">
        <f>SUM(H7:H172)</f>
        <v>1929839830</v>
      </c>
      <c r="I209" s="134">
        <f>(G209-H209)/H209</f>
        <v>0.51964630608748497</v>
      </c>
      <c r="J209" s="133">
        <f>SUM(J7:J172)</f>
        <v>12249081073</v>
      </c>
      <c r="K209" s="133">
        <f>SUM(K7:K172)</f>
        <v>8229279704</v>
      </c>
      <c r="L209" s="134">
        <f>(J209-K209)/K209</f>
        <v>0.48847548188769158</v>
      </c>
      <c r="M209" s="133">
        <f>SUM(M7:M172)</f>
        <v>7560119870</v>
      </c>
      <c r="N209" s="133">
        <f>SUM(N7:N172)</f>
        <v>5130599250</v>
      </c>
      <c r="O209" s="134">
        <f>(M209-N209)/N209</f>
        <v>0.47353544909982981</v>
      </c>
    </row>
    <row r="210" spans="1:15" x14ac:dyDescent="0.25">
      <c r="A210" s="133" t="s">
        <v>398</v>
      </c>
      <c r="B210" s="133"/>
      <c r="C210" s="133"/>
      <c r="D210" s="133">
        <f>D209/10000000</f>
        <v>2274.1874911999998</v>
      </c>
      <c r="E210" s="133">
        <f>E209/10000000</f>
        <v>1528.9718783999999</v>
      </c>
      <c r="F210" s="134">
        <f>(D210-E210)/E210</f>
        <v>0.48739654622021855</v>
      </c>
      <c r="G210" s="133">
        <f>G209/10000000</f>
        <v>293.26739689999999</v>
      </c>
      <c r="H210" s="133">
        <f>H209/10000000</f>
        <v>192.98398299999999</v>
      </c>
      <c r="I210" s="134">
        <f>(G210-H210)/H210</f>
        <v>0.51964630608748497</v>
      </c>
      <c r="J210" s="133">
        <f>J209/10000000</f>
        <v>1224.9081073</v>
      </c>
      <c r="K210" s="133">
        <f>K209/10000000</f>
        <v>822.92797040000005</v>
      </c>
      <c r="L210" s="134">
        <f>(J210-K210)/K210</f>
        <v>0.48847548188769147</v>
      </c>
      <c r="M210" s="133">
        <f>M209/10000000</f>
        <v>756.01198699999998</v>
      </c>
      <c r="N210" s="133">
        <f>N209/10000000</f>
        <v>513.05992500000002</v>
      </c>
      <c r="O210" s="134">
        <f>(M210-N210)/N210</f>
        <v>0.4735354490998297</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45936</v>
      </c>
      <c r="C6" s="76" t="s">
        <v>322</v>
      </c>
      <c r="D6" s="76" t="s">
        <v>328</v>
      </c>
      <c r="E6" s="3">
        <f>B6</f>
        <v>45936</v>
      </c>
      <c r="F6" s="76" t="s">
        <v>322</v>
      </c>
      <c r="G6" s="76" t="s">
        <v>328</v>
      </c>
      <c r="H6" s="3">
        <f>E6</f>
        <v>45936</v>
      </c>
      <c r="I6" s="76" t="s">
        <v>333</v>
      </c>
      <c r="J6" s="3">
        <f>E6</f>
        <v>45936</v>
      </c>
      <c r="K6" s="76" t="s">
        <v>333</v>
      </c>
      <c r="L6" s="3">
        <f>E6</f>
        <v>45936</v>
      </c>
      <c r="M6" s="76" t="s">
        <v>333</v>
      </c>
      <c r="N6" s="3">
        <f>E6</f>
        <v>45936</v>
      </c>
      <c r="O6" s="76" t="s">
        <v>333</v>
      </c>
    </row>
    <row r="7" spans="1:19" x14ac:dyDescent="0.25">
      <c r="A7" s="105" t="str">
        <f>'Data shares'!C2</f>
        <v>360ONE</v>
      </c>
      <c r="B7" s="143">
        <f>VLOOKUP($A7,'Data shares'!$C:$FA,118)</f>
        <v>0.63</v>
      </c>
      <c r="C7" s="143">
        <f>VLOOKUP($A7,'Data shares'!$C:$FA,119)</f>
        <v>0.73</v>
      </c>
      <c r="D7" s="143">
        <f>VLOOKUP($A7,'Data shares'!$C:$FA,121)*100</f>
        <v>-13.700000000000001</v>
      </c>
      <c r="E7" s="143">
        <f>VLOOKUP($A7,'Data shares'!$C:$FA,124)</f>
        <v>0.16</v>
      </c>
      <c r="F7" s="143">
        <f>VLOOKUP($A7,'Data shares'!$C:$FA,125)</f>
        <v>0.22</v>
      </c>
      <c r="G7" s="143">
        <f>VLOOKUP($A7,'Data shares'!$C:$FA,127)*100</f>
        <v>-27.27</v>
      </c>
      <c r="H7" s="103">
        <f>VLOOKUP($A7,'OI(Volume)'!$A$7:$O$427,8)</f>
        <v>750500</v>
      </c>
      <c r="I7" s="103">
        <f>VLOOKUP($A7,'OI(Volume)'!$A$7:$O$427,9)</f>
        <v>139000</v>
      </c>
      <c r="J7" s="103">
        <f>VLOOKUP($A7,'OI(Volume)'!$A$7:$O$427,11)</f>
        <v>474500</v>
      </c>
      <c r="K7" s="103">
        <f>VLOOKUP($A7,'OI(Volume)'!$A$7:$O$427,12)</f>
        <v>28000</v>
      </c>
      <c r="L7" s="103">
        <f>VLOOKUP($A7,'OI(Value)'!$A$7:$O$306,8,0)</f>
        <v>80</v>
      </c>
      <c r="M7" s="103">
        <f>VLOOKUP($A7,'OI(Value)'!$A$7:$O$306,9,0)</f>
        <v>15</v>
      </c>
      <c r="N7" s="103">
        <f>VLOOKUP($A7,'OI(Value)'!$A$7:$O$306,11,0)</f>
        <v>51</v>
      </c>
      <c r="O7" s="103">
        <f>VLOOKUP($A7,'OI(Value)'!$A$7:$O$306,12,0)</f>
        <v>3</v>
      </c>
      <c r="P7" s="179">
        <f>VLOOKUP(A7,'OI(Value)'!A7:O182,8,0)</f>
        <v>80</v>
      </c>
      <c r="Q7" s="179">
        <f>VLOOKUP(A7,'OI(Value)'!A7:O182,9,0)</f>
        <v>15</v>
      </c>
      <c r="R7" s="179">
        <f>VLOOKUP(A7,'OI(Value)'!A7:O182,11,0)</f>
        <v>51</v>
      </c>
      <c r="S7" s="179">
        <f>VLOOKUP(A7,'OI(Value)'!A7:O182,12,0)</f>
        <v>3</v>
      </c>
    </row>
    <row r="8" spans="1:19" x14ac:dyDescent="0.25">
      <c r="A8" s="105" t="str">
        <f>'Data shares'!C3</f>
        <v>ABB</v>
      </c>
      <c r="B8" s="143">
        <f>VLOOKUP($A8,'Data shares'!$C:$FA,118)</f>
        <v>0.67</v>
      </c>
      <c r="C8" s="143">
        <f>VLOOKUP($A8,'Data shares'!$C:$FA,119)</f>
        <v>0.75</v>
      </c>
      <c r="D8" s="143">
        <f>VLOOKUP($A8,'Data shares'!$C:$FA,121)*100</f>
        <v>-10.67</v>
      </c>
      <c r="E8" s="143">
        <f>VLOOKUP($A8,'Data shares'!$C:$FA,124)</f>
        <v>0.25</v>
      </c>
      <c r="F8" s="143">
        <f>VLOOKUP($A8,'Data shares'!$C:$FA,125)</f>
        <v>0.52</v>
      </c>
      <c r="G8" s="143">
        <f>VLOOKUP($A8,'Data shares'!$C:$FA,127)*100</f>
        <v>-51.92</v>
      </c>
      <c r="H8" s="103">
        <f>VLOOKUP($A8,'OI(Volume)'!$A$7:$O$427,8)</f>
        <v>800500</v>
      </c>
      <c r="I8" s="103">
        <f>VLOOKUP($A8,'OI(Volume)'!$A$7:$O$427,9)</f>
        <v>152750</v>
      </c>
      <c r="J8" s="103">
        <f>VLOOKUP($A8,'OI(Volume)'!$A$7:$O$427,11)</f>
        <v>539875</v>
      </c>
      <c r="K8" s="103">
        <f>VLOOKUP($A8,'OI(Volume)'!$A$7:$O$427,12)</f>
        <v>53500</v>
      </c>
      <c r="L8" s="103">
        <f>VLOOKUP($A8,'OI(Value)'!$A$7:$O$306,8,0)</f>
        <v>421</v>
      </c>
      <c r="M8" s="103">
        <f>VLOOKUP($A8,'OI(Value)'!$A$7:$O$306,9,0)</f>
        <v>80</v>
      </c>
      <c r="N8" s="103">
        <f>VLOOKUP($A8,'OI(Value)'!$A$7:$O$306,11,0)</f>
        <v>284</v>
      </c>
      <c r="O8" s="103">
        <f>VLOOKUP($A8,'OI(Value)'!$A$7:$O$306,12,0)</f>
        <v>28</v>
      </c>
      <c r="P8" s="179">
        <f>VLOOKUP(A8,'OI(Value)'!A8:O209,8,0)</f>
        <v>421</v>
      </c>
      <c r="Q8" s="179">
        <f>VLOOKUP(A8,'OI(Value)'!A8:O209,9,0)</f>
        <v>80</v>
      </c>
      <c r="R8" s="179">
        <f>VLOOKUP(A8,'OI(Value)'!A8:O209,11,0)</f>
        <v>284</v>
      </c>
      <c r="S8" s="179">
        <f>VLOOKUP(A8,'OI(Value)'!A8:O209,11,0)</f>
        <v>284</v>
      </c>
    </row>
    <row r="9" spans="1:19" x14ac:dyDescent="0.25">
      <c r="A9" s="105" t="str">
        <f>'Data shares'!C4</f>
        <v>ABCAPITAL</v>
      </c>
      <c r="B9" s="143">
        <f>VLOOKUP($A9,'Data shares'!$C:$FA,118)</f>
        <v>0.59</v>
      </c>
      <c r="C9" s="143">
        <f>VLOOKUP($A9,'Data shares'!$C:$FA,119)</f>
        <v>0.56999999999999995</v>
      </c>
      <c r="D9" s="143">
        <f>VLOOKUP($A9,'Data shares'!$C:$FA,121)*100</f>
        <v>3.51</v>
      </c>
      <c r="E9" s="143">
        <f>VLOOKUP($A9,'Data shares'!$C:$FA,124)</f>
        <v>0.49</v>
      </c>
      <c r="F9" s="143">
        <f>VLOOKUP($A9,'Data shares'!$C:$FA,125)</f>
        <v>0.48</v>
      </c>
      <c r="G9" s="143">
        <f>VLOOKUP($A9,'Data shares'!$C:$FA,127)*100</f>
        <v>2.08</v>
      </c>
      <c r="H9" s="103">
        <f>VLOOKUP($A9,'OI(Volume)'!$A$7:$O$427,8)</f>
        <v>16929100</v>
      </c>
      <c r="I9" s="103">
        <f>VLOOKUP($A9,'OI(Volume)'!$A$7:$O$427,9)</f>
        <v>275900</v>
      </c>
      <c r="J9" s="103">
        <f>VLOOKUP($A9,'OI(Volume)'!$A$7:$O$427,11)</f>
        <v>9985100</v>
      </c>
      <c r="K9" s="103">
        <f>VLOOKUP($A9,'OI(Volume)'!$A$7:$O$427,12)</f>
        <v>468100</v>
      </c>
      <c r="L9" s="103">
        <f>VLOOKUP($A9,'OI(Value)'!$A$7:$O$306,8,0)</f>
        <v>518</v>
      </c>
      <c r="M9" s="103">
        <f>VLOOKUP($A9,'OI(Value)'!$A$7:$O$306,9,0)</f>
        <v>8</v>
      </c>
      <c r="N9" s="103">
        <f>VLOOKUP($A9,'OI(Value)'!$A$7:$O$306,11,0)</f>
        <v>306</v>
      </c>
      <c r="O9" s="103">
        <f>VLOOKUP($A9,'OI(Value)'!$A$7:$O$306,12,0)</f>
        <v>14</v>
      </c>
      <c r="P9" s="179">
        <f>VLOOKUP(A9,'OI(Value)'!A9:O210,8,0)</f>
        <v>518</v>
      </c>
      <c r="Q9" s="179">
        <f>VLOOKUP(A9,'OI(Value)'!A9:O210,9,0)</f>
        <v>8</v>
      </c>
      <c r="R9" s="179">
        <f>VLOOKUP(A9,'OI(Value)'!A9:O210,11,0)</f>
        <v>306</v>
      </c>
      <c r="S9" s="179">
        <f>VLOOKUP(A9,'OI(Value)'!A9:O210,11,0)</f>
        <v>306</v>
      </c>
    </row>
    <row r="10" spans="1:19" x14ac:dyDescent="0.25">
      <c r="A10" s="105" t="str">
        <f>'Data shares'!C5</f>
        <v>ADANIENSOL</v>
      </c>
      <c r="B10" s="143">
        <f>VLOOKUP($A10,'Data shares'!$C:$FA,118)</f>
        <v>0.53</v>
      </c>
      <c r="C10" s="143">
        <f>VLOOKUP($A10,'Data shares'!$C:$FA,119)</f>
        <v>0.54</v>
      </c>
      <c r="D10" s="143">
        <f>VLOOKUP($A10,'Data shares'!$C:$FA,121)*100</f>
        <v>-1.8499999999999999</v>
      </c>
      <c r="E10" s="143">
        <f>VLOOKUP($A10,'Data shares'!$C:$FA,124)</f>
        <v>0.31</v>
      </c>
      <c r="F10" s="143">
        <f>VLOOKUP($A10,'Data shares'!$C:$FA,125)</f>
        <v>0.32</v>
      </c>
      <c r="G10" s="143">
        <f>VLOOKUP($A10,'Data shares'!$C:$FA,127)*100</f>
        <v>-3.1300000000000003</v>
      </c>
      <c r="H10" s="103">
        <f>VLOOKUP($A10,'OI(Volume)'!$A$7:$O$427,8)</f>
        <v>3248775</v>
      </c>
      <c r="I10" s="103">
        <f>VLOOKUP($A10,'OI(Volume)'!$A$7:$O$427,9)</f>
        <v>226800</v>
      </c>
      <c r="J10" s="103">
        <f>VLOOKUP($A10,'OI(Volume)'!$A$7:$O$427,11)</f>
        <v>1710450</v>
      </c>
      <c r="K10" s="103">
        <f>VLOOKUP($A10,'OI(Volume)'!$A$7:$O$427,12)</f>
        <v>74925</v>
      </c>
      <c r="L10" s="103">
        <f>VLOOKUP($A10,'OI(Value)'!$A$7:$O$306,8,0)</f>
        <v>302</v>
      </c>
      <c r="M10" s="103">
        <f>VLOOKUP($A10,'OI(Value)'!$A$7:$O$306,9,0)</f>
        <v>21</v>
      </c>
      <c r="N10" s="103">
        <f>VLOOKUP($A10,'OI(Value)'!$A$7:$O$306,11,0)</f>
        <v>159</v>
      </c>
      <c r="O10" s="103">
        <f>VLOOKUP($A10,'OI(Value)'!$A$7:$O$306,12,0)</f>
        <v>7</v>
      </c>
      <c r="P10" s="179">
        <f>VLOOKUP(A10,'OI(Value)'!A10:O211,8,0)</f>
        <v>302</v>
      </c>
      <c r="Q10" s="179">
        <f>VLOOKUP(A10,'OI(Value)'!A10:O211,9,0)</f>
        <v>21</v>
      </c>
      <c r="R10" s="179">
        <f>VLOOKUP(A10,'OI(Value)'!A10:O211,11,0)</f>
        <v>159</v>
      </c>
      <c r="S10" s="179">
        <f>VLOOKUP(A10,'OI(Value)'!A10:O211,11,0)</f>
        <v>159</v>
      </c>
    </row>
    <row r="11" spans="1:19" x14ac:dyDescent="0.25">
      <c r="A11" s="105" t="str">
        <f>'Data shares'!C6</f>
        <v>ADANIENT</v>
      </c>
      <c r="B11" s="143">
        <f>VLOOKUP($A11,'Data shares'!$C:$FA,118)</f>
        <v>0.64</v>
      </c>
      <c r="C11" s="143">
        <f>VLOOKUP($A11,'Data shares'!$C:$FA,119)</f>
        <v>0.66</v>
      </c>
      <c r="D11" s="143">
        <f>VLOOKUP($A11,'Data shares'!$C:$FA,121)*100</f>
        <v>-3.0300000000000002</v>
      </c>
      <c r="E11" s="143">
        <f>VLOOKUP($A11,'Data shares'!$C:$FA,124)</f>
        <v>0.39</v>
      </c>
      <c r="F11" s="143">
        <f>VLOOKUP($A11,'Data shares'!$C:$FA,125)</f>
        <v>0.45</v>
      </c>
      <c r="G11" s="143">
        <f>VLOOKUP($A11,'Data shares'!$C:$FA,127)*100</f>
        <v>-13.33</v>
      </c>
      <c r="H11" s="103">
        <f>VLOOKUP($A11,'OI(Volume)'!$A$7:$O$427,8)</f>
        <v>6050700</v>
      </c>
      <c r="I11" s="103">
        <f>VLOOKUP($A11,'OI(Volume)'!$A$7:$O$427,9)</f>
        <v>363300</v>
      </c>
      <c r="J11" s="103">
        <f>VLOOKUP($A11,'OI(Volume)'!$A$7:$O$427,11)</f>
        <v>3859500</v>
      </c>
      <c r="K11" s="103">
        <f>VLOOKUP($A11,'OI(Volume)'!$A$7:$O$427,12)</f>
        <v>127800</v>
      </c>
      <c r="L11" s="103">
        <f>VLOOKUP($A11,'OI(Value)'!$A$7:$O$306,8,0)</f>
        <v>1566</v>
      </c>
      <c r="M11" s="103">
        <f>VLOOKUP($A11,'OI(Value)'!$A$7:$O$306,9,0)</f>
        <v>94</v>
      </c>
      <c r="N11" s="103">
        <f>VLOOKUP($A11,'OI(Value)'!$A$7:$O$306,11,0)</f>
        <v>999</v>
      </c>
      <c r="O11" s="103">
        <f>VLOOKUP($A11,'OI(Value)'!$A$7:$O$306,12,0)</f>
        <v>33</v>
      </c>
      <c r="P11" s="179">
        <f>VLOOKUP(A11,'OI(Value)'!A11:O212,8,0)</f>
        <v>1566</v>
      </c>
      <c r="Q11" s="179">
        <f>VLOOKUP(A11,'OI(Value)'!A11:O212,9,0)</f>
        <v>94</v>
      </c>
      <c r="R11" s="179">
        <f>VLOOKUP(A11,'OI(Value)'!A11:O212,11,0)</f>
        <v>999</v>
      </c>
      <c r="S11" s="179">
        <f>VLOOKUP(A11,'OI(Value)'!A11:O212,11,0)</f>
        <v>999</v>
      </c>
    </row>
    <row r="12" spans="1:19" x14ac:dyDescent="0.25">
      <c r="A12" s="105" t="str">
        <f>'Data shares'!C7</f>
        <v>ADANIGREEN</v>
      </c>
      <c r="B12" s="143">
        <f>VLOOKUP($A12,'Data shares'!$C:$FA,118)</f>
        <v>0.49</v>
      </c>
      <c r="C12" s="143">
        <f>VLOOKUP($A12,'Data shares'!$C:$FA,119)</f>
        <v>0.5</v>
      </c>
      <c r="D12" s="143">
        <f>VLOOKUP($A12,'Data shares'!$C:$FA,121)*100</f>
        <v>-2</v>
      </c>
      <c r="E12" s="143">
        <f>VLOOKUP($A12,'Data shares'!$C:$FA,124)</f>
        <v>0.35</v>
      </c>
      <c r="F12" s="143">
        <f>VLOOKUP($A12,'Data shares'!$C:$FA,125)</f>
        <v>0.36</v>
      </c>
      <c r="G12" s="143">
        <f>VLOOKUP($A12,'Data shares'!$C:$FA,127)*100</f>
        <v>-2.78</v>
      </c>
      <c r="H12" s="103">
        <f>VLOOKUP($A12,'OI(Volume)'!$A$7:$O$427,8)</f>
        <v>8902800</v>
      </c>
      <c r="I12" s="103">
        <f>VLOOKUP($A12,'OI(Volume)'!$A$7:$O$427,9)</f>
        <v>396000</v>
      </c>
      <c r="J12" s="103">
        <f>VLOOKUP($A12,'OI(Volume)'!$A$7:$O$427,11)</f>
        <v>4364400</v>
      </c>
      <c r="K12" s="103">
        <f>VLOOKUP($A12,'OI(Volume)'!$A$7:$O$427,12)</f>
        <v>147600</v>
      </c>
      <c r="L12" s="103">
        <f>VLOOKUP($A12,'OI(Value)'!$A$7:$O$306,8,0)</f>
        <v>949</v>
      </c>
      <c r="M12" s="103">
        <f>VLOOKUP($A12,'OI(Value)'!$A$7:$O$306,9,0)</f>
        <v>42</v>
      </c>
      <c r="N12" s="103">
        <f>VLOOKUP($A12,'OI(Value)'!$A$7:$O$306,11,0)</f>
        <v>465</v>
      </c>
      <c r="O12" s="103">
        <f>VLOOKUP($A12,'OI(Value)'!$A$7:$O$306,12,0)</f>
        <v>16</v>
      </c>
      <c r="P12" s="179">
        <f>VLOOKUP(A12,'OI(Value)'!A12:O213,8,0)</f>
        <v>949</v>
      </c>
      <c r="Q12" s="179">
        <f>VLOOKUP(A12,'OI(Value)'!A12:O213,9,0)</f>
        <v>42</v>
      </c>
      <c r="R12" s="179">
        <f>VLOOKUP(A12,'OI(Value)'!A12:O213,11,0)</f>
        <v>465</v>
      </c>
      <c r="S12" s="179">
        <f>VLOOKUP(A12,'OI(Value)'!A12:O213,11,0)</f>
        <v>465</v>
      </c>
    </row>
    <row r="13" spans="1:19" x14ac:dyDescent="0.25">
      <c r="A13" s="105" t="str">
        <f>'Data shares'!C8</f>
        <v>ADANIPORTS</v>
      </c>
      <c r="B13" s="143">
        <f>VLOOKUP($A13,'Data shares'!$C:$FA,118)</f>
        <v>0.59</v>
      </c>
      <c r="C13" s="143">
        <f>VLOOKUP($A13,'Data shares'!$C:$FA,119)</f>
        <v>0.66</v>
      </c>
      <c r="D13" s="143">
        <f>VLOOKUP($A13,'Data shares'!$C:$FA,121)*100</f>
        <v>-10.61</v>
      </c>
      <c r="E13" s="143">
        <f>VLOOKUP($A13,'Data shares'!$C:$FA,124)</f>
        <v>0.52</v>
      </c>
      <c r="F13" s="143">
        <f>VLOOKUP($A13,'Data shares'!$C:$FA,125)</f>
        <v>0.37</v>
      </c>
      <c r="G13" s="143">
        <f>VLOOKUP($A13,'Data shares'!$C:$FA,127)*100</f>
        <v>40.54</v>
      </c>
      <c r="H13" s="103">
        <f>VLOOKUP($A13,'OI(Volume)'!$A$7:$O$427,8)</f>
        <v>6960650</v>
      </c>
      <c r="I13" s="103">
        <f>VLOOKUP($A13,'OI(Volume)'!$A$7:$O$427,9)</f>
        <v>1054025</v>
      </c>
      <c r="J13" s="103">
        <f>VLOOKUP($A13,'OI(Volume)'!$A$7:$O$427,11)</f>
        <v>4113500</v>
      </c>
      <c r="K13" s="103">
        <f>VLOOKUP($A13,'OI(Volume)'!$A$7:$O$427,12)</f>
        <v>185725</v>
      </c>
      <c r="L13" s="103">
        <f>VLOOKUP($A13,'OI(Value)'!$A$7:$O$306,8,0)</f>
        <v>980</v>
      </c>
      <c r="M13" s="103">
        <f>VLOOKUP($A13,'OI(Value)'!$A$7:$O$306,9,0)</f>
        <v>148</v>
      </c>
      <c r="N13" s="103">
        <f>VLOOKUP($A13,'OI(Value)'!$A$7:$O$306,11,0)</f>
        <v>579</v>
      </c>
      <c r="O13" s="103">
        <f>VLOOKUP($A13,'OI(Value)'!$A$7:$O$306,12,0)</f>
        <v>26</v>
      </c>
      <c r="P13" s="179">
        <f>VLOOKUP(A13,'OI(Value)'!A13:O214,8,0)</f>
        <v>980</v>
      </c>
      <c r="Q13" s="179">
        <f>VLOOKUP(A13,'OI(Value)'!A13:O214,9,0)</f>
        <v>148</v>
      </c>
      <c r="R13" s="179">
        <f>VLOOKUP(A13,'OI(Value)'!A13:O214,11,0)</f>
        <v>579</v>
      </c>
      <c r="S13" s="179">
        <f>VLOOKUP(A13,'OI(Value)'!A13:O214,11,0)</f>
        <v>579</v>
      </c>
    </row>
    <row r="14" spans="1:19" x14ac:dyDescent="0.25">
      <c r="A14" s="105" t="str">
        <f>'Data shares'!C9</f>
        <v>ALKEM</v>
      </c>
      <c r="B14" s="143">
        <f>VLOOKUP($A14,'Data shares'!$C:$FA,118)</f>
        <v>0.64</v>
      </c>
      <c r="C14" s="143">
        <f>VLOOKUP($A14,'Data shares'!$C:$FA,119)</f>
        <v>0.73</v>
      </c>
      <c r="D14" s="143">
        <f>VLOOKUP($A14,'Data shares'!$C:$FA,121)*100</f>
        <v>-12.33</v>
      </c>
      <c r="E14" s="143">
        <f>VLOOKUP($A14,'Data shares'!$C:$FA,124)</f>
        <v>0.36</v>
      </c>
      <c r="F14" s="143">
        <f>VLOOKUP($A14,'Data shares'!$C:$FA,125)</f>
        <v>0.2</v>
      </c>
      <c r="G14" s="143">
        <f>VLOOKUP($A14,'Data shares'!$C:$FA,127)*100</f>
        <v>80</v>
      </c>
      <c r="H14" s="103">
        <f>VLOOKUP($A14,'OI(Volume)'!$A$7:$O$427,8)</f>
        <v>154125</v>
      </c>
      <c r="I14" s="103">
        <f>VLOOKUP($A14,'OI(Volume)'!$A$7:$O$427,9)</f>
        <v>36750</v>
      </c>
      <c r="J14" s="103">
        <f>VLOOKUP($A14,'OI(Volume)'!$A$7:$O$427,11)</f>
        <v>98500</v>
      </c>
      <c r="K14" s="103">
        <f>VLOOKUP($A14,'OI(Volume)'!$A$7:$O$427,12)</f>
        <v>13250</v>
      </c>
      <c r="L14" s="103">
        <f>VLOOKUP($A14,'OI(Value)'!$A$7:$O$306,8,0)</f>
        <v>85</v>
      </c>
      <c r="M14" s="103">
        <f>VLOOKUP($A14,'OI(Value)'!$A$7:$O$306,9,0)</f>
        <v>20</v>
      </c>
      <c r="N14" s="103">
        <f>VLOOKUP($A14,'OI(Value)'!$A$7:$O$306,11,0)</f>
        <v>54</v>
      </c>
      <c r="O14" s="103">
        <f>VLOOKUP($A14,'OI(Value)'!$A$7:$O$306,12,0)</f>
        <v>7</v>
      </c>
      <c r="P14" s="179">
        <f>VLOOKUP(A14,'OI(Value)'!A14:O215,8,0)</f>
        <v>85</v>
      </c>
      <c r="Q14" s="179">
        <f>VLOOKUP(A14,'OI(Value)'!A14:O215,9,0)</f>
        <v>20</v>
      </c>
      <c r="R14" s="179">
        <f>VLOOKUP(A14,'OI(Value)'!A14:O215,11,0)</f>
        <v>54</v>
      </c>
      <c r="S14" s="179">
        <f>VLOOKUP(A14,'OI(Value)'!A14:O215,11,0)</f>
        <v>54</v>
      </c>
    </row>
    <row r="15" spans="1:19" x14ac:dyDescent="0.25">
      <c r="A15" s="105" t="str">
        <f>'Data shares'!C10</f>
        <v>AMBER</v>
      </c>
      <c r="B15" s="143">
        <f>VLOOKUP($A15,'Data shares'!$C:$FA,118)</f>
        <v>0.52</v>
      </c>
      <c r="C15" s="143">
        <f>VLOOKUP($A15,'Data shares'!$C:$FA,119)</f>
        <v>0.52</v>
      </c>
      <c r="D15" s="143">
        <f>VLOOKUP($A15,'Data shares'!$C:$FA,121)*100</f>
        <v>0</v>
      </c>
      <c r="E15" s="143">
        <f>VLOOKUP($A15,'Data shares'!$C:$FA,124)</f>
        <v>0.28000000000000003</v>
      </c>
      <c r="F15" s="143">
        <f>VLOOKUP($A15,'Data shares'!$C:$FA,125)</f>
        <v>0.34</v>
      </c>
      <c r="G15" s="143">
        <f>VLOOKUP($A15,'Data shares'!$C:$FA,127)*100</f>
        <v>-17.649999999999999</v>
      </c>
      <c r="H15" s="103">
        <f>VLOOKUP($A15,'OI(Volume)'!$A$7:$O$427,8)</f>
        <v>338200</v>
      </c>
      <c r="I15" s="103">
        <f>VLOOKUP($A15,'OI(Volume)'!$A$7:$O$427,9)</f>
        <v>13500</v>
      </c>
      <c r="J15" s="103">
        <f>VLOOKUP($A15,'OI(Volume)'!$A$7:$O$427,11)</f>
        <v>175100</v>
      </c>
      <c r="K15" s="103">
        <f>VLOOKUP($A15,'OI(Volume)'!$A$7:$O$427,12)</f>
        <v>7800</v>
      </c>
      <c r="L15" s="103">
        <f>VLOOKUP($A15,'OI(Value)'!$A$7:$O$306,8,0)</f>
        <v>276</v>
      </c>
      <c r="M15" s="103">
        <f>VLOOKUP($A15,'OI(Value)'!$A$7:$O$306,9,0)</f>
        <v>11</v>
      </c>
      <c r="N15" s="103">
        <f>VLOOKUP($A15,'OI(Value)'!$A$7:$O$306,11,0)</f>
        <v>143</v>
      </c>
      <c r="O15" s="103">
        <f>VLOOKUP($A15,'OI(Value)'!$A$7:$O$306,12,0)</f>
        <v>6</v>
      </c>
      <c r="P15" s="179">
        <f>VLOOKUP(A15,'OI(Value)'!A15:O216,8,0)</f>
        <v>276</v>
      </c>
      <c r="Q15" s="179">
        <f>VLOOKUP(A15,'OI(Value)'!A15:O216,9,0)</f>
        <v>11</v>
      </c>
      <c r="R15" s="179">
        <f>VLOOKUP(A15,'OI(Value)'!A15:O216,11,0)</f>
        <v>143</v>
      </c>
      <c r="S15" s="179">
        <f>VLOOKUP(A15,'OI(Value)'!A15:O216,11,0)</f>
        <v>143</v>
      </c>
    </row>
    <row r="16" spans="1:19" x14ac:dyDescent="0.25">
      <c r="A16" s="105" t="str">
        <f>'Data shares'!C11</f>
        <v>AMBUJACEM</v>
      </c>
      <c r="B16" s="143">
        <f>VLOOKUP($A16,'Data shares'!$C:$FA,118)</f>
        <v>0.78</v>
      </c>
      <c r="C16" s="143">
        <f>VLOOKUP($A16,'Data shares'!$C:$FA,119)</f>
        <v>0.81</v>
      </c>
      <c r="D16" s="143">
        <f>VLOOKUP($A16,'Data shares'!$C:$FA,121)*100</f>
        <v>-3.6999999999999997</v>
      </c>
      <c r="E16" s="143">
        <f>VLOOKUP($A16,'Data shares'!$C:$FA,124)</f>
        <v>0.42</v>
      </c>
      <c r="F16" s="143">
        <f>VLOOKUP($A16,'Data shares'!$C:$FA,125)</f>
        <v>0.4</v>
      </c>
      <c r="G16" s="143">
        <f>VLOOKUP($A16,'Data shares'!$C:$FA,127)*100</f>
        <v>5</v>
      </c>
      <c r="H16" s="103">
        <f>VLOOKUP($A16,'OI(Volume)'!$A$7:$O$427,8)</f>
        <v>9364950</v>
      </c>
      <c r="I16" s="103">
        <f>VLOOKUP($A16,'OI(Volume)'!$A$7:$O$427,9)</f>
        <v>739200</v>
      </c>
      <c r="J16" s="103">
        <f>VLOOKUP($A16,'OI(Volume)'!$A$7:$O$427,11)</f>
        <v>7318500</v>
      </c>
      <c r="K16" s="103">
        <f>VLOOKUP($A16,'OI(Volume)'!$A$7:$O$427,12)</f>
        <v>342300</v>
      </c>
      <c r="L16" s="103">
        <f>VLOOKUP($A16,'OI(Value)'!$A$7:$O$306,8,0)</f>
        <v>540</v>
      </c>
      <c r="M16" s="103">
        <f>VLOOKUP($A16,'OI(Value)'!$A$7:$O$306,9,0)</f>
        <v>43</v>
      </c>
      <c r="N16" s="103">
        <f>VLOOKUP($A16,'OI(Value)'!$A$7:$O$306,11,0)</f>
        <v>422</v>
      </c>
      <c r="O16" s="103">
        <f>VLOOKUP($A16,'OI(Value)'!$A$7:$O$306,12,0)</f>
        <v>20</v>
      </c>
      <c r="P16" s="179">
        <f>VLOOKUP(A16,'OI(Value)'!A16:O217,8,0)</f>
        <v>540</v>
      </c>
      <c r="Q16" s="179">
        <f>VLOOKUP(A16,'OI(Value)'!A16:O217,9,0)</f>
        <v>43</v>
      </c>
      <c r="R16" s="179">
        <f>VLOOKUP(A16,'OI(Value)'!A16:O217,11,0)</f>
        <v>422</v>
      </c>
      <c r="S16" s="179">
        <f>VLOOKUP(A16,'OI(Value)'!A16:O217,11,0)</f>
        <v>422</v>
      </c>
    </row>
    <row r="17" spans="1:19" x14ac:dyDescent="0.25">
      <c r="A17" s="105" t="str">
        <f>'Data shares'!C12</f>
        <v>ANGELONE</v>
      </c>
      <c r="B17" s="143">
        <f>VLOOKUP($A17,'Data shares'!$C:$FA,118)</f>
        <v>0.8</v>
      </c>
      <c r="C17" s="143">
        <f>VLOOKUP($A17,'Data shares'!$C:$FA,119)</f>
        <v>0.85</v>
      </c>
      <c r="D17" s="143">
        <f>VLOOKUP($A17,'Data shares'!$C:$FA,121)*100</f>
        <v>-5.88</v>
      </c>
      <c r="E17" s="143">
        <f>VLOOKUP($A17,'Data shares'!$C:$FA,124)</f>
        <v>0.43</v>
      </c>
      <c r="F17" s="143">
        <f>VLOOKUP($A17,'Data shares'!$C:$FA,125)</f>
        <v>0.44</v>
      </c>
      <c r="G17" s="143">
        <f>VLOOKUP($A17,'Data shares'!$C:$FA,127)*100</f>
        <v>-2.27</v>
      </c>
      <c r="H17" s="103">
        <f>VLOOKUP($A17,'OI(Volume)'!$A$7:$O$427,8)</f>
        <v>1497000</v>
      </c>
      <c r="I17" s="103">
        <f>VLOOKUP($A17,'OI(Volume)'!$A$7:$O$427,9)</f>
        <v>120000</v>
      </c>
      <c r="J17" s="103">
        <f>VLOOKUP($A17,'OI(Volume)'!$A$7:$O$427,11)</f>
        <v>1200250</v>
      </c>
      <c r="K17" s="103">
        <f>VLOOKUP($A17,'OI(Volume)'!$A$7:$O$427,12)</f>
        <v>31750</v>
      </c>
      <c r="L17" s="103">
        <f>VLOOKUP($A17,'OI(Value)'!$A$7:$O$306,8,0)</f>
        <v>341</v>
      </c>
      <c r="M17" s="103">
        <f>VLOOKUP($A17,'OI(Value)'!$A$7:$O$306,9,0)</f>
        <v>27</v>
      </c>
      <c r="N17" s="103">
        <f>VLOOKUP($A17,'OI(Value)'!$A$7:$O$306,11,0)</f>
        <v>273</v>
      </c>
      <c r="O17" s="103">
        <f>VLOOKUP($A17,'OI(Value)'!$A$7:$O$306,12,0)</f>
        <v>7</v>
      </c>
      <c r="P17" s="179">
        <f>VLOOKUP(A17,'OI(Value)'!A17:O218,8,0)</f>
        <v>341</v>
      </c>
      <c r="Q17" s="179">
        <f>VLOOKUP(A17,'OI(Value)'!A17:O218,9,0)</f>
        <v>27</v>
      </c>
      <c r="R17" s="179">
        <f>VLOOKUP(A17,'OI(Value)'!A17:O218,11,0)</f>
        <v>273</v>
      </c>
      <c r="S17" s="179">
        <f>VLOOKUP(A17,'OI(Value)'!A17:O218,11,0)</f>
        <v>273</v>
      </c>
    </row>
    <row r="18" spans="1:19" x14ac:dyDescent="0.25">
      <c r="A18" s="105" t="str">
        <f>'Data shares'!C13</f>
        <v>APLAPOLLO</v>
      </c>
      <c r="B18" s="143">
        <f>VLOOKUP($A18,'Data shares'!$C:$FA,118)</f>
        <v>0.65</v>
      </c>
      <c r="C18" s="143">
        <f>VLOOKUP($A18,'Data shares'!$C:$FA,119)</f>
        <v>0.62</v>
      </c>
      <c r="D18" s="143">
        <f>VLOOKUP($A18,'Data shares'!$C:$FA,121)*100</f>
        <v>4.84</v>
      </c>
      <c r="E18" s="143">
        <f>VLOOKUP($A18,'Data shares'!$C:$FA,124)</f>
        <v>0.38</v>
      </c>
      <c r="F18" s="143">
        <f>VLOOKUP($A18,'Data shares'!$C:$FA,125)</f>
        <v>0.34</v>
      </c>
      <c r="G18" s="143">
        <f>VLOOKUP($A18,'Data shares'!$C:$FA,127)*100</f>
        <v>11.76</v>
      </c>
      <c r="H18" s="103">
        <f>VLOOKUP($A18,'OI(Volume)'!$A$7:$O$427,8)</f>
        <v>876050</v>
      </c>
      <c r="I18" s="103">
        <f>VLOOKUP($A18,'OI(Volume)'!$A$7:$O$427,9)</f>
        <v>-25550</v>
      </c>
      <c r="J18" s="103">
        <f>VLOOKUP($A18,'OI(Volume)'!$A$7:$O$427,11)</f>
        <v>568400</v>
      </c>
      <c r="K18" s="103">
        <f>VLOOKUP($A18,'OI(Volume)'!$A$7:$O$427,12)</f>
        <v>9450</v>
      </c>
      <c r="L18" s="103">
        <f>VLOOKUP($A18,'OI(Value)'!$A$7:$O$306,8,0)</f>
        <v>153</v>
      </c>
      <c r="M18" s="103">
        <f>VLOOKUP($A18,'OI(Value)'!$A$7:$O$306,9,0)</f>
        <v>-4</v>
      </c>
      <c r="N18" s="103">
        <f>VLOOKUP($A18,'OI(Value)'!$A$7:$O$306,11,0)</f>
        <v>99</v>
      </c>
      <c r="O18" s="103">
        <f>VLOOKUP($A18,'OI(Value)'!$A$7:$O$306,12,0)</f>
        <v>2</v>
      </c>
      <c r="P18" s="179">
        <f>VLOOKUP(A18,'OI(Value)'!A18:O219,8,0)</f>
        <v>153</v>
      </c>
      <c r="Q18" s="179">
        <f>VLOOKUP(A18,'OI(Value)'!A18:O219,9,0)</f>
        <v>-4</v>
      </c>
      <c r="R18" s="179">
        <f>VLOOKUP(A18,'OI(Value)'!A18:O219,11,0)</f>
        <v>99</v>
      </c>
      <c r="S18" s="179">
        <f>VLOOKUP(A18,'OI(Value)'!A18:O219,11,0)</f>
        <v>99</v>
      </c>
    </row>
    <row r="19" spans="1:19" x14ac:dyDescent="0.25">
      <c r="A19" s="105" t="str">
        <f>'Data shares'!C14</f>
        <v>APOLLOHOSP</v>
      </c>
      <c r="B19" s="143">
        <f>VLOOKUP($A19,'Data shares'!$C:$FA,118)</f>
        <v>0.66</v>
      </c>
      <c r="C19" s="143">
        <f>VLOOKUP($A19,'Data shares'!$C:$FA,119)</f>
        <v>0.53</v>
      </c>
      <c r="D19" s="143">
        <f>VLOOKUP($A19,'Data shares'!$C:$FA,121)*100</f>
        <v>24.529999999999998</v>
      </c>
      <c r="E19" s="143">
        <f>VLOOKUP($A19,'Data shares'!$C:$FA,124)</f>
        <v>0.36</v>
      </c>
      <c r="F19" s="143">
        <f>VLOOKUP($A19,'Data shares'!$C:$FA,125)</f>
        <v>0.31</v>
      </c>
      <c r="G19" s="143">
        <f>VLOOKUP($A19,'Data shares'!$C:$FA,127)*100</f>
        <v>16.13</v>
      </c>
      <c r="H19" s="103">
        <f>VLOOKUP($A19,'OI(Volume)'!$A$7:$O$427,8)</f>
        <v>603625</v>
      </c>
      <c r="I19" s="103">
        <f>VLOOKUP($A19,'OI(Volume)'!$A$7:$O$427,9)</f>
        <v>80875</v>
      </c>
      <c r="J19" s="103">
        <f>VLOOKUP($A19,'OI(Volume)'!$A$7:$O$427,11)</f>
        <v>401125</v>
      </c>
      <c r="K19" s="103">
        <f>VLOOKUP($A19,'OI(Volume)'!$A$7:$O$427,12)</f>
        <v>122875</v>
      </c>
      <c r="L19" s="103">
        <f>VLOOKUP($A19,'OI(Value)'!$A$7:$O$306,8,0)</f>
        <v>464</v>
      </c>
      <c r="M19" s="103">
        <f>VLOOKUP($A19,'OI(Value)'!$A$7:$O$306,9,0)</f>
        <v>62</v>
      </c>
      <c r="N19" s="103">
        <f>VLOOKUP($A19,'OI(Value)'!$A$7:$O$306,11,0)</f>
        <v>308</v>
      </c>
      <c r="O19" s="103">
        <f>VLOOKUP($A19,'OI(Value)'!$A$7:$O$306,12,0)</f>
        <v>94</v>
      </c>
      <c r="P19" s="179">
        <f>VLOOKUP(A19,'OI(Value)'!A19:O220,8,0)</f>
        <v>464</v>
      </c>
      <c r="Q19" s="179">
        <f>VLOOKUP(A19,'OI(Value)'!A19:O220,9,0)</f>
        <v>62</v>
      </c>
      <c r="R19" s="179">
        <f>VLOOKUP(A19,'OI(Value)'!A19:O220,11,0)</f>
        <v>308</v>
      </c>
      <c r="S19" s="179">
        <f>VLOOKUP(A19,'OI(Value)'!A19:O220,11,0)</f>
        <v>308</v>
      </c>
    </row>
    <row r="20" spans="1:19" x14ac:dyDescent="0.25">
      <c r="A20" s="105" t="str">
        <f>'Data shares'!C15</f>
        <v>ASHOKLEY</v>
      </c>
      <c r="B20" s="143">
        <f>VLOOKUP($A20,'Data shares'!$C:$FA,118)</f>
        <v>0.46</v>
      </c>
      <c r="C20" s="143">
        <f>VLOOKUP($A20,'Data shares'!$C:$FA,119)</f>
        <v>0.47</v>
      </c>
      <c r="D20" s="143">
        <f>VLOOKUP($A20,'Data shares'!$C:$FA,121)*100</f>
        <v>-2.13</v>
      </c>
      <c r="E20" s="143">
        <f>VLOOKUP($A20,'Data shares'!$C:$FA,124)</f>
        <v>0.31</v>
      </c>
      <c r="F20" s="143">
        <f>VLOOKUP($A20,'Data shares'!$C:$FA,125)</f>
        <v>0.33</v>
      </c>
      <c r="G20" s="143">
        <f>VLOOKUP($A20,'Data shares'!$C:$FA,127)*100</f>
        <v>-6.0600000000000005</v>
      </c>
      <c r="H20" s="103">
        <f>VLOOKUP($A20,'OI(Volume)'!$A$7:$O$427,8)</f>
        <v>63690000</v>
      </c>
      <c r="I20" s="103">
        <f>VLOOKUP($A20,'OI(Volume)'!$A$7:$O$427,9)</f>
        <v>4580000</v>
      </c>
      <c r="J20" s="103">
        <f>VLOOKUP($A20,'OI(Volume)'!$A$7:$O$427,11)</f>
        <v>28995000</v>
      </c>
      <c r="K20" s="103">
        <f>VLOOKUP($A20,'OI(Volume)'!$A$7:$O$427,12)</f>
        <v>1045000</v>
      </c>
      <c r="L20" s="103">
        <f>VLOOKUP($A20,'OI(Value)'!$A$7:$O$306,8,0)</f>
        <v>880</v>
      </c>
      <c r="M20" s="103">
        <f>VLOOKUP($A20,'OI(Value)'!$A$7:$O$306,9,0)</f>
        <v>63</v>
      </c>
      <c r="N20" s="103">
        <f>VLOOKUP($A20,'OI(Value)'!$A$7:$O$306,11,0)</f>
        <v>400</v>
      </c>
      <c r="O20" s="103">
        <f>VLOOKUP($A20,'OI(Value)'!$A$7:$O$306,12,0)</f>
        <v>14</v>
      </c>
      <c r="P20" s="179">
        <f>VLOOKUP(A20,'OI(Value)'!A20:O221,8,0)</f>
        <v>880</v>
      </c>
      <c r="Q20" s="179">
        <f>VLOOKUP(A20,'OI(Value)'!A20:O221,9,0)</f>
        <v>63</v>
      </c>
      <c r="R20" s="179">
        <f>VLOOKUP(A20,'OI(Value)'!A20:O221,11,0)</f>
        <v>400</v>
      </c>
      <c r="S20" s="179">
        <f>VLOOKUP(A20,'OI(Value)'!A20:O221,11,0)</f>
        <v>400</v>
      </c>
    </row>
    <row r="21" spans="1:19" x14ac:dyDescent="0.25">
      <c r="A21" s="105" t="str">
        <f>'Data shares'!C16</f>
        <v>ASIANPAINT</v>
      </c>
      <c r="B21" s="143">
        <f>VLOOKUP($A21,'Data shares'!$C:$FA,118)</f>
        <v>0.66</v>
      </c>
      <c r="C21" s="143">
        <f>VLOOKUP($A21,'Data shares'!$C:$FA,119)</f>
        <v>0.65</v>
      </c>
      <c r="D21" s="143">
        <f>VLOOKUP($A21,'Data shares'!$C:$FA,121)*100</f>
        <v>1.54</v>
      </c>
      <c r="E21" s="143">
        <f>VLOOKUP($A21,'Data shares'!$C:$FA,124)</f>
        <v>0.38</v>
      </c>
      <c r="F21" s="143">
        <f>VLOOKUP($A21,'Data shares'!$C:$FA,125)</f>
        <v>0.34</v>
      </c>
      <c r="G21" s="143">
        <f>VLOOKUP($A21,'Data shares'!$C:$FA,127)*100</f>
        <v>11.76</v>
      </c>
      <c r="H21" s="103">
        <f>VLOOKUP($A21,'OI(Volume)'!$A$7:$O$427,8)</f>
        <v>4924250</v>
      </c>
      <c r="I21" s="103">
        <f>VLOOKUP($A21,'OI(Volume)'!$A$7:$O$427,9)</f>
        <v>331000</v>
      </c>
      <c r="J21" s="103">
        <f>VLOOKUP($A21,'OI(Volume)'!$A$7:$O$427,11)</f>
        <v>3242500</v>
      </c>
      <c r="K21" s="103">
        <f>VLOOKUP($A21,'OI(Volume)'!$A$7:$O$427,12)</f>
        <v>259500</v>
      </c>
      <c r="L21" s="103">
        <f>VLOOKUP($A21,'OI(Value)'!$A$7:$O$306,8,0)</f>
        <v>1165</v>
      </c>
      <c r="M21" s="103">
        <f>VLOOKUP($A21,'OI(Value)'!$A$7:$O$306,9,0)</f>
        <v>78</v>
      </c>
      <c r="N21" s="103">
        <f>VLOOKUP($A21,'OI(Value)'!$A$7:$O$306,11,0)</f>
        <v>767</v>
      </c>
      <c r="O21" s="103">
        <f>VLOOKUP($A21,'OI(Value)'!$A$7:$O$306,12,0)</f>
        <v>61</v>
      </c>
      <c r="P21" s="179">
        <f>VLOOKUP(A21,'OI(Value)'!A21:O222,8,0)</f>
        <v>1165</v>
      </c>
      <c r="Q21" s="179">
        <f>VLOOKUP(A21,'OI(Value)'!A21:O222,9,0)</f>
        <v>78</v>
      </c>
      <c r="R21" s="179">
        <f>VLOOKUP(A21,'OI(Value)'!A21:O222,11,0)</f>
        <v>767</v>
      </c>
      <c r="S21" s="179">
        <f>VLOOKUP(A21,'OI(Value)'!A21:O222,11,0)</f>
        <v>767</v>
      </c>
    </row>
    <row r="22" spans="1:19" x14ac:dyDescent="0.25">
      <c r="A22" s="105" t="str">
        <f>'Data shares'!C17</f>
        <v>ASTRAL</v>
      </c>
      <c r="B22" s="143">
        <f>VLOOKUP($A22,'Data shares'!$C:$FA,118)</f>
        <v>0.56000000000000005</v>
      </c>
      <c r="C22" s="143">
        <f>VLOOKUP($A22,'Data shares'!$C:$FA,119)</f>
        <v>0.57999999999999996</v>
      </c>
      <c r="D22" s="143">
        <f>VLOOKUP($A22,'Data shares'!$C:$FA,121)*100</f>
        <v>-3.45</v>
      </c>
      <c r="E22" s="143">
        <f>VLOOKUP($A22,'Data shares'!$C:$FA,124)</f>
        <v>0.46</v>
      </c>
      <c r="F22" s="143">
        <f>VLOOKUP($A22,'Data shares'!$C:$FA,125)</f>
        <v>0.59</v>
      </c>
      <c r="G22" s="143">
        <f>VLOOKUP($A22,'Data shares'!$C:$FA,127)*100</f>
        <v>-22.03</v>
      </c>
      <c r="H22" s="103">
        <f>VLOOKUP($A22,'OI(Volume)'!$A$7:$O$427,8)</f>
        <v>2183650</v>
      </c>
      <c r="I22" s="103">
        <f>VLOOKUP($A22,'OI(Volume)'!$A$7:$O$427,9)</f>
        <v>183175</v>
      </c>
      <c r="J22" s="103">
        <f>VLOOKUP($A22,'OI(Volume)'!$A$7:$O$427,11)</f>
        <v>1220175</v>
      </c>
      <c r="K22" s="103">
        <f>VLOOKUP($A22,'OI(Volume)'!$A$7:$O$427,12)</f>
        <v>55675</v>
      </c>
      <c r="L22" s="103">
        <f>VLOOKUP($A22,'OI(Value)'!$A$7:$O$306,8,0)</f>
        <v>304</v>
      </c>
      <c r="M22" s="103">
        <f>VLOOKUP($A22,'OI(Value)'!$A$7:$O$306,9,0)</f>
        <v>26</v>
      </c>
      <c r="N22" s="103">
        <f>VLOOKUP($A22,'OI(Value)'!$A$7:$O$306,11,0)</f>
        <v>170</v>
      </c>
      <c r="O22" s="103">
        <f>VLOOKUP($A22,'OI(Value)'!$A$7:$O$306,12,0)</f>
        <v>8</v>
      </c>
      <c r="P22" s="179">
        <f>VLOOKUP(A22,'OI(Value)'!A22:O223,8,0)</f>
        <v>304</v>
      </c>
      <c r="Q22" s="179">
        <f>VLOOKUP(A22,'OI(Value)'!A22:O223,9,0)</f>
        <v>26</v>
      </c>
      <c r="R22" s="179">
        <f>VLOOKUP(A22,'OI(Value)'!A22:O223,11,0)</f>
        <v>170</v>
      </c>
      <c r="S22" s="179">
        <f>VLOOKUP(A22,'OI(Value)'!A22:O223,11,0)</f>
        <v>170</v>
      </c>
    </row>
    <row r="23" spans="1:19" x14ac:dyDescent="0.25">
      <c r="A23" s="105" t="str">
        <f>'Data shares'!C18</f>
        <v>AUBANK</v>
      </c>
      <c r="B23" s="143">
        <f>VLOOKUP($A23,'Data shares'!$C:$FA,118)</f>
        <v>0.79</v>
      </c>
      <c r="C23" s="143">
        <f>VLOOKUP($A23,'Data shares'!$C:$FA,119)</f>
        <v>0.77</v>
      </c>
      <c r="D23" s="143">
        <f>VLOOKUP($A23,'Data shares'!$C:$FA,121)*100</f>
        <v>2.6</v>
      </c>
      <c r="E23" s="143">
        <f>VLOOKUP($A23,'Data shares'!$C:$FA,124)</f>
        <v>0.42</v>
      </c>
      <c r="F23" s="143">
        <f>VLOOKUP($A23,'Data shares'!$C:$FA,125)</f>
        <v>0.4</v>
      </c>
      <c r="G23" s="143">
        <f>VLOOKUP($A23,'Data shares'!$C:$FA,127)*100</f>
        <v>5</v>
      </c>
      <c r="H23" s="103">
        <f>VLOOKUP($A23,'OI(Volume)'!$A$7:$O$427,8)</f>
        <v>4562000</v>
      </c>
      <c r="I23" s="103">
        <f>VLOOKUP($A23,'OI(Volume)'!$A$7:$O$427,9)</f>
        <v>342000</v>
      </c>
      <c r="J23" s="103">
        <f>VLOOKUP($A23,'OI(Volume)'!$A$7:$O$427,11)</f>
        <v>3618000</v>
      </c>
      <c r="K23" s="103">
        <f>VLOOKUP($A23,'OI(Volume)'!$A$7:$O$427,12)</f>
        <v>354000</v>
      </c>
      <c r="L23" s="103">
        <f>VLOOKUP($A23,'OI(Value)'!$A$7:$O$306,8,0)</f>
        <v>350</v>
      </c>
      <c r="M23" s="103">
        <f>VLOOKUP($A23,'OI(Value)'!$A$7:$O$306,9,0)</f>
        <v>26</v>
      </c>
      <c r="N23" s="103">
        <f>VLOOKUP($A23,'OI(Value)'!$A$7:$O$306,11,0)</f>
        <v>277</v>
      </c>
      <c r="O23" s="103">
        <f>VLOOKUP($A23,'OI(Value)'!$A$7:$O$306,12,0)</f>
        <v>27</v>
      </c>
      <c r="P23" s="179">
        <f>VLOOKUP(A23,'OI(Value)'!A23:O224,8,0)</f>
        <v>350</v>
      </c>
      <c r="Q23" s="179">
        <f>VLOOKUP(A23,'OI(Value)'!A23:O224,9,0)</f>
        <v>26</v>
      </c>
      <c r="R23" s="179">
        <f>VLOOKUP(A23,'OI(Value)'!A23:O224,11,0)</f>
        <v>277</v>
      </c>
      <c r="S23" s="179">
        <f>VLOOKUP(A23,'OI(Value)'!A23:O224,11,0)</f>
        <v>277</v>
      </c>
    </row>
    <row r="24" spans="1:19" x14ac:dyDescent="0.25">
      <c r="A24" s="105" t="str">
        <f>'Data shares'!C19</f>
        <v>AUROPHARMA</v>
      </c>
      <c r="B24" s="143">
        <f>VLOOKUP($A24,'Data shares'!$C:$FA,118)</f>
        <v>0.91</v>
      </c>
      <c r="C24" s="143">
        <f>VLOOKUP($A24,'Data shares'!$C:$FA,119)</f>
        <v>0.96</v>
      </c>
      <c r="D24" s="143">
        <f>VLOOKUP($A24,'Data shares'!$C:$FA,121)*100</f>
        <v>-5.21</v>
      </c>
      <c r="E24" s="143">
        <f>VLOOKUP($A24,'Data shares'!$C:$FA,124)</f>
        <v>0.48</v>
      </c>
      <c r="F24" s="143">
        <f>VLOOKUP($A24,'Data shares'!$C:$FA,125)</f>
        <v>0.59</v>
      </c>
      <c r="G24" s="143">
        <f>VLOOKUP($A24,'Data shares'!$C:$FA,127)*100</f>
        <v>-18.64</v>
      </c>
      <c r="H24" s="103">
        <f>VLOOKUP($A24,'OI(Volume)'!$A$7:$O$427,8)</f>
        <v>2453000</v>
      </c>
      <c r="I24" s="103">
        <f>VLOOKUP($A24,'OI(Volume)'!$A$7:$O$427,9)</f>
        <v>165550</v>
      </c>
      <c r="J24" s="103">
        <f>VLOOKUP($A24,'OI(Volume)'!$A$7:$O$427,11)</f>
        <v>2233000</v>
      </c>
      <c r="K24" s="103">
        <f>VLOOKUP($A24,'OI(Volume)'!$A$7:$O$427,12)</f>
        <v>44550</v>
      </c>
      <c r="L24" s="103">
        <f>VLOOKUP($A24,'OI(Value)'!$A$7:$O$306,8,0)</f>
        <v>270</v>
      </c>
      <c r="M24" s="103">
        <f>VLOOKUP($A24,'OI(Value)'!$A$7:$O$306,9,0)</f>
        <v>18</v>
      </c>
      <c r="N24" s="103">
        <f>VLOOKUP($A24,'OI(Value)'!$A$7:$O$306,11,0)</f>
        <v>246</v>
      </c>
      <c r="O24" s="103">
        <f>VLOOKUP($A24,'OI(Value)'!$A$7:$O$306,12,0)</f>
        <v>5</v>
      </c>
      <c r="P24" s="179">
        <f>VLOOKUP(A24,'OI(Value)'!A24:O225,8,0)</f>
        <v>270</v>
      </c>
      <c r="Q24" s="179">
        <f>VLOOKUP(A24,'OI(Value)'!A24:O225,9,0)</f>
        <v>18</v>
      </c>
      <c r="R24" s="179">
        <f>VLOOKUP(A24,'OI(Value)'!A24:O225,11,0)</f>
        <v>246</v>
      </c>
      <c r="S24" s="179">
        <f>VLOOKUP(A24,'OI(Value)'!A24:O225,11,0)</f>
        <v>246</v>
      </c>
    </row>
    <row r="25" spans="1:19" x14ac:dyDescent="0.25">
      <c r="A25" s="105" t="str">
        <f>'Data shares'!C20</f>
        <v>AXISBANK</v>
      </c>
      <c r="B25" s="143">
        <f>VLOOKUP($A25,'Data shares'!$C:$FA,118)</f>
        <v>0.52</v>
      </c>
      <c r="C25" s="143">
        <f>VLOOKUP($A25,'Data shares'!$C:$FA,119)</f>
        <v>0.43</v>
      </c>
      <c r="D25" s="143">
        <f>VLOOKUP($A25,'Data shares'!$C:$FA,121)*100</f>
        <v>20.93</v>
      </c>
      <c r="E25" s="143">
        <f>VLOOKUP($A25,'Data shares'!$C:$FA,124)</f>
        <v>0.68</v>
      </c>
      <c r="F25" s="143">
        <f>VLOOKUP($A25,'Data shares'!$C:$FA,125)</f>
        <v>0.57999999999999996</v>
      </c>
      <c r="G25" s="143">
        <f>VLOOKUP($A25,'Data shares'!$C:$FA,127)*100</f>
        <v>17.239999999999998</v>
      </c>
      <c r="H25" s="103">
        <f>VLOOKUP($A25,'OI(Volume)'!$A$7:$O$427,8)</f>
        <v>22790000</v>
      </c>
      <c r="I25" s="103">
        <f>VLOOKUP($A25,'OI(Volume)'!$A$7:$O$427,9)</f>
        <v>360000</v>
      </c>
      <c r="J25" s="103">
        <f>VLOOKUP($A25,'OI(Volume)'!$A$7:$O$427,11)</f>
        <v>11818750</v>
      </c>
      <c r="K25" s="103">
        <f>VLOOKUP($A25,'OI(Volume)'!$A$7:$O$427,12)</f>
        <v>2150000</v>
      </c>
      <c r="L25" s="103">
        <f>VLOOKUP($A25,'OI(Value)'!$A$7:$O$306,8,0)</f>
        <v>2772</v>
      </c>
      <c r="M25" s="103">
        <f>VLOOKUP($A25,'OI(Value)'!$A$7:$O$306,9,0)</f>
        <v>44</v>
      </c>
      <c r="N25" s="103">
        <f>VLOOKUP($A25,'OI(Value)'!$A$7:$O$306,11,0)</f>
        <v>1437</v>
      </c>
      <c r="O25" s="103">
        <f>VLOOKUP($A25,'OI(Value)'!$A$7:$O$306,12,0)</f>
        <v>261</v>
      </c>
      <c r="P25" s="179">
        <f>VLOOKUP(A25,'OI(Value)'!A25:O226,8,0)</f>
        <v>2772</v>
      </c>
      <c r="Q25" s="179">
        <f>VLOOKUP(A25,'OI(Value)'!A25:O226,9,0)</f>
        <v>44</v>
      </c>
      <c r="R25" s="179">
        <f>VLOOKUP(A25,'OI(Value)'!A25:O226,11,0)</f>
        <v>1437</v>
      </c>
      <c r="S25" s="179">
        <f>VLOOKUP(A25,'OI(Value)'!A25:O226,11,0)</f>
        <v>1437</v>
      </c>
    </row>
    <row r="26" spans="1:19" x14ac:dyDescent="0.25">
      <c r="A26" s="105" t="str">
        <f>'Data shares'!C21</f>
        <v>BAJAJ-AUTO</v>
      </c>
      <c r="B26" s="143">
        <f>VLOOKUP($A26,'Data shares'!$C:$FA,118)</f>
        <v>0.57999999999999996</v>
      </c>
      <c r="C26" s="143">
        <f>VLOOKUP($A26,'Data shares'!$C:$FA,119)</f>
        <v>0.55000000000000004</v>
      </c>
      <c r="D26" s="143">
        <f>VLOOKUP($A26,'Data shares'!$C:$FA,121)*100</f>
        <v>5.45</v>
      </c>
      <c r="E26" s="143">
        <f>VLOOKUP($A26,'Data shares'!$C:$FA,124)</f>
        <v>0.4</v>
      </c>
      <c r="F26" s="143">
        <f>VLOOKUP($A26,'Data shares'!$C:$FA,125)</f>
        <v>0.35</v>
      </c>
      <c r="G26" s="143">
        <f>VLOOKUP($A26,'Data shares'!$C:$FA,127)*100</f>
        <v>14.29</v>
      </c>
      <c r="H26" s="103">
        <f>VLOOKUP($A26,'OI(Volume)'!$A$7:$O$427,8)</f>
        <v>1556700</v>
      </c>
      <c r="I26" s="103">
        <f>VLOOKUP($A26,'OI(Volume)'!$A$7:$O$427,9)</f>
        <v>-24675</v>
      </c>
      <c r="J26" s="103">
        <f>VLOOKUP($A26,'OI(Volume)'!$A$7:$O$427,11)</f>
        <v>901950</v>
      </c>
      <c r="K26" s="103">
        <f>VLOOKUP($A26,'OI(Volume)'!$A$7:$O$427,12)</f>
        <v>36450</v>
      </c>
      <c r="L26" s="103">
        <f>VLOOKUP($A26,'OI(Value)'!$A$7:$O$306,8,0)</f>
        <v>1376</v>
      </c>
      <c r="M26" s="103">
        <f>VLOOKUP($A26,'OI(Value)'!$A$7:$O$306,9,0)</f>
        <v>-22</v>
      </c>
      <c r="N26" s="103">
        <f>VLOOKUP($A26,'OI(Value)'!$A$7:$O$306,11,0)</f>
        <v>797</v>
      </c>
      <c r="O26" s="103">
        <f>VLOOKUP($A26,'OI(Value)'!$A$7:$O$306,12,0)</f>
        <v>32</v>
      </c>
      <c r="P26" s="179">
        <f>VLOOKUP(A26,'OI(Value)'!A26:O227,8,0)</f>
        <v>1376</v>
      </c>
      <c r="Q26" s="179">
        <f>VLOOKUP(A26,'OI(Value)'!A26:O227,9,0)</f>
        <v>-22</v>
      </c>
      <c r="R26" s="179">
        <f>VLOOKUP(A26,'OI(Value)'!A26:O227,11,0)</f>
        <v>797</v>
      </c>
      <c r="S26" s="179">
        <f>VLOOKUP(A26,'OI(Value)'!A26:O227,11,0)</f>
        <v>797</v>
      </c>
    </row>
    <row r="27" spans="1:19" x14ac:dyDescent="0.25">
      <c r="A27" s="105" t="str">
        <f>'Data shares'!C22</f>
        <v>BAJAJFINSV</v>
      </c>
      <c r="B27" s="143">
        <f>VLOOKUP($A27,'Data shares'!$C:$FA,118)</f>
        <v>0.74</v>
      </c>
      <c r="C27" s="143">
        <f>VLOOKUP($A27,'Data shares'!$C:$FA,119)</f>
        <v>0.71</v>
      </c>
      <c r="D27" s="143">
        <f>VLOOKUP($A27,'Data shares'!$C:$FA,121)*100</f>
        <v>4.2299999999999995</v>
      </c>
      <c r="E27" s="143">
        <f>VLOOKUP($A27,'Data shares'!$C:$FA,124)</f>
        <v>0.37</v>
      </c>
      <c r="F27" s="143">
        <f>VLOOKUP($A27,'Data shares'!$C:$FA,125)</f>
        <v>0.57999999999999996</v>
      </c>
      <c r="G27" s="143">
        <f>VLOOKUP($A27,'Data shares'!$C:$FA,127)*100</f>
        <v>-36.21</v>
      </c>
      <c r="H27" s="103">
        <f>VLOOKUP($A27,'OI(Volume)'!$A$7:$O$427,8)</f>
        <v>3491000</v>
      </c>
      <c r="I27" s="103">
        <f>VLOOKUP($A27,'OI(Volume)'!$A$7:$O$427,9)</f>
        <v>480000</v>
      </c>
      <c r="J27" s="103">
        <f>VLOOKUP($A27,'OI(Volume)'!$A$7:$O$427,11)</f>
        <v>2572000</v>
      </c>
      <c r="K27" s="103">
        <f>VLOOKUP($A27,'OI(Volume)'!$A$7:$O$427,12)</f>
        <v>422500</v>
      </c>
      <c r="L27" s="103">
        <f>VLOOKUP($A27,'OI(Value)'!$A$7:$O$306,8,0)</f>
        <v>713</v>
      </c>
      <c r="M27" s="103">
        <f>VLOOKUP($A27,'OI(Value)'!$A$7:$O$306,9,0)</f>
        <v>98</v>
      </c>
      <c r="N27" s="103">
        <f>VLOOKUP($A27,'OI(Value)'!$A$7:$O$306,11,0)</f>
        <v>525</v>
      </c>
      <c r="O27" s="103">
        <f>VLOOKUP($A27,'OI(Value)'!$A$7:$O$306,12,0)</f>
        <v>86</v>
      </c>
      <c r="P27" s="179">
        <f>VLOOKUP(A27,'OI(Value)'!A27:O228,8,0)</f>
        <v>713</v>
      </c>
      <c r="Q27" s="179">
        <f>VLOOKUP(A27,'OI(Value)'!A27:O228,9,0)</f>
        <v>98</v>
      </c>
      <c r="R27" s="179">
        <f>VLOOKUP(A27,'OI(Value)'!A27:O228,11,0)</f>
        <v>525</v>
      </c>
      <c r="S27" s="179">
        <f>VLOOKUP(A27,'OI(Value)'!A27:O228,11,0)</f>
        <v>525</v>
      </c>
    </row>
    <row r="28" spans="1:19" x14ac:dyDescent="0.25">
      <c r="A28" s="105" t="str">
        <f>'Data shares'!C23</f>
        <v>BAJFINANCE</v>
      </c>
      <c r="B28" s="143">
        <f>VLOOKUP($A28,'Data shares'!$C:$FA,118)</f>
        <v>0.64</v>
      </c>
      <c r="C28" s="143">
        <f>VLOOKUP($A28,'Data shares'!$C:$FA,119)</f>
        <v>0.72</v>
      </c>
      <c r="D28" s="143">
        <f>VLOOKUP($A28,'Data shares'!$C:$FA,121)*100</f>
        <v>-11.110000000000001</v>
      </c>
      <c r="E28" s="143">
        <f>VLOOKUP($A28,'Data shares'!$C:$FA,124)</f>
        <v>0.39</v>
      </c>
      <c r="F28" s="143">
        <f>VLOOKUP($A28,'Data shares'!$C:$FA,125)</f>
        <v>0.49</v>
      </c>
      <c r="G28" s="143">
        <f>VLOOKUP($A28,'Data shares'!$C:$FA,127)*100</f>
        <v>-20.41</v>
      </c>
      <c r="H28" s="103">
        <f>VLOOKUP($A28,'OI(Volume)'!$A$7:$O$427,8)</f>
        <v>18005250</v>
      </c>
      <c r="I28" s="103">
        <f>VLOOKUP($A28,'OI(Volume)'!$A$7:$O$427,9)</f>
        <v>3353250</v>
      </c>
      <c r="J28" s="103">
        <f>VLOOKUP($A28,'OI(Volume)'!$A$7:$O$427,11)</f>
        <v>11558250</v>
      </c>
      <c r="K28" s="103">
        <f>VLOOKUP($A28,'OI(Volume)'!$A$7:$O$427,12)</f>
        <v>1035750</v>
      </c>
      <c r="L28" s="103">
        <f>VLOOKUP($A28,'OI(Value)'!$A$7:$O$306,8,0)</f>
        <v>1827</v>
      </c>
      <c r="M28" s="103">
        <f>VLOOKUP($A28,'OI(Value)'!$A$7:$O$306,9,0)</f>
        <v>340</v>
      </c>
      <c r="N28" s="103">
        <f>VLOOKUP($A28,'OI(Value)'!$A$7:$O$306,11,0)</f>
        <v>1173</v>
      </c>
      <c r="O28" s="103">
        <f>VLOOKUP($A28,'OI(Value)'!$A$7:$O$306,12,0)</f>
        <v>105</v>
      </c>
      <c r="P28" s="179">
        <f>VLOOKUP(A28,'OI(Value)'!A28:O229,8,0)</f>
        <v>1827</v>
      </c>
      <c r="Q28" s="179">
        <f>VLOOKUP(A28,'OI(Value)'!A28:O229,9,0)</f>
        <v>340</v>
      </c>
      <c r="R28" s="179">
        <f>VLOOKUP(A28,'OI(Value)'!A28:O229,11,0)</f>
        <v>1173</v>
      </c>
      <c r="S28" s="179">
        <f>VLOOKUP(A28,'OI(Value)'!A28:O229,11,0)</f>
        <v>1173</v>
      </c>
    </row>
    <row r="29" spans="1:19" x14ac:dyDescent="0.25">
      <c r="A29" s="105" t="str">
        <f>'Data shares'!C24</f>
        <v>BANDHANBNK</v>
      </c>
      <c r="B29" s="143">
        <f>VLOOKUP($A29,'Data shares'!$C:$FA,118)</f>
        <v>0.88</v>
      </c>
      <c r="C29" s="143">
        <f>VLOOKUP($A29,'Data shares'!$C:$FA,119)</f>
        <v>0.91</v>
      </c>
      <c r="D29" s="143">
        <f>VLOOKUP($A29,'Data shares'!$C:$FA,121)*100</f>
        <v>-3.3000000000000003</v>
      </c>
      <c r="E29" s="143">
        <f>VLOOKUP($A29,'Data shares'!$C:$FA,124)</f>
        <v>0.42</v>
      </c>
      <c r="F29" s="143">
        <f>VLOOKUP($A29,'Data shares'!$C:$FA,125)</f>
        <v>0.51</v>
      </c>
      <c r="G29" s="143">
        <f>VLOOKUP($A29,'Data shares'!$C:$FA,127)*100</f>
        <v>-17.649999999999999</v>
      </c>
      <c r="H29" s="103">
        <f>VLOOKUP($A29,'OI(Volume)'!$A$7:$O$427,8)</f>
        <v>25120800</v>
      </c>
      <c r="I29" s="103">
        <f>VLOOKUP($A29,'OI(Volume)'!$A$7:$O$427,9)</f>
        <v>1508400</v>
      </c>
      <c r="J29" s="103">
        <f>VLOOKUP($A29,'OI(Volume)'!$A$7:$O$427,11)</f>
        <v>22201200</v>
      </c>
      <c r="K29" s="103">
        <f>VLOOKUP($A29,'OI(Volume)'!$A$7:$O$427,12)</f>
        <v>770400</v>
      </c>
      <c r="L29" s="103">
        <f>VLOOKUP($A29,'OI(Value)'!$A$7:$O$306,8,0)</f>
        <v>417</v>
      </c>
      <c r="M29" s="103">
        <f>VLOOKUP($A29,'OI(Value)'!$A$7:$O$306,9,0)</f>
        <v>25</v>
      </c>
      <c r="N29" s="103">
        <f>VLOOKUP($A29,'OI(Value)'!$A$7:$O$306,11,0)</f>
        <v>368</v>
      </c>
      <c r="O29" s="103">
        <f>VLOOKUP($A29,'OI(Value)'!$A$7:$O$306,12,0)</f>
        <v>13</v>
      </c>
      <c r="P29" s="179">
        <f>VLOOKUP(A29,'OI(Value)'!A29:O230,8,0)</f>
        <v>417</v>
      </c>
      <c r="Q29" s="179">
        <f>VLOOKUP(A29,'OI(Value)'!A29:O230,9,0)</f>
        <v>25</v>
      </c>
      <c r="R29" s="179">
        <f>VLOOKUP(A29,'OI(Value)'!A29:O230,11,0)</f>
        <v>368</v>
      </c>
      <c r="S29" s="179">
        <f>VLOOKUP(A29,'OI(Value)'!A29:O230,11,0)</f>
        <v>368</v>
      </c>
    </row>
    <row r="30" spans="1:19" x14ac:dyDescent="0.25">
      <c r="A30" s="105" t="str">
        <f>'Data shares'!C25</f>
        <v>BANKBARODA</v>
      </c>
      <c r="B30" s="143">
        <f>VLOOKUP($A30,'Data shares'!$C:$FA,118)</f>
        <v>0.92</v>
      </c>
      <c r="C30" s="143">
        <f>VLOOKUP($A30,'Data shares'!$C:$FA,119)</f>
        <v>0.99</v>
      </c>
      <c r="D30" s="143">
        <f>VLOOKUP($A30,'Data shares'!$C:$FA,121)*100</f>
        <v>-7.07</v>
      </c>
      <c r="E30" s="143">
        <f>VLOOKUP($A30,'Data shares'!$C:$FA,124)</f>
        <v>0.56999999999999995</v>
      </c>
      <c r="F30" s="143">
        <f>VLOOKUP($A30,'Data shares'!$C:$FA,125)</f>
        <v>0.61</v>
      </c>
      <c r="G30" s="143">
        <f>VLOOKUP($A30,'Data shares'!$C:$FA,127)*100</f>
        <v>-6.5600000000000005</v>
      </c>
      <c r="H30" s="103">
        <f>VLOOKUP($A30,'OI(Volume)'!$A$7:$O$427,8)</f>
        <v>32332950</v>
      </c>
      <c r="I30" s="103">
        <f>VLOOKUP($A30,'OI(Volume)'!$A$7:$O$427,9)</f>
        <v>3428100</v>
      </c>
      <c r="J30" s="103">
        <f>VLOOKUP($A30,'OI(Volume)'!$A$7:$O$427,11)</f>
        <v>29893500</v>
      </c>
      <c r="K30" s="103">
        <f>VLOOKUP($A30,'OI(Volume)'!$A$7:$O$427,12)</f>
        <v>1292850</v>
      </c>
      <c r="L30" s="103">
        <f>VLOOKUP($A30,'OI(Value)'!$A$7:$O$306,8,0)</f>
        <v>865</v>
      </c>
      <c r="M30" s="103">
        <f>VLOOKUP($A30,'OI(Value)'!$A$7:$O$306,9,0)</f>
        <v>92</v>
      </c>
      <c r="N30" s="103">
        <f>VLOOKUP($A30,'OI(Value)'!$A$7:$O$306,11,0)</f>
        <v>800</v>
      </c>
      <c r="O30" s="103">
        <f>VLOOKUP($A30,'OI(Value)'!$A$7:$O$306,12,0)</f>
        <v>35</v>
      </c>
      <c r="P30" s="179">
        <f>VLOOKUP(A30,'OI(Value)'!A30:O231,8,0)</f>
        <v>865</v>
      </c>
      <c r="Q30" s="179">
        <f>VLOOKUP(A30,'OI(Value)'!A30:O231,9,0)</f>
        <v>92</v>
      </c>
      <c r="R30" s="179">
        <f>VLOOKUP(A30,'OI(Value)'!A30:O231,11,0)</f>
        <v>800</v>
      </c>
      <c r="S30" s="179">
        <f>VLOOKUP(A30,'OI(Value)'!A30:O231,11,0)</f>
        <v>800</v>
      </c>
    </row>
    <row r="31" spans="1:19" x14ac:dyDescent="0.25">
      <c r="A31" s="105" t="str">
        <f>'Data shares'!C26</f>
        <v>BANKINDIA</v>
      </c>
      <c r="B31" s="143">
        <f>VLOOKUP($A31,'Data shares'!$C:$FA,118)</f>
        <v>0.73</v>
      </c>
      <c r="C31" s="143">
        <f>VLOOKUP($A31,'Data shares'!$C:$FA,119)</f>
        <v>0.73</v>
      </c>
      <c r="D31" s="143">
        <f>VLOOKUP($A31,'Data shares'!$C:$FA,121)*100</f>
        <v>0</v>
      </c>
      <c r="E31" s="143">
        <f>VLOOKUP($A31,'Data shares'!$C:$FA,124)</f>
        <v>0.44</v>
      </c>
      <c r="F31" s="143">
        <f>VLOOKUP($A31,'Data shares'!$C:$FA,125)</f>
        <v>0.46</v>
      </c>
      <c r="G31" s="143">
        <f>VLOOKUP($A31,'Data shares'!$C:$FA,127)*100</f>
        <v>-4.3499999999999996</v>
      </c>
      <c r="H31" s="103">
        <f>VLOOKUP($A31,'OI(Volume)'!$A$7:$O$427,8)</f>
        <v>18460000</v>
      </c>
      <c r="I31" s="103">
        <f>VLOOKUP($A31,'OI(Volume)'!$A$7:$O$427,9)</f>
        <v>338000</v>
      </c>
      <c r="J31" s="103">
        <f>VLOOKUP($A31,'OI(Volume)'!$A$7:$O$427,11)</f>
        <v>13478400</v>
      </c>
      <c r="K31" s="103">
        <f>VLOOKUP($A31,'OI(Volume)'!$A$7:$O$427,12)</f>
        <v>254800</v>
      </c>
      <c r="L31" s="103">
        <f>VLOOKUP($A31,'OI(Value)'!$A$7:$O$306,8,0)</f>
        <v>234</v>
      </c>
      <c r="M31" s="103">
        <f>VLOOKUP($A31,'OI(Value)'!$A$7:$O$306,9,0)</f>
        <v>4</v>
      </c>
      <c r="N31" s="103">
        <f>VLOOKUP($A31,'OI(Value)'!$A$7:$O$306,11,0)</f>
        <v>171</v>
      </c>
      <c r="O31" s="103">
        <f>VLOOKUP($A31,'OI(Value)'!$A$7:$O$306,12,0)</f>
        <v>3</v>
      </c>
      <c r="P31" s="179">
        <f>VLOOKUP(A31,'OI(Value)'!A31:O232,8,0)</f>
        <v>234</v>
      </c>
      <c r="Q31" s="179">
        <f>VLOOKUP(A31,'OI(Value)'!A31:O232,9,0)</f>
        <v>4</v>
      </c>
      <c r="R31" s="179">
        <f>VLOOKUP(A31,'OI(Value)'!A31:O232,11,0)</f>
        <v>171</v>
      </c>
      <c r="S31" s="179">
        <f>VLOOKUP(A31,'OI(Value)'!A31:O232,11,0)</f>
        <v>171</v>
      </c>
    </row>
    <row r="32" spans="1:19" x14ac:dyDescent="0.25">
      <c r="A32" s="105" t="str">
        <f>'Data shares'!C27</f>
        <v>BANKNIFTY</v>
      </c>
      <c r="B32" s="143">
        <f>VLOOKUP($A32,'Data shares'!$C:$FA,118)</f>
        <v>1.1299999999999999</v>
      </c>
      <c r="C32" s="143">
        <f>VLOOKUP($A32,'Data shares'!$C:$FA,119)</f>
        <v>1.1499999999999999</v>
      </c>
      <c r="D32" s="143">
        <f>VLOOKUP($A32,'Data shares'!$C:$FA,121)*100</f>
        <v>-1.7399999999999998</v>
      </c>
      <c r="E32" s="143">
        <f>VLOOKUP($A32,'Data shares'!$C:$FA,124)</f>
        <v>0.88</v>
      </c>
      <c r="F32" s="143">
        <f>VLOOKUP($A32,'Data shares'!$C:$FA,125)</f>
        <v>0.91</v>
      </c>
      <c r="G32" s="143">
        <f>VLOOKUP($A32,'Data shares'!$C:$FA,127)*100</f>
        <v>-3.3000000000000003</v>
      </c>
      <c r="H32" s="103">
        <f>VLOOKUP($A32,'OI(Volume)'!$A$7:$O$427,8)</f>
        <v>15140890</v>
      </c>
      <c r="I32" s="103">
        <f>VLOOKUP($A32,'OI(Volume)'!$A$7:$O$427,9)</f>
        <v>1304415</v>
      </c>
      <c r="J32" s="103">
        <f>VLOOKUP($A32,'OI(Volume)'!$A$7:$O$427,11)</f>
        <v>17096095</v>
      </c>
      <c r="K32" s="103">
        <f>VLOOKUP($A32,'OI(Volume)'!$A$7:$O$427,12)</f>
        <v>1150870</v>
      </c>
      <c r="L32" s="103">
        <f>VLOOKUP($A32,'OI(Value)'!$A$7:$O$306,8,0)</f>
        <v>85240</v>
      </c>
      <c r="M32" s="103">
        <f>VLOOKUP($A32,'OI(Value)'!$A$7:$O$306,9,0)</f>
        <v>7344</v>
      </c>
      <c r="N32" s="103">
        <f>VLOOKUP($A32,'OI(Value)'!$A$7:$O$306,11,0)</f>
        <v>96247</v>
      </c>
      <c r="O32" s="103">
        <f>VLOOKUP($A32,'OI(Value)'!$A$7:$O$306,12,0)</f>
        <v>6479</v>
      </c>
      <c r="P32" s="179">
        <f>VLOOKUP(A32,'OI(Value)'!A32:O233,8,0)</f>
        <v>85240</v>
      </c>
      <c r="Q32" s="179">
        <f>VLOOKUP(A32,'OI(Value)'!A32:O233,9,0)</f>
        <v>7344</v>
      </c>
      <c r="R32" s="179">
        <f>VLOOKUP(A32,'OI(Value)'!A32:O233,11,0)</f>
        <v>96247</v>
      </c>
      <c r="S32" s="179">
        <f>VLOOKUP(A32,'OI(Value)'!A32:O233,11,0)</f>
        <v>96247</v>
      </c>
    </row>
    <row r="33" spans="1:19" x14ac:dyDescent="0.25">
      <c r="A33" s="105" t="str">
        <f>'Data shares'!C28</f>
        <v>BDL</v>
      </c>
      <c r="B33" s="143">
        <f>VLOOKUP($A33,'Data shares'!$C:$FA,118)</f>
        <v>0.65</v>
      </c>
      <c r="C33" s="143">
        <f>VLOOKUP($A33,'Data shares'!$C:$FA,119)</f>
        <v>0.74</v>
      </c>
      <c r="D33" s="143">
        <f>VLOOKUP($A33,'Data shares'!$C:$FA,121)*100</f>
        <v>-12.16</v>
      </c>
      <c r="E33" s="143">
        <f>VLOOKUP($A33,'Data shares'!$C:$FA,124)</f>
        <v>0.35</v>
      </c>
      <c r="F33" s="143">
        <f>VLOOKUP($A33,'Data shares'!$C:$FA,125)</f>
        <v>0.35</v>
      </c>
      <c r="G33" s="143">
        <f>VLOOKUP($A33,'Data shares'!$C:$FA,127)*100</f>
        <v>0</v>
      </c>
      <c r="H33" s="103">
        <f>VLOOKUP($A33,'OI(Volume)'!$A$7:$O$427,8)</f>
        <v>2475525</v>
      </c>
      <c r="I33" s="103">
        <f>VLOOKUP($A33,'OI(Volume)'!$A$7:$O$427,9)</f>
        <v>289575</v>
      </c>
      <c r="J33" s="103">
        <f>VLOOKUP($A33,'OI(Volume)'!$A$7:$O$427,11)</f>
        <v>1620450</v>
      </c>
      <c r="K33" s="103">
        <f>VLOOKUP($A33,'OI(Volume)'!$A$7:$O$427,12)</f>
        <v>-325</v>
      </c>
      <c r="L33" s="103">
        <f>VLOOKUP($A33,'OI(Value)'!$A$7:$O$306,8,0)</f>
        <v>388</v>
      </c>
      <c r="M33" s="103">
        <f>VLOOKUP($A33,'OI(Value)'!$A$7:$O$306,9,0)</f>
        <v>45</v>
      </c>
      <c r="N33" s="103">
        <f>VLOOKUP($A33,'OI(Value)'!$A$7:$O$306,11,0)</f>
        <v>254</v>
      </c>
      <c r="O33" s="103">
        <f>VLOOKUP($A33,'OI(Value)'!$A$7:$O$306,12,0)</f>
        <v>0</v>
      </c>
      <c r="P33" s="179">
        <f>VLOOKUP(A33,'OI(Value)'!A33:O234,8,0)</f>
        <v>388</v>
      </c>
      <c r="Q33" s="179">
        <f>VLOOKUP(A33,'OI(Value)'!A33:O234,9,0)</f>
        <v>45</v>
      </c>
      <c r="R33" s="179">
        <f>VLOOKUP(A33,'OI(Value)'!A33:O234,11,0)</f>
        <v>254</v>
      </c>
      <c r="S33" s="179">
        <f>VLOOKUP(A33,'OI(Value)'!A33:O234,11,0)</f>
        <v>254</v>
      </c>
    </row>
    <row r="34" spans="1:19" x14ac:dyDescent="0.25">
      <c r="A34" s="105" t="str">
        <f>'Data shares'!C29</f>
        <v>BEL</v>
      </c>
      <c r="B34" s="143">
        <f>VLOOKUP($A34,'Data shares'!$C:$FA,118)</f>
        <v>0.71</v>
      </c>
      <c r="C34" s="143">
        <f>VLOOKUP($A34,'Data shares'!$C:$FA,119)</f>
        <v>0.7</v>
      </c>
      <c r="D34" s="143">
        <f>VLOOKUP($A34,'Data shares'!$C:$FA,121)*100</f>
        <v>1.43</v>
      </c>
      <c r="E34" s="143">
        <f>VLOOKUP($A34,'Data shares'!$C:$FA,124)</f>
        <v>0.5</v>
      </c>
      <c r="F34" s="143">
        <f>VLOOKUP($A34,'Data shares'!$C:$FA,125)</f>
        <v>0.47</v>
      </c>
      <c r="G34" s="143">
        <f>VLOOKUP($A34,'Data shares'!$C:$FA,127)*100</f>
        <v>6.38</v>
      </c>
      <c r="H34" s="103">
        <f>VLOOKUP($A34,'OI(Volume)'!$A$7:$O$427,8)</f>
        <v>49835100</v>
      </c>
      <c r="I34" s="103">
        <f>VLOOKUP($A34,'OI(Volume)'!$A$7:$O$427,9)</f>
        <v>2676150</v>
      </c>
      <c r="J34" s="103">
        <f>VLOOKUP($A34,'OI(Volume)'!$A$7:$O$427,11)</f>
        <v>35391300</v>
      </c>
      <c r="K34" s="103">
        <f>VLOOKUP($A34,'OI(Volume)'!$A$7:$O$427,12)</f>
        <v>2322750</v>
      </c>
      <c r="L34" s="103">
        <f>VLOOKUP($A34,'OI(Value)'!$A$7:$O$306,8,0)</f>
        <v>2071</v>
      </c>
      <c r="M34" s="103">
        <f>VLOOKUP($A34,'OI(Value)'!$A$7:$O$306,9,0)</f>
        <v>111</v>
      </c>
      <c r="N34" s="103">
        <f>VLOOKUP($A34,'OI(Value)'!$A$7:$O$306,11,0)</f>
        <v>1471</v>
      </c>
      <c r="O34" s="103">
        <f>VLOOKUP($A34,'OI(Value)'!$A$7:$O$306,12,0)</f>
        <v>97</v>
      </c>
      <c r="P34" s="179">
        <f>VLOOKUP(A34,'OI(Value)'!A34:O235,8,0)</f>
        <v>2071</v>
      </c>
      <c r="Q34" s="179">
        <f>VLOOKUP(A34,'OI(Value)'!A34:O235,9,0)</f>
        <v>111</v>
      </c>
      <c r="R34" s="179">
        <f>VLOOKUP(A34,'OI(Value)'!A34:O235,11,0)</f>
        <v>1471</v>
      </c>
      <c r="S34" s="179">
        <f>VLOOKUP(A34,'OI(Value)'!A34:O235,11,0)</f>
        <v>1471</v>
      </c>
    </row>
    <row r="35" spans="1:19" x14ac:dyDescent="0.25">
      <c r="A35" s="105" t="str">
        <f>'Data shares'!C30</f>
        <v>BHARATFORG</v>
      </c>
      <c r="B35" s="143">
        <f>VLOOKUP($A35,'Data shares'!$C:$FA,118)</f>
        <v>0.75</v>
      </c>
      <c r="C35" s="143">
        <f>VLOOKUP($A35,'Data shares'!$C:$FA,119)</f>
        <v>0.79</v>
      </c>
      <c r="D35" s="143">
        <f>VLOOKUP($A35,'Data shares'!$C:$FA,121)*100</f>
        <v>-5.0599999999999996</v>
      </c>
      <c r="E35" s="143">
        <f>VLOOKUP($A35,'Data shares'!$C:$FA,124)</f>
        <v>0.3</v>
      </c>
      <c r="F35" s="143">
        <f>VLOOKUP($A35,'Data shares'!$C:$FA,125)</f>
        <v>0.33</v>
      </c>
      <c r="G35" s="143">
        <f>VLOOKUP($A35,'Data shares'!$C:$FA,127)*100</f>
        <v>-9.09</v>
      </c>
      <c r="H35" s="103">
        <f>VLOOKUP($A35,'OI(Volume)'!$A$7:$O$427,8)</f>
        <v>2349500</v>
      </c>
      <c r="I35" s="103">
        <f>VLOOKUP($A35,'OI(Volume)'!$A$7:$O$427,9)</f>
        <v>270000</v>
      </c>
      <c r="J35" s="103">
        <f>VLOOKUP($A35,'OI(Volume)'!$A$7:$O$427,11)</f>
        <v>1752500</v>
      </c>
      <c r="K35" s="103">
        <f>VLOOKUP($A35,'OI(Volume)'!$A$7:$O$427,12)</f>
        <v>110000</v>
      </c>
      <c r="L35" s="103">
        <f>VLOOKUP($A35,'OI(Value)'!$A$7:$O$306,8,0)</f>
        <v>289</v>
      </c>
      <c r="M35" s="103">
        <f>VLOOKUP($A35,'OI(Value)'!$A$7:$O$306,9,0)</f>
        <v>33</v>
      </c>
      <c r="N35" s="103">
        <f>VLOOKUP($A35,'OI(Value)'!$A$7:$O$306,11,0)</f>
        <v>215</v>
      </c>
      <c r="O35" s="103">
        <f>VLOOKUP($A35,'OI(Value)'!$A$7:$O$306,12,0)</f>
        <v>14</v>
      </c>
      <c r="P35" s="179">
        <f>VLOOKUP(A35,'OI(Value)'!A35:O236,8,0)</f>
        <v>289</v>
      </c>
      <c r="Q35" s="179">
        <f>VLOOKUP(A35,'OI(Value)'!A35:O236,9,0)</f>
        <v>33</v>
      </c>
      <c r="R35" s="179">
        <f>VLOOKUP(A35,'OI(Value)'!A35:O236,11,0)</f>
        <v>215</v>
      </c>
      <c r="S35" s="179">
        <f>VLOOKUP(A35,'OI(Value)'!A35:O236,11,0)</f>
        <v>215</v>
      </c>
    </row>
    <row r="36" spans="1:19" x14ac:dyDescent="0.25">
      <c r="A36" s="105" t="str">
        <f>'Data shares'!C31</f>
        <v>BHARTIARTL</v>
      </c>
      <c r="B36" s="143">
        <f>VLOOKUP($A36,'Data shares'!$C:$FA,118)</f>
        <v>0.56999999999999995</v>
      </c>
      <c r="C36" s="143">
        <f>VLOOKUP($A36,'Data shares'!$C:$FA,119)</f>
        <v>0.57999999999999996</v>
      </c>
      <c r="D36" s="143">
        <f>VLOOKUP($A36,'Data shares'!$C:$FA,121)*100</f>
        <v>-1.72</v>
      </c>
      <c r="E36" s="143">
        <f>VLOOKUP($A36,'Data shares'!$C:$FA,124)</f>
        <v>0.42</v>
      </c>
      <c r="F36" s="143">
        <f>VLOOKUP($A36,'Data shares'!$C:$FA,125)</f>
        <v>0.42</v>
      </c>
      <c r="G36" s="143">
        <f>VLOOKUP($A36,'Data shares'!$C:$FA,127)*100</f>
        <v>0</v>
      </c>
      <c r="H36" s="103">
        <f>VLOOKUP($A36,'OI(Volume)'!$A$7:$O$427,8)</f>
        <v>8217500</v>
      </c>
      <c r="I36" s="103">
        <f>VLOOKUP($A36,'OI(Volume)'!$A$7:$O$427,9)</f>
        <v>255075</v>
      </c>
      <c r="J36" s="103">
        <f>VLOOKUP($A36,'OI(Volume)'!$A$7:$O$427,11)</f>
        <v>4661650</v>
      </c>
      <c r="K36" s="103">
        <f>VLOOKUP($A36,'OI(Volume)'!$A$7:$O$427,12)</f>
        <v>62225</v>
      </c>
      <c r="L36" s="103">
        <f>VLOOKUP($A36,'OI(Value)'!$A$7:$O$306,8,0)</f>
        <v>1571</v>
      </c>
      <c r="M36" s="103">
        <f>VLOOKUP($A36,'OI(Value)'!$A$7:$O$306,9,0)</f>
        <v>49</v>
      </c>
      <c r="N36" s="103">
        <f>VLOOKUP($A36,'OI(Value)'!$A$7:$O$306,11,0)</f>
        <v>891</v>
      </c>
      <c r="O36" s="103">
        <f>VLOOKUP($A36,'OI(Value)'!$A$7:$O$306,12,0)</f>
        <v>12</v>
      </c>
      <c r="P36" s="179">
        <f>VLOOKUP(A36,'OI(Value)'!A36:O237,8,0)</f>
        <v>1571</v>
      </c>
      <c r="Q36" s="179">
        <f>VLOOKUP(A36,'OI(Value)'!A36:O237,9,0)</f>
        <v>49</v>
      </c>
      <c r="R36" s="179">
        <f>VLOOKUP(A36,'OI(Value)'!A36:O237,11,0)</f>
        <v>891</v>
      </c>
      <c r="S36" s="179">
        <f>VLOOKUP(A36,'OI(Value)'!A36:O237,11,0)</f>
        <v>891</v>
      </c>
    </row>
    <row r="37" spans="1:19" x14ac:dyDescent="0.25">
      <c r="A37" s="105" t="str">
        <f>'Data shares'!C32</f>
        <v>BHEL</v>
      </c>
      <c r="B37" s="143">
        <f>VLOOKUP($A37,'Data shares'!$C:$FA,118)</f>
        <v>0.78</v>
      </c>
      <c r="C37" s="143">
        <f>VLOOKUP($A37,'Data shares'!$C:$FA,119)</f>
        <v>0.85</v>
      </c>
      <c r="D37" s="143">
        <f>VLOOKUP($A37,'Data shares'!$C:$FA,121)*100</f>
        <v>-8.24</v>
      </c>
      <c r="E37" s="143">
        <f>VLOOKUP($A37,'Data shares'!$C:$FA,124)</f>
        <v>0.53</v>
      </c>
      <c r="F37" s="143">
        <f>VLOOKUP($A37,'Data shares'!$C:$FA,125)</f>
        <v>0.41</v>
      </c>
      <c r="G37" s="143">
        <f>VLOOKUP($A37,'Data shares'!$C:$FA,127)*100</f>
        <v>29.270000000000003</v>
      </c>
      <c r="H37" s="103">
        <f>VLOOKUP($A37,'OI(Volume)'!$A$7:$O$427,8)</f>
        <v>18125625</v>
      </c>
      <c r="I37" s="103">
        <f>VLOOKUP($A37,'OI(Volume)'!$A$7:$O$427,9)</f>
        <v>1320375</v>
      </c>
      <c r="J37" s="103">
        <f>VLOOKUP($A37,'OI(Volume)'!$A$7:$O$427,11)</f>
        <v>14127750</v>
      </c>
      <c r="K37" s="103">
        <f>VLOOKUP($A37,'OI(Volume)'!$A$7:$O$427,12)</f>
        <v>-136500</v>
      </c>
      <c r="L37" s="103">
        <f>VLOOKUP($A37,'OI(Value)'!$A$7:$O$306,8,0)</f>
        <v>446</v>
      </c>
      <c r="M37" s="103">
        <f>VLOOKUP($A37,'OI(Value)'!$A$7:$O$306,9,0)</f>
        <v>33</v>
      </c>
      <c r="N37" s="103">
        <f>VLOOKUP($A37,'OI(Value)'!$A$7:$O$306,11,0)</f>
        <v>348</v>
      </c>
      <c r="O37" s="103">
        <f>VLOOKUP($A37,'OI(Value)'!$A$7:$O$306,12,0)</f>
        <v>-3</v>
      </c>
      <c r="P37" s="179">
        <f>VLOOKUP(A37,'OI(Value)'!A37:O238,8,0)</f>
        <v>446</v>
      </c>
      <c r="Q37" s="179">
        <f>VLOOKUP(A37,'OI(Value)'!A37:O238,9,0)</f>
        <v>33</v>
      </c>
      <c r="R37" s="179">
        <f>VLOOKUP(A37,'OI(Value)'!A37:O238,11,0)</f>
        <v>348</v>
      </c>
      <c r="S37" s="179">
        <f>VLOOKUP(A37,'OI(Value)'!A37:O238,11,0)</f>
        <v>348</v>
      </c>
    </row>
    <row r="38" spans="1:19" x14ac:dyDescent="0.25">
      <c r="A38" s="105" t="str">
        <f>'Data shares'!C33</f>
        <v>BIOCON</v>
      </c>
      <c r="B38" s="143">
        <f>VLOOKUP($A38,'Data shares'!$C:$FA,118)</f>
        <v>0.65</v>
      </c>
      <c r="C38" s="143">
        <f>VLOOKUP($A38,'Data shares'!$C:$FA,119)</f>
        <v>0.78</v>
      </c>
      <c r="D38" s="143">
        <f>VLOOKUP($A38,'Data shares'!$C:$FA,121)*100</f>
        <v>-16.669999999999998</v>
      </c>
      <c r="E38" s="143">
        <f>VLOOKUP($A38,'Data shares'!$C:$FA,124)</f>
        <v>0.32</v>
      </c>
      <c r="F38" s="143">
        <f>VLOOKUP($A38,'Data shares'!$C:$FA,125)</f>
        <v>0.41</v>
      </c>
      <c r="G38" s="143">
        <f>VLOOKUP($A38,'Data shares'!$C:$FA,127)*100</f>
        <v>-21.95</v>
      </c>
      <c r="H38" s="103">
        <f>VLOOKUP($A38,'OI(Volume)'!$A$7:$O$427,8)</f>
        <v>13085000</v>
      </c>
      <c r="I38" s="103">
        <f>VLOOKUP($A38,'OI(Volume)'!$A$7:$O$427,9)</f>
        <v>2317500</v>
      </c>
      <c r="J38" s="103">
        <f>VLOOKUP($A38,'OI(Volume)'!$A$7:$O$427,11)</f>
        <v>8550000</v>
      </c>
      <c r="K38" s="103">
        <f>VLOOKUP($A38,'OI(Volume)'!$A$7:$O$427,12)</f>
        <v>175000</v>
      </c>
      <c r="L38" s="103">
        <f>VLOOKUP($A38,'OI(Value)'!$A$7:$O$306,8,0)</f>
        <v>457</v>
      </c>
      <c r="M38" s="103">
        <f>VLOOKUP($A38,'OI(Value)'!$A$7:$O$306,9,0)</f>
        <v>81</v>
      </c>
      <c r="N38" s="103">
        <f>VLOOKUP($A38,'OI(Value)'!$A$7:$O$306,11,0)</f>
        <v>299</v>
      </c>
      <c r="O38" s="103">
        <f>VLOOKUP($A38,'OI(Value)'!$A$7:$O$306,12,0)</f>
        <v>6</v>
      </c>
      <c r="P38" s="179">
        <f>VLOOKUP(A38,'OI(Value)'!A38:O239,8,0)</f>
        <v>457</v>
      </c>
      <c r="Q38" s="179">
        <f>VLOOKUP(A38,'OI(Value)'!A38:O239,9,0)</f>
        <v>81</v>
      </c>
      <c r="R38" s="179">
        <f>VLOOKUP(A38,'OI(Value)'!A38:O239,11,0)</f>
        <v>299</v>
      </c>
      <c r="S38" s="179">
        <f>VLOOKUP(A38,'OI(Value)'!A38:O239,11,0)</f>
        <v>299</v>
      </c>
    </row>
    <row r="39" spans="1:19" x14ac:dyDescent="0.25">
      <c r="A39" s="105" t="str">
        <f>'Data shares'!C34</f>
        <v>BLUESTARCO</v>
      </c>
      <c r="B39" s="143">
        <f>VLOOKUP($A39,'Data shares'!$C:$FA,118)</f>
        <v>0.87</v>
      </c>
      <c r="C39" s="143">
        <f>VLOOKUP($A39,'Data shares'!$C:$FA,119)</f>
        <v>0.85</v>
      </c>
      <c r="D39" s="143">
        <f>VLOOKUP($A39,'Data shares'!$C:$FA,121)*100</f>
        <v>2.35</v>
      </c>
      <c r="E39" s="143">
        <f>VLOOKUP($A39,'Data shares'!$C:$FA,124)</f>
        <v>0.52</v>
      </c>
      <c r="F39" s="143">
        <f>VLOOKUP($A39,'Data shares'!$C:$FA,125)</f>
        <v>0.43</v>
      </c>
      <c r="G39" s="143">
        <f>VLOOKUP($A39,'Data shares'!$C:$FA,127)*100</f>
        <v>20.93</v>
      </c>
      <c r="H39" s="103">
        <f>VLOOKUP($A39,'OI(Volume)'!$A$7:$O$427,8)</f>
        <v>248300</v>
      </c>
      <c r="I39" s="103">
        <f>VLOOKUP($A39,'OI(Volume)'!$A$7:$O$427,9)</f>
        <v>18850</v>
      </c>
      <c r="J39" s="103">
        <f>VLOOKUP($A39,'OI(Volume)'!$A$7:$O$427,11)</f>
        <v>216775</v>
      </c>
      <c r="K39" s="103">
        <f>VLOOKUP($A39,'OI(Volume)'!$A$7:$O$427,12)</f>
        <v>20800</v>
      </c>
      <c r="L39" s="103">
        <f>VLOOKUP($A39,'OI(Value)'!$A$7:$O$306,8,0)</f>
        <v>47</v>
      </c>
      <c r="M39" s="103">
        <f>VLOOKUP($A39,'OI(Value)'!$A$7:$O$306,9,0)</f>
        <v>4</v>
      </c>
      <c r="N39" s="103">
        <f>VLOOKUP($A39,'OI(Value)'!$A$7:$O$306,11,0)</f>
        <v>41</v>
      </c>
      <c r="O39" s="103">
        <f>VLOOKUP($A39,'OI(Value)'!$A$7:$O$306,12,0)</f>
        <v>4</v>
      </c>
      <c r="P39" s="179">
        <f>VLOOKUP(A39,'OI(Value)'!A39:O240,8,0)</f>
        <v>47</v>
      </c>
      <c r="Q39" s="179">
        <f>VLOOKUP(A39,'OI(Value)'!A39:O240,9,0)</f>
        <v>4</v>
      </c>
      <c r="R39" s="179">
        <f>VLOOKUP(A39,'OI(Value)'!A39:O240,11,0)</f>
        <v>41</v>
      </c>
      <c r="S39" s="179">
        <f>VLOOKUP(A39,'OI(Value)'!A39:O240,11,0)</f>
        <v>41</v>
      </c>
    </row>
    <row r="40" spans="1:19" x14ac:dyDescent="0.25">
      <c r="A40" s="105" t="str">
        <f>'Data shares'!C35</f>
        <v>BOSCHLTD</v>
      </c>
      <c r="B40" s="143">
        <f>VLOOKUP($A40,'Data shares'!$C:$FA,118)</f>
        <v>0.67</v>
      </c>
      <c r="C40" s="143">
        <f>VLOOKUP($A40,'Data shares'!$C:$FA,119)</f>
        <v>0.72</v>
      </c>
      <c r="D40" s="143">
        <f>VLOOKUP($A40,'Data shares'!$C:$FA,121)*100</f>
        <v>-6.94</v>
      </c>
      <c r="E40" s="143">
        <f>VLOOKUP($A40,'Data shares'!$C:$FA,124)</f>
        <v>0.28000000000000003</v>
      </c>
      <c r="F40" s="143">
        <f>VLOOKUP($A40,'Data shares'!$C:$FA,125)</f>
        <v>0.31</v>
      </c>
      <c r="G40" s="143">
        <f>VLOOKUP($A40,'Data shares'!$C:$FA,127)*100</f>
        <v>-9.68</v>
      </c>
      <c r="H40" s="103">
        <f>VLOOKUP($A40,'OI(Volume)'!$A$7:$O$427,8)</f>
        <v>45425</v>
      </c>
      <c r="I40" s="103">
        <f>VLOOKUP($A40,'OI(Volume)'!$A$7:$O$427,9)</f>
        <v>5300</v>
      </c>
      <c r="J40" s="103">
        <f>VLOOKUP($A40,'OI(Volume)'!$A$7:$O$427,11)</f>
        <v>30475</v>
      </c>
      <c r="K40" s="103">
        <f>VLOOKUP($A40,'OI(Volume)'!$A$7:$O$427,12)</f>
        <v>1650</v>
      </c>
      <c r="L40" s="103">
        <f>VLOOKUP($A40,'OI(Value)'!$A$7:$O$306,8,0)</f>
        <v>177</v>
      </c>
      <c r="M40" s="103">
        <f>VLOOKUP($A40,'OI(Value)'!$A$7:$O$306,9,0)</f>
        <v>21</v>
      </c>
      <c r="N40" s="103">
        <f>VLOOKUP($A40,'OI(Value)'!$A$7:$O$306,11,0)</f>
        <v>119</v>
      </c>
      <c r="O40" s="103">
        <f>VLOOKUP($A40,'OI(Value)'!$A$7:$O$306,12,0)</f>
        <v>6</v>
      </c>
      <c r="P40" s="179">
        <f>VLOOKUP(A40,'OI(Value)'!A40:O241,8,0)</f>
        <v>177</v>
      </c>
      <c r="Q40" s="179">
        <f>VLOOKUP(A40,'OI(Value)'!A40:O241,9,0)</f>
        <v>21</v>
      </c>
      <c r="R40" s="179">
        <f>VLOOKUP(A40,'OI(Value)'!A40:O241,11,0)</f>
        <v>119</v>
      </c>
      <c r="S40" s="179">
        <f>VLOOKUP(A40,'OI(Value)'!A40:O241,11,0)</f>
        <v>119</v>
      </c>
    </row>
    <row r="41" spans="1:19" x14ac:dyDescent="0.25">
      <c r="A41" s="105" t="str">
        <f>'Data shares'!C36</f>
        <v>BPCL</v>
      </c>
      <c r="B41" s="143">
        <f>VLOOKUP($A41,'Data shares'!$C:$FA,118)</f>
        <v>0.93</v>
      </c>
      <c r="C41" s="143">
        <f>VLOOKUP($A41,'Data shares'!$C:$FA,119)</f>
        <v>0.75</v>
      </c>
      <c r="D41" s="143">
        <f>VLOOKUP($A41,'Data shares'!$C:$FA,121)*100</f>
        <v>24</v>
      </c>
      <c r="E41" s="143">
        <f>VLOOKUP($A41,'Data shares'!$C:$FA,124)</f>
        <v>0.72</v>
      </c>
      <c r="F41" s="143">
        <f>VLOOKUP($A41,'Data shares'!$C:$FA,125)</f>
        <v>0.47</v>
      </c>
      <c r="G41" s="143">
        <f>VLOOKUP($A41,'Data shares'!$C:$FA,127)*100</f>
        <v>53.190000000000005</v>
      </c>
      <c r="H41" s="103">
        <f>VLOOKUP($A41,'OI(Volume)'!$A$7:$O$427,8)</f>
        <v>11577450</v>
      </c>
      <c r="I41" s="103">
        <f>VLOOKUP($A41,'OI(Volume)'!$A$7:$O$427,9)</f>
        <v>1542475</v>
      </c>
      <c r="J41" s="103">
        <f>VLOOKUP($A41,'OI(Volume)'!$A$7:$O$427,11)</f>
        <v>10775600</v>
      </c>
      <c r="K41" s="103">
        <f>VLOOKUP($A41,'OI(Volume)'!$A$7:$O$427,12)</f>
        <v>3223200</v>
      </c>
      <c r="L41" s="103">
        <f>VLOOKUP($A41,'OI(Value)'!$A$7:$O$306,8,0)</f>
        <v>400</v>
      </c>
      <c r="M41" s="103">
        <f>VLOOKUP($A41,'OI(Value)'!$A$7:$O$306,9,0)</f>
        <v>53</v>
      </c>
      <c r="N41" s="103">
        <f>VLOOKUP($A41,'OI(Value)'!$A$7:$O$306,11,0)</f>
        <v>373</v>
      </c>
      <c r="O41" s="103">
        <f>VLOOKUP($A41,'OI(Value)'!$A$7:$O$306,12,0)</f>
        <v>111</v>
      </c>
      <c r="P41" s="179">
        <f>VLOOKUP(A41,'OI(Value)'!A41:O242,8,0)</f>
        <v>400</v>
      </c>
      <c r="Q41" s="179">
        <f>VLOOKUP(A41,'OI(Value)'!A41:O242,9,0)</f>
        <v>53</v>
      </c>
      <c r="R41" s="179">
        <f>VLOOKUP(A41,'OI(Value)'!A41:O242,11,0)</f>
        <v>373</v>
      </c>
      <c r="S41" s="179">
        <f>VLOOKUP(A41,'OI(Value)'!A41:O242,11,0)</f>
        <v>373</v>
      </c>
    </row>
    <row r="42" spans="1:19" x14ac:dyDescent="0.25">
      <c r="A42" s="105" t="str">
        <f>'Data shares'!C37</f>
        <v>BRITANNIA</v>
      </c>
      <c r="B42" s="143">
        <f>VLOOKUP($A42,'Data shares'!$C:$FA,118)</f>
        <v>0.53</v>
      </c>
      <c r="C42" s="143">
        <f>VLOOKUP($A42,'Data shares'!$C:$FA,119)</f>
        <v>0.53</v>
      </c>
      <c r="D42" s="143">
        <f>VLOOKUP($A42,'Data shares'!$C:$FA,121)*100</f>
        <v>0</v>
      </c>
      <c r="E42" s="143">
        <f>VLOOKUP($A42,'Data shares'!$C:$FA,124)</f>
        <v>0.3</v>
      </c>
      <c r="F42" s="143">
        <f>VLOOKUP($A42,'Data shares'!$C:$FA,125)</f>
        <v>0.24</v>
      </c>
      <c r="G42" s="143">
        <f>VLOOKUP($A42,'Data shares'!$C:$FA,127)*100</f>
        <v>25</v>
      </c>
      <c r="H42" s="103">
        <f>VLOOKUP($A42,'OI(Volume)'!$A$7:$O$427,8)</f>
        <v>718375</v>
      </c>
      <c r="I42" s="103">
        <f>VLOOKUP($A42,'OI(Volume)'!$A$7:$O$427,9)</f>
        <v>89125</v>
      </c>
      <c r="J42" s="103">
        <f>VLOOKUP($A42,'OI(Volume)'!$A$7:$O$427,11)</f>
        <v>384000</v>
      </c>
      <c r="K42" s="103">
        <f>VLOOKUP($A42,'OI(Volume)'!$A$7:$O$427,12)</f>
        <v>48750</v>
      </c>
      <c r="L42" s="103">
        <f>VLOOKUP($A42,'OI(Value)'!$A$7:$O$306,8,0)</f>
        <v>433</v>
      </c>
      <c r="M42" s="103">
        <f>VLOOKUP($A42,'OI(Value)'!$A$7:$O$306,9,0)</f>
        <v>54</v>
      </c>
      <c r="N42" s="103">
        <f>VLOOKUP($A42,'OI(Value)'!$A$7:$O$306,11,0)</f>
        <v>232</v>
      </c>
      <c r="O42" s="103">
        <f>VLOOKUP($A42,'OI(Value)'!$A$7:$O$306,12,0)</f>
        <v>29</v>
      </c>
      <c r="P42" s="179">
        <f>VLOOKUP(A42,'OI(Value)'!A42:O243,8,0)</f>
        <v>433</v>
      </c>
      <c r="Q42" s="179">
        <f>VLOOKUP(A42,'OI(Value)'!A42:O243,9,0)</f>
        <v>54</v>
      </c>
      <c r="R42" s="179">
        <f>VLOOKUP(A42,'OI(Value)'!A42:O243,11,0)</f>
        <v>232</v>
      </c>
      <c r="S42" s="179">
        <f>VLOOKUP(A42,'OI(Value)'!A42:O243,11,0)</f>
        <v>232</v>
      </c>
    </row>
    <row r="43" spans="1:19" x14ac:dyDescent="0.25">
      <c r="A43" s="105" t="str">
        <f>'Data shares'!C38</f>
        <v>BSE</v>
      </c>
      <c r="B43" s="143">
        <f>VLOOKUP($A43,'Data shares'!$C:$FA,118)</f>
        <v>0.95</v>
      </c>
      <c r="C43" s="143">
        <f>VLOOKUP($A43,'Data shares'!$C:$FA,119)</f>
        <v>0.91</v>
      </c>
      <c r="D43" s="143">
        <f>VLOOKUP($A43,'Data shares'!$C:$FA,121)*100</f>
        <v>4.3999999999999995</v>
      </c>
      <c r="E43" s="143">
        <f>VLOOKUP($A43,'Data shares'!$C:$FA,124)</f>
        <v>0.48</v>
      </c>
      <c r="F43" s="143">
        <f>VLOOKUP($A43,'Data shares'!$C:$FA,125)</f>
        <v>0.61</v>
      </c>
      <c r="G43" s="143">
        <f>VLOOKUP($A43,'Data shares'!$C:$FA,127)*100</f>
        <v>-21.310000000000002</v>
      </c>
      <c r="H43" s="103">
        <f>VLOOKUP($A43,'OI(Volume)'!$A$7:$O$427,8)</f>
        <v>7375500</v>
      </c>
      <c r="I43" s="103">
        <f>VLOOKUP($A43,'OI(Volume)'!$A$7:$O$427,9)</f>
        <v>396750</v>
      </c>
      <c r="J43" s="103">
        <f>VLOOKUP($A43,'OI(Volume)'!$A$7:$O$427,11)</f>
        <v>6985500</v>
      </c>
      <c r="K43" s="103">
        <f>VLOOKUP($A43,'OI(Volume)'!$A$7:$O$427,12)</f>
        <v>632625</v>
      </c>
      <c r="L43" s="103">
        <f>VLOOKUP($A43,'OI(Value)'!$A$7:$O$306,8,0)</f>
        <v>1645</v>
      </c>
      <c r="M43" s="103">
        <f>VLOOKUP($A43,'OI(Value)'!$A$7:$O$306,9,0)</f>
        <v>88</v>
      </c>
      <c r="N43" s="103">
        <f>VLOOKUP($A43,'OI(Value)'!$A$7:$O$306,11,0)</f>
        <v>1558</v>
      </c>
      <c r="O43" s="103">
        <f>VLOOKUP($A43,'OI(Value)'!$A$7:$O$306,12,0)</f>
        <v>141</v>
      </c>
      <c r="P43" s="179">
        <f>VLOOKUP(A43,'OI(Value)'!A43:O244,8,0)</f>
        <v>1645</v>
      </c>
      <c r="Q43" s="179">
        <f>VLOOKUP(A43,'OI(Value)'!A43:O244,9,0)</f>
        <v>88</v>
      </c>
      <c r="R43" s="179">
        <f>VLOOKUP(A43,'OI(Value)'!A43:O244,11,0)</f>
        <v>1558</v>
      </c>
      <c r="S43" s="179">
        <f>VLOOKUP(A43,'OI(Value)'!A43:O244,11,0)</f>
        <v>1558</v>
      </c>
    </row>
    <row r="44" spans="1:19" x14ac:dyDescent="0.25">
      <c r="A44" s="105" t="str">
        <f>'Data shares'!C39</f>
        <v>CAMS</v>
      </c>
      <c r="B44" s="143">
        <f>VLOOKUP($A44,'Data shares'!$C:$FA,118)</f>
        <v>0.72</v>
      </c>
      <c r="C44" s="143">
        <f>VLOOKUP($A44,'Data shares'!$C:$FA,119)</f>
        <v>0.69</v>
      </c>
      <c r="D44" s="143">
        <f>VLOOKUP($A44,'Data shares'!$C:$FA,121)*100</f>
        <v>4.3499999999999996</v>
      </c>
      <c r="E44" s="143">
        <f>VLOOKUP($A44,'Data shares'!$C:$FA,124)</f>
        <v>0.39</v>
      </c>
      <c r="F44" s="143">
        <f>VLOOKUP($A44,'Data shares'!$C:$FA,125)</f>
        <v>0.35</v>
      </c>
      <c r="G44" s="143">
        <f>VLOOKUP($A44,'Data shares'!$C:$FA,127)*100</f>
        <v>11.43</v>
      </c>
      <c r="H44" s="103">
        <f>VLOOKUP($A44,'OI(Volume)'!$A$7:$O$427,8)</f>
        <v>549300</v>
      </c>
      <c r="I44" s="103">
        <f>VLOOKUP($A44,'OI(Volume)'!$A$7:$O$427,9)</f>
        <v>48750</v>
      </c>
      <c r="J44" s="103">
        <f>VLOOKUP($A44,'OI(Volume)'!$A$7:$O$427,11)</f>
        <v>397950</v>
      </c>
      <c r="K44" s="103">
        <f>VLOOKUP($A44,'OI(Volume)'!$A$7:$O$427,12)</f>
        <v>55050</v>
      </c>
      <c r="L44" s="103">
        <f>VLOOKUP($A44,'OI(Value)'!$A$7:$O$306,8,0)</f>
        <v>212</v>
      </c>
      <c r="M44" s="103">
        <f>VLOOKUP($A44,'OI(Value)'!$A$7:$O$306,9,0)</f>
        <v>19</v>
      </c>
      <c r="N44" s="103">
        <f>VLOOKUP($A44,'OI(Value)'!$A$7:$O$306,11,0)</f>
        <v>153</v>
      </c>
      <c r="O44" s="103">
        <f>VLOOKUP($A44,'OI(Value)'!$A$7:$O$306,12,0)</f>
        <v>21</v>
      </c>
      <c r="P44" s="179">
        <f>VLOOKUP(A44,'OI(Value)'!A44:O245,8,0)</f>
        <v>212</v>
      </c>
      <c r="Q44" s="179">
        <f>VLOOKUP(A44,'OI(Value)'!A44:O245,9,0)</f>
        <v>19</v>
      </c>
      <c r="R44" s="179">
        <f>VLOOKUP(A44,'OI(Value)'!A44:O245,11,0)</f>
        <v>153</v>
      </c>
      <c r="S44" s="179">
        <f>VLOOKUP(A44,'OI(Value)'!A44:O245,11,0)</f>
        <v>153</v>
      </c>
    </row>
    <row r="45" spans="1:19" x14ac:dyDescent="0.25">
      <c r="A45" s="105" t="str">
        <f>'Data shares'!C40</f>
        <v>CANBK</v>
      </c>
      <c r="B45" s="143">
        <f>VLOOKUP($A45,'Data shares'!$C:$FA,118)</f>
        <v>0.94</v>
      </c>
      <c r="C45" s="143">
        <f>VLOOKUP($A45,'Data shares'!$C:$FA,119)</f>
        <v>0.94</v>
      </c>
      <c r="D45" s="143">
        <f>VLOOKUP($A45,'Data shares'!$C:$FA,121)*100</f>
        <v>0</v>
      </c>
      <c r="E45" s="143">
        <f>VLOOKUP($A45,'Data shares'!$C:$FA,124)</f>
        <v>0.51</v>
      </c>
      <c r="F45" s="143">
        <f>VLOOKUP($A45,'Data shares'!$C:$FA,125)</f>
        <v>0.53</v>
      </c>
      <c r="G45" s="143">
        <f>VLOOKUP($A45,'Data shares'!$C:$FA,127)*100</f>
        <v>-3.7699999999999996</v>
      </c>
      <c r="H45" s="103">
        <f>VLOOKUP($A45,'OI(Volume)'!$A$7:$O$427,8)</f>
        <v>71806500</v>
      </c>
      <c r="I45" s="103">
        <f>VLOOKUP($A45,'OI(Volume)'!$A$7:$O$427,9)</f>
        <v>4401000</v>
      </c>
      <c r="J45" s="103">
        <f>VLOOKUP($A45,'OI(Volume)'!$A$7:$O$427,11)</f>
        <v>67452750</v>
      </c>
      <c r="K45" s="103">
        <f>VLOOKUP($A45,'OI(Volume)'!$A$7:$O$427,12)</f>
        <v>3773250</v>
      </c>
      <c r="L45" s="103">
        <f>VLOOKUP($A45,'OI(Value)'!$A$7:$O$306,8,0)</f>
        <v>915</v>
      </c>
      <c r="M45" s="103">
        <f>VLOOKUP($A45,'OI(Value)'!$A$7:$O$306,9,0)</f>
        <v>56</v>
      </c>
      <c r="N45" s="103">
        <f>VLOOKUP($A45,'OI(Value)'!$A$7:$O$306,11,0)</f>
        <v>859</v>
      </c>
      <c r="O45" s="103">
        <f>VLOOKUP($A45,'OI(Value)'!$A$7:$O$306,12,0)</f>
        <v>48</v>
      </c>
      <c r="P45" s="179">
        <f>VLOOKUP(A45,'OI(Value)'!A45:O246,8,0)</f>
        <v>915</v>
      </c>
      <c r="Q45" s="179">
        <f>VLOOKUP(A45,'OI(Value)'!A45:O246,9,0)</f>
        <v>56</v>
      </c>
      <c r="R45" s="179">
        <f>VLOOKUP(A45,'OI(Value)'!A45:O246,11,0)</f>
        <v>859</v>
      </c>
      <c r="S45" s="179">
        <f>VLOOKUP(A45,'OI(Value)'!A45:O246,11,0)</f>
        <v>859</v>
      </c>
    </row>
    <row r="46" spans="1:19" x14ac:dyDescent="0.25">
      <c r="A46" s="105" t="str">
        <f>'Data shares'!C41</f>
        <v>CDSL</v>
      </c>
      <c r="B46" s="143">
        <f>VLOOKUP($A46,'Data shares'!$C:$FA,118)</f>
        <v>0.72</v>
      </c>
      <c r="C46" s="143">
        <f>VLOOKUP($A46,'Data shares'!$C:$FA,119)</f>
        <v>0.73</v>
      </c>
      <c r="D46" s="143">
        <f>VLOOKUP($A46,'Data shares'!$C:$FA,121)*100</f>
        <v>-1.37</v>
      </c>
      <c r="E46" s="143">
        <f>VLOOKUP($A46,'Data shares'!$C:$FA,124)</f>
        <v>0.34</v>
      </c>
      <c r="F46" s="143">
        <f>VLOOKUP($A46,'Data shares'!$C:$FA,125)</f>
        <v>0.41</v>
      </c>
      <c r="G46" s="143">
        <f>VLOOKUP($A46,'Data shares'!$C:$FA,127)*100</f>
        <v>-17.07</v>
      </c>
      <c r="H46" s="103">
        <f>VLOOKUP($A46,'OI(Volume)'!$A$7:$O$427,8)</f>
        <v>4322975</v>
      </c>
      <c r="I46" s="103">
        <f>VLOOKUP($A46,'OI(Volume)'!$A$7:$O$427,9)</f>
        <v>288325</v>
      </c>
      <c r="J46" s="103">
        <f>VLOOKUP($A46,'OI(Volume)'!$A$7:$O$427,11)</f>
        <v>3130250</v>
      </c>
      <c r="K46" s="103">
        <f>VLOOKUP($A46,'OI(Volume)'!$A$7:$O$427,12)</f>
        <v>167200</v>
      </c>
      <c r="L46" s="103">
        <f>VLOOKUP($A46,'OI(Value)'!$A$7:$O$306,8,0)</f>
        <v>661</v>
      </c>
      <c r="M46" s="103">
        <f>VLOOKUP($A46,'OI(Value)'!$A$7:$O$306,9,0)</f>
        <v>44</v>
      </c>
      <c r="N46" s="103">
        <f>VLOOKUP($A46,'OI(Value)'!$A$7:$O$306,11,0)</f>
        <v>479</v>
      </c>
      <c r="O46" s="103">
        <f>VLOOKUP($A46,'OI(Value)'!$A$7:$O$306,12,0)</f>
        <v>26</v>
      </c>
      <c r="P46" s="179">
        <f>VLOOKUP(A46,'OI(Value)'!A46:O247,8,0)</f>
        <v>661</v>
      </c>
      <c r="Q46" s="179">
        <f>VLOOKUP(A46,'OI(Value)'!A46:O247,9,0)</f>
        <v>44</v>
      </c>
      <c r="R46" s="179">
        <f>VLOOKUP(A46,'OI(Value)'!A46:O247,11,0)</f>
        <v>479</v>
      </c>
      <c r="S46" s="179">
        <f>VLOOKUP(A46,'OI(Value)'!A46:O247,11,0)</f>
        <v>479</v>
      </c>
    </row>
    <row r="47" spans="1:19" x14ac:dyDescent="0.25">
      <c r="A47" s="105" t="str">
        <f>'Data shares'!C42</f>
        <v>CGPOWER</v>
      </c>
      <c r="B47" s="143">
        <f>VLOOKUP($A47,'Data shares'!$C:$FA,118)</f>
        <v>0.59</v>
      </c>
      <c r="C47" s="143">
        <f>VLOOKUP($A47,'Data shares'!$C:$FA,119)</f>
        <v>0.61</v>
      </c>
      <c r="D47" s="143">
        <f>VLOOKUP($A47,'Data shares'!$C:$FA,121)*100</f>
        <v>-3.2800000000000002</v>
      </c>
      <c r="E47" s="143">
        <f>VLOOKUP($A47,'Data shares'!$C:$FA,124)</f>
        <v>0.2</v>
      </c>
      <c r="F47" s="143">
        <f>VLOOKUP($A47,'Data shares'!$C:$FA,125)</f>
        <v>0.23</v>
      </c>
      <c r="G47" s="143">
        <f>VLOOKUP($A47,'Data shares'!$C:$FA,127)*100</f>
        <v>-13.04</v>
      </c>
      <c r="H47" s="103">
        <f>VLOOKUP($A47,'OI(Volume)'!$A$7:$O$427,8)</f>
        <v>4288250</v>
      </c>
      <c r="I47" s="103">
        <f>VLOOKUP($A47,'OI(Volume)'!$A$7:$O$427,9)</f>
        <v>310250</v>
      </c>
      <c r="J47" s="103">
        <f>VLOOKUP($A47,'OI(Volume)'!$A$7:$O$427,11)</f>
        <v>2522800</v>
      </c>
      <c r="K47" s="103">
        <f>VLOOKUP($A47,'OI(Volume)'!$A$7:$O$427,12)</f>
        <v>114750</v>
      </c>
      <c r="L47" s="103">
        <f>VLOOKUP($A47,'OI(Value)'!$A$7:$O$306,8,0)</f>
        <v>322</v>
      </c>
      <c r="M47" s="103">
        <f>VLOOKUP($A47,'OI(Value)'!$A$7:$O$306,9,0)</f>
        <v>23</v>
      </c>
      <c r="N47" s="103">
        <f>VLOOKUP($A47,'OI(Value)'!$A$7:$O$306,11,0)</f>
        <v>189</v>
      </c>
      <c r="O47" s="103">
        <f>VLOOKUP($A47,'OI(Value)'!$A$7:$O$306,12,0)</f>
        <v>9</v>
      </c>
      <c r="P47" s="179">
        <f>VLOOKUP(A47,'OI(Value)'!A47:O248,8,0)</f>
        <v>322</v>
      </c>
      <c r="Q47" s="179">
        <f>VLOOKUP(A47,'OI(Value)'!A47:O248,9,0)</f>
        <v>23</v>
      </c>
      <c r="R47" s="179">
        <f>VLOOKUP(A47,'OI(Value)'!A47:O248,11,0)</f>
        <v>189</v>
      </c>
      <c r="S47" s="179">
        <f>VLOOKUP(A47,'OI(Value)'!A47:O248,11,0)</f>
        <v>189</v>
      </c>
    </row>
    <row r="48" spans="1:19" x14ac:dyDescent="0.25">
      <c r="A48" s="105" t="str">
        <f>'Data shares'!C43</f>
        <v>CHOLAFIN</v>
      </c>
      <c r="B48" s="143">
        <f>VLOOKUP($A48,'Data shares'!$C:$FA,118)</f>
        <v>0.81</v>
      </c>
      <c r="C48" s="143">
        <f>VLOOKUP($A48,'Data shares'!$C:$FA,119)</f>
        <v>0.8</v>
      </c>
      <c r="D48" s="143">
        <f>VLOOKUP($A48,'Data shares'!$C:$FA,121)*100</f>
        <v>1.25</v>
      </c>
      <c r="E48" s="143">
        <f>VLOOKUP($A48,'Data shares'!$C:$FA,124)</f>
        <v>0.42</v>
      </c>
      <c r="F48" s="143">
        <f>VLOOKUP($A48,'Data shares'!$C:$FA,125)</f>
        <v>0.59</v>
      </c>
      <c r="G48" s="143">
        <f>VLOOKUP($A48,'Data shares'!$C:$FA,127)*100</f>
        <v>-28.810000000000002</v>
      </c>
      <c r="H48" s="103">
        <f>VLOOKUP($A48,'OI(Volume)'!$A$7:$O$427,8)</f>
        <v>1927500</v>
      </c>
      <c r="I48" s="103">
        <f>VLOOKUP($A48,'OI(Volume)'!$A$7:$O$427,9)</f>
        <v>90000</v>
      </c>
      <c r="J48" s="103">
        <f>VLOOKUP($A48,'OI(Volume)'!$A$7:$O$427,11)</f>
        <v>1569375</v>
      </c>
      <c r="K48" s="103">
        <f>VLOOKUP($A48,'OI(Volume)'!$A$7:$O$427,12)</f>
        <v>90625</v>
      </c>
      <c r="L48" s="103">
        <f>VLOOKUP($A48,'OI(Value)'!$A$7:$O$306,8,0)</f>
        <v>312</v>
      </c>
      <c r="M48" s="103">
        <f>VLOOKUP($A48,'OI(Value)'!$A$7:$O$306,9,0)</f>
        <v>15</v>
      </c>
      <c r="N48" s="103">
        <f>VLOOKUP($A48,'OI(Value)'!$A$7:$O$306,11,0)</f>
        <v>254</v>
      </c>
      <c r="O48" s="103">
        <f>VLOOKUP($A48,'OI(Value)'!$A$7:$O$306,12,0)</f>
        <v>15</v>
      </c>
      <c r="P48" s="179">
        <f>VLOOKUP(A48,'OI(Value)'!A48:O249,8,0)</f>
        <v>312</v>
      </c>
      <c r="Q48" s="179">
        <f>VLOOKUP(A48,'OI(Value)'!A48:O249,9,0)</f>
        <v>15</v>
      </c>
      <c r="R48" s="179">
        <f>VLOOKUP(A48,'OI(Value)'!A48:O249,11,0)</f>
        <v>254</v>
      </c>
      <c r="S48" s="179">
        <f>VLOOKUP(A48,'OI(Value)'!A48:O249,11,0)</f>
        <v>254</v>
      </c>
    </row>
    <row r="49" spans="1:19" x14ac:dyDescent="0.25">
      <c r="A49" s="105" t="str">
        <f>'Data shares'!C44</f>
        <v>CIPLA</v>
      </c>
      <c r="B49" s="143">
        <f>VLOOKUP($A49,'Data shares'!$C:$FA,118)</f>
        <v>0.75</v>
      </c>
      <c r="C49" s="143">
        <f>VLOOKUP($A49,'Data shares'!$C:$FA,119)</f>
        <v>0.91</v>
      </c>
      <c r="D49" s="143">
        <f>VLOOKUP($A49,'Data shares'!$C:$FA,121)*100</f>
        <v>-17.580000000000002</v>
      </c>
      <c r="E49" s="143">
        <f>VLOOKUP($A49,'Data shares'!$C:$FA,124)</f>
        <v>0.61</v>
      </c>
      <c r="F49" s="143">
        <f>VLOOKUP($A49,'Data shares'!$C:$FA,125)</f>
        <v>0.6</v>
      </c>
      <c r="G49" s="143">
        <f>VLOOKUP($A49,'Data shares'!$C:$FA,127)*100</f>
        <v>1.67</v>
      </c>
      <c r="H49" s="103">
        <f>VLOOKUP($A49,'OI(Volume)'!$A$7:$O$427,8)</f>
        <v>2680125</v>
      </c>
      <c r="I49" s="103">
        <f>VLOOKUP($A49,'OI(Volume)'!$A$7:$O$427,9)</f>
        <v>555000</v>
      </c>
      <c r="J49" s="103">
        <f>VLOOKUP($A49,'OI(Volume)'!$A$7:$O$427,11)</f>
        <v>1998000</v>
      </c>
      <c r="K49" s="103">
        <f>VLOOKUP($A49,'OI(Volume)'!$A$7:$O$427,12)</f>
        <v>69750</v>
      </c>
      <c r="L49" s="103">
        <f>VLOOKUP($A49,'OI(Value)'!$A$7:$O$306,8,0)</f>
        <v>408</v>
      </c>
      <c r="M49" s="103">
        <f>VLOOKUP($A49,'OI(Value)'!$A$7:$O$306,9,0)</f>
        <v>84</v>
      </c>
      <c r="N49" s="103">
        <f>VLOOKUP($A49,'OI(Value)'!$A$7:$O$306,11,0)</f>
        <v>304</v>
      </c>
      <c r="O49" s="103">
        <f>VLOOKUP($A49,'OI(Value)'!$A$7:$O$306,12,0)</f>
        <v>11</v>
      </c>
      <c r="P49" s="179">
        <f>VLOOKUP(A49,'OI(Value)'!A49:O250,8,0)</f>
        <v>408</v>
      </c>
      <c r="Q49" s="179">
        <f>VLOOKUP(A49,'OI(Value)'!A49:O250,9,0)</f>
        <v>84</v>
      </c>
      <c r="R49" s="179">
        <f>VLOOKUP(A49,'OI(Value)'!A49:O250,11,0)</f>
        <v>304</v>
      </c>
      <c r="S49" s="179">
        <f>VLOOKUP(A49,'OI(Value)'!A49:O250,11,0)</f>
        <v>304</v>
      </c>
    </row>
    <row r="50" spans="1:19" x14ac:dyDescent="0.25">
      <c r="A50" s="105" t="str">
        <f>'Data shares'!C45</f>
        <v>COALINDIA</v>
      </c>
      <c r="B50" s="143">
        <f>VLOOKUP($A50,'Data shares'!$C:$FA,118)</f>
        <v>0.72</v>
      </c>
      <c r="C50" s="143">
        <f>VLOOKUP($A50,'Data shares'!$C:$FA,119)</f>
        <v>0.78</v>
      </c>
      <c r="D50" s="143">
        <f>VLOOKUP($A50,'Data shares'!$C:$FA,121)*100</f>
        <v>-7.6899999999999995</v>
      </c>
      <c r="E50" s="143">
        <f>VLOOKUP($A50,'Data shares'!$C:$FA,124)</f>
        <v>0.38</v>
      </c>
      <c r="F50" s="143">
        <f>VLOOKUP($A50,'Data shares'!$C:$FA,125)</f>
        <v>0.48</v>
      </c>
      <c r="G50" s="143">
        <f>VLOOKUP($A50,'Data shares'!$C:$FA,127)*100</f>
        <v>-20.830000000000002</v>
      </c>
      <c r="H50" s="103">
        <f>VLOOKUP($A50,'OI(Volume)'!$A$7:$O$427,8)</f>
        <v>24421500</v>
      </c>
      <c r="I50" s="103">
        <f>VLOOKUP($A50,'OI(Volume)'!$A$7:$O$427,9)</f>
        <v>3057750</v>
      </c>
      <c r="J50" s="103">
        <f>VLOOKUP($A50,'OI(Volume)'!$A$7:$O$427,11)</f>
        <v>17517600</v>
      </c>
      <c r="K50" s="103">
        <f>VLOOKUP($A50,'OI(Volume)'!$A$7:$O$427,12)</f>
        <v>942300</v>
      </c>
      <c r="L50" s="103">
        <f>VLOOKUP($A50,'OI(Value)'!$A$7:$O$306,8,0)</f>
        <v>938</v>
      </c>
      <c r="M50" s="103">
        <f>VLOOKUP($A50,'OI(Value)'!$A$7:$O$306,9,0)</f>
        <v>117</v>
      </c>
      <c r="N50" s="103">
        <f>VLOOKUP($A50,'OI(Value)'!$A$7:$O$306,11,0)</f>
        <v>673</v>
      </c>
      <c r="O50" s="103">
        <f>VLOOKUP($A50,'OI(Value)'!$A$7:$O$306,12,0)</f>
        <v>36</v>
      </c>
      <c r="P50" s="179">
        <f>VLOOKUP(A50,'OI(Value)'!A50:O251,8,0)</f>
        <v>938</v>
      </c>
      <c r="Q50" s="179">
        <f>VLOOKUP(A50,'OI(Value)'!A50:O251,9,0)</f>
        <v>117</v>
      </c>
      <c r="R50" s="179">
        <f>VLOOKUP(A50,'OI(Value)'!A50:O251,11,0)</f>
        <v>673</v>
      </c>
      <c r="S50" s="179">
        <f>VLOOKUP(A50,'OI(Value)'!A50:O251,11,0)</f>
        <v>673</v>
      </c>
    </row>
    <row r="51" spans="1:19" x14ac:dyDescent="0.25">
      <c r="A51" s="105" t="str">
        <f>'Data shares'!C46</f>
        <v>COFORGE</v>
      </c>
      <c r="B51" s="143">
        <f>VLOOKUP($A51,'Data shares'!$C:$FA,118)</f>
        <v>0.59</v>
      </c>
      <c r="C51" s="143">
        <f>VLOOKUP($A51,'Data shares'!$C:$FA,119)</f>
        <v>0.6</v>
      </c>
      <c r="D51" s="143">
        <f>VLOOKUP($A51,'Data shares'!$C:$FA,121)*100</f>
        <v>-1.67</v>
      </c>
      <c r="E51" s="143">
        <f>VLOOKUP($A51,'Data shares'!$C:$FA,124)</f>
        <v>0.4</v>
      </c>
      <c r="F51" s="143">
        <f>VLOOKUP($A51,'Data shares'!$C:$FA,125)</f>
        <v>0.45</v>
      </c>
      <c r="G51" s="143">
        <f>VLOOKUP($A51,'Data shares'!$C:$FA,127)*100</f>
        <v>-11.110000000000001</v>
      </c>
      <c r="H51" s="103">
        <f>VLOOKUP($A51,'OI(Volume)'!$A$7:$O$427,8)</f>
        <v>4099875</v>
      </c>
      <c r="I51" s="103">
        <f>VLOOKUP($A51,'OI(Volume)'!$A$7:$O$427,9)</f>
        <v>157125</v>
      </c>
      <c r="J51" s="103">
        <f>VLOOKUP($A51,'OI(Volume)'!$A$7:$O$427,11)</f>
        <v>2425125</v>
      </c>
      <c r="K51" s="103">
        <f>VLOOKUP($A51,'OI(Volume)'!$A$7:$O$427,12)</f>
        <v>66375</v>
      </c>
      <c r="L51" s="103">
        <f>VLOOKUP($A51,'OI(Value)'!$A$7:$O$306,8,0)</f>
        <v>684</v>
      </c>
      <c r="M51" s="103">
        <f>VLOOKUP($A51,'OI(Value)'!$A$7:$O$306,9,0)</f>
        <v>26</v>
      </c>
      <c r="N51" s="103">
        <f>VLOOKUP($A51,'OI(Value)'!$A$7:$O$306,11,0)</f>
        <v>405</v>
      </c>
      <c r="O51" s="103">
        <f>VLOOKUP($A51,'OI(Value)'!$A$7:$O$306,12,0)</f>
        <v>11</v>
      </c>
      <c r="P51" s="179">
        <f>VLOOKUP(A51,'OI(Value)'!A51:O252,8,0)</f>
        <v>684</v>
      </c>
      <c r="Q51" s="179">
        <f>VLOOKUP(A51,'OI(Value)'!A51:O252,9,0)</f>
        <v>26</v>
      </c>
      <c r="R51" s="179">
        <f>VLOOKUP(A51,'OI(Value)'!A51:O252,11,0)</f>
        <v>405</v>
      </c>
      <c r="S51" s="179">
        <f>VLOOKUP(A51,'OI(Value)'!A51:O252,11,0)</f>
        <v>405</v>
      </c>
    </row>
    <row r="52" spans="1:19" x14ac:dyDescent="0.25">
      <c r="A52" s="105" t="str">
        <f>'Data shares'!C47</f>
        <v>COLPAL</v>
      </c>
      <c r="B52" s="143">
        <f>VLOOKUP($A52,'Data shares'!$C:$FA,118)</f>
        <v>0.79</v>
      </c>
      <c r="C52" s="143">
        <f>VLOOKUP($A52,'Data shares'!$C:$FA,119)</f>
        <v>0.78</v>
      </c>
      <c r="D52" s="143">
        <f>VLOOKUP($A52,'Data shares'!$C:$FA,121)*100</f>
        <v>1.28</v>
      </c>
      <c r="E52" s="143">
        <f>VLOOKUP($A52,'Data shares'!$C:$FA,124)</f>
        <v>0.2</v>
      </c>
      <c r="F52" s="143">
        <f>VLOOKUP($A52,'Data shares'!$C:$FA,125)</f>
        <v>0.36</v>
      </c>
      <c r="G52" s="143">
        <f>VLOOKUP($A52,'Data shares'!$C:$FA,127)*100</f>
        <v>-44.440000000000005</v>
      </c>
      <c r="H52" s="103">
        <f>VLOOKUP($A52,'OI(Volume)'!$A$7:$O$427,8)</f>
        <v>1468575</v>
      </c>
      <c r="I52" s="103">
        <f>VLOOKUP($A52,'OI(Volume)'!$A$7:$O$427,9)</f>
        <v>20025</v>
      </c>
      <c r="J52" s="103">
        <f>VLOOKUP($A52,'OI(Volume)'!$A$7:$O$427,11)</f>
        <v>1162125</v>
      </c>
      <c r="K52" s="103">
        <f>VLOOKUP($A52,'OI(Volume)'!$A$7:$O$427,12)</f>
        <v>27450</v>
      </c>
      <c r="L52" s="103">
        <f>VLOOKUP($A52,'OI(Value)'!$A$7:$O$306,8,0)</f>
        <v>329</v>
      </c>
      <c r="M52" s="103">
        <f>VLOOKUP($A52,'OI(Value)'!$A$7:$O$306,9,0)</f>
        <v>4</v>
      </c>
      <c r="N52" s="103">
        <f>VLOOKUP($A52,'OI(Value)'!$A$7:$O$306,11,0)</f>
        <v>261</v>
      </c>
      <c r="O52" s="103">
        <f>VLOOKUP($A52,'OI(Value)'!$A$7:$O$306,12,0)</f>
        <v>6</v>
      </c>
      <c r="P52" s="179">
        <f>VLOOKUP(A52,'OI(Value)'!A52:O253,8,0)</f>
        <v>329</v>
      </c>
      <c r="Q52" s="179">
        <f>VLOOKUP(A52,'OI(Value)'!A52:O253,9,0)</f>
        <v>4</v>
      </c>
      <c r="R52" s="179">
        <f>VLOOKUP(A52,'OI(Value)'!A52:O253,11,0)</f>
        <v>261</v>
      </c>
      <c r="S52" s="179">
        <f>VLOOKUP(A52,'OI(Value)'!A52:O253,11,0)</f>
        <v>261</v>
      </c>
    </row>
    <row r="53" spans="1:19" x14ac:dyDescent="0.25">
      <c r="A53" s="105" t="str">
        <f>'Data shares'!C48</f>
        <v>CONCOR</v>
      </c>
      <c r="B53" s="143">
        <f>VLOOKUP($A53,'Data shares'!$C:$FA,118)</f>
        <v>0.8</v>
      </c>
      <c r="C53" s="143">
        <f>VLOOKUP($A53,'Data shares'!$C:$FA,119)</f>
        <v>0.83</v>
      </c>
      <c r="D53" s="143">
        <f>VLOOKUP($A53,'Data shares'!$C:$FA,121)*100</f>
        <v>-3.61</v>
      </c>
      <c r="E53" s="143">
        <f>VLOOKUP($A53,'Data shares'!$C:$FA,124)</f>
        <v>0.37</v>
      </c>
      <c r="F53" s="143">
        <f>VLOOKUP($A53,'Data shares'!$C:$FA,125)</f>
        <v>0.36</v>
      </c>
      <c r="G53" s="143">
        <f>VLOOKUP($A53,'Data shares'!$C:$FA,127)*100</f>
        <v>2.78</v>
      </c>
      <c r="H53" s="103">
        <f>VLOOKUP($A53,'OI(Volume)'!$A$7:$O$427,8)</f>
        <v>7722500</v>
      </c>
      <c r="I53" s="103">
        <f>VLOOKUP($A53,'OI(Volume)'!$A$7:$O$427,9)</f>
        <v>622500</v>
      </c>
      <c r="J53" s="103">
        <f>VLOOKUP($A53,'OI(Volume)'!$A$7:$O$427,11)</f>
        <v>6147500</v>
      </c>
      <c r="K53" s="103">
        <f>VLOOKUP($A53,'OI(Volume)'!$A$7:$O$427,12)</f>
        <v>276250</v>
      </c>
      <c r="L53" s="103">
        <f>VLOOKUP($A53,'OI(Value)'!$A$7:$O$306,8,0)</f>
        <v>412</v>
      </c>
      <c r="M53" s="103">
        <f>VLOOKUP($A53,'OI(Value)'!$A$7:$O$306,9,0)</f>
        <v>33</v>
      </c>
      <c r="N53" s="103">
        <f>VLOOKUP($A53,'OI(Value)'!$A$7:$O$306,11,0)</f>
        <v>328</v>
      </c>
      <c r="O53" s="103">
        <f>VLOOKUP($A53,'OI(Value)'!$A$7:$O$306,12,0)</f>
        <v>15</v>
      </c>
      <c r="P53" s="179">
        <f>VLOOKUP(A53,'OI(Value)'!A53:O254,8,0)</f>
        <v>412</v>
      </c>
      <c r="Q53" s="179">
        <f>VLOOKUP(A53,'OI(Value)'!A53:O254,9,0)</f>
        <v>33</v>
      </c>
      <c r="R53" s="179">
        <f>VLOOKUP(A53,'OI(Value)'!A53:O254,11,0)</f>
        <v>328</v>
      </c>
      <c r="S53" s="179">
        <f>VLOOKUP(A53,'OI(Value)'!A53:O254,11,0)</f>
        <v>328</v>
      </c>
    </row>
    <row r="54" spans="1:19" x14ac:dyDescent="0.25">
      <c r="A54" s="105" t="str">
        <f>'Data shares'!C49</f>
        <v>CROMPTON</v>
      </c>
      <c r="B54" s="143">
        <f>VLOOKUP($A54,'Data shares'!$C:$FA,118)</f>
        <v>0.68</v>
      </c>
      <c r="C54" s="143">
        <f>VLOOKUP($A54,'Data shares'!$C:$FA,119)</f>
        <v>0.76</v>
      </c>
      <c r="D54" s="143">
        <f>VLOOKUP($A54,'Data shares'!$C:$FA,121)*100</f>
        <v>-10.530000000000001</v>
      </c>
      <c r="E54" s="143">
        <f>VLOOKUP($A54,'Data shares'!$C:$FA,124)</f>
        <v>0.35</v>
      </c>
      <c r="F54" s="143">
        <f>VLOOKUP($A54,'Data shares'!$C:$FA,125)</f>
        <v>0.38</v>
      </c>
      <c r="G54" s="143">
        <f>VLOOKUP($A54,'Data shares'!$C:$FA,127)*100</f>
        <v>-7.89</v>
      </c>
      <c r="H54" s="103">
        <f>VLOOKUP($A54,'OI(Volume)'!$A$7:$O$427,8)</f>
        <v>11813400</v>
      </c>
      <c r="I54" s="103">
        <f>VLOOKUP($A54,'OI(Volume)'!$A$7:$O$427,9)</f>
        <v>2394000</v>
      </c>
      <c r="J54" s="103">
        <f>VLOOKUP($A54,'OI(Volume)'!$A$7:$O$427,11)</f>
        <v>7993800</v>
      </c>
      <c r="K54" s="103">
        <f>VLOOKUP($A54,'OI(Volume)'!$A$7:$O$427,12)</f>
        <v>808200</v>
      </c>
      <c r="L54" s="103">
        <f>VLOOKUP($A54,'OI(Value)'!$A$7:$O$306,8,0)</f>
        <v>344</v>
      </c>
      <c r="M54" s="103">
        <f>VLOOKUP($A54,'OI(Value)'!$A$7:$O$306,9,0)</f>
        <v>70</v>
      </c>
      <c r="N54" s="103">
        <f>VLOOKUP($A54,'OI(Value)'!$A$7:$O$306,11,0)</f>
        <v>232</v>
      </c>
      <c r="O54" s="103">
        <f>VLOOKUP($A54,'OI(Value)'!$A$7:$O$306,12,0)</f>
        <v>24</v>
      </c>
      <c r="P54" s="179">
        <f>VLOOKUP(A54,'OI(Value)'!A54:O255,8,0)</f>
        <v>344</v>
      </c>
      <c r="Q54" s="179">
        <f>VLOOKUP(A54,'OI(Value)'!A54:O255,9,0)</f>
        <v>70</v>
      </c>
      <c r="R54" s="179">
        <f>VLOOKUP(A54,'OI(Value)'!A54:O255,11,0)</f>
        <v>232</v>
      </c>
      <c r="S54" s="179">
        <f>VLOOKUP(A54,'OI(Value)'!A54:O255,11,0)</f>
        <v>232</v>
      </c>
    </row>
    <row r="55" spans="1:19" x14ac:dyDescent="0.25">
      <c r="A55" s="105" t="str">
        <f>'Data shares'!C50</f>
        <v>CUMMINSIND</v>
      </c>
      <c r="B55" s="143">
        <f>VLOOKUP($A55,'Data shares'!$C:$FA,118)</f>
        <v>0.78</v>
      </c>
      <c r="C55" s="143">
        <f>VLOOKUP($A55,'Data shares'!$C:$FA,119)</f>
        <v>0.85</v>
      </c>
      <c r="D55" s="143">
        <f>VLOOKUP($A55,'Data shares'!$C:$FA,121)*100</f>
        <v>-8.24</v>
      </c>
      <c r="E55" s="143">
        <f>VLOOKUP($A55,'Data shares'!$C:$FA,124)</f>
        <v>0.34</v>
      </c>
      <c r="F55" s="143">
        <f>VLOOKUP($A55,'Data shares'!$C:$FA,125)</f>
        <v>0.33</v>
      </c>
      <c r="G55" s="143">
        <f>VLOOKUP($A55,'Data shares'!$C:$FA,127)*100</f>
        <v>3.0300000000000002</v>
      </c>
      <c r="H55" s="103">
        <f>VLOOKUP($A55,'OI(Volume)'!$A$7:$O$427,8)</f>
        <v>579800</v>
      </c>
      <c r="I55" s="103">
        <f>VLOOKUP($A55,'OI(Volume)'!$A$7:$O$427,9)</f>
        <v>62200</v>
      </c>
      <c r="J55" s="103">
        <f>VLOOKUP($A55,'OI(Volume)'!$A$7:$O$427,11)</f>
        <v>452400</v>
      </c>
      <c r="K55" s="103">
        <f>VLOOKUP($A55,'OI(Volume)'!$A$7:$O$427,12)</f>
        <v>12200</v>
      </c>
      <c r="L55" s="103">
        <f>VLOOKUP($A55,'OI(Value)'!$A$7:$O$306,8,0)</f>
        <v>230</v>
      </c>
      <c r="M55" s="103">
        <f>VLOOKUP($A55,'OI(Value)'!$A$7:$O$306,9,0)</f>
        <v>25</v>
      </c>
      <c r="N55" s="103">
        <f>VLOOKUP($A55,'OI(Value)'!$A$7:$O$306,11,0)</f>
        <v>179</v>
      </c>
      <c r="O55" s="103">
        <f>VLOOKUP($A55,'OI(Value)'!$A$7:$O$306,12,0)</f>
        <v>5</v>
      </c>
      <c r="P55" s="179">
        <f>VLOOKUP(A55,'OI(Value)'!A55:O256,8,0)</f>
        <v>230</v>
      </c>
      <c r="Q55" s="179">
        <f>VLOOKUP(A55,'OI(Value)'!A55:O256,9,0)</f>
        <v>25</v>
      </c>
      <c r="R55" s="179">
        <f>VLOOKUP(A55,'OI(Value)'!A55:O256,11,0)</f>
        <v>179</v>
      </c>
      <c r="S55" s="179">
        <f>VLOOKUP(A55,'OI(Value)'!A55:O256,11,0)</f>
        <v>179</v>
      </c>
    </row>
    <row r="56" spans="1:19" x14ac:dyDescent="0.25">
      <c r="A56" s="105" t="str">
        <f>'Data shares'!C51</f>
        <v>CYIENT</v>
      </c>
      <c r="B56" s="143">
        <f>VLOOKUP($A56,'Data shares'!$C:$FA,118)</f>
        <v>0.61</v>
      </c>
      <c r="C56" s="143">
        <f>VLOOKUP($A56,'Data shares'!$C:$FA,119)</f>
        <v>0.61</v>
      </c>
      <c r="D56" s="143">
        <f>VLOOKUP($A56,'Data shares'!$C:$FA,121)*100</f>
        <v>0</v>
      </c>
      <c r="E56" s="143">
        <f>VLOOKUP($A56,'Data shares'!$C:$FA,124)</f>
        <v>0.21</v>
      </c>
      <c r="F56" s="143">
        <f>VLOOKUP($A56,'Data shares'!$C:$FA,125)</f>
        <v>0.23</v>
      </c>
      <c r="G56" s="143">
        <f>VLOOKUP($A56,'Data shares'!$C:$FA,127)*100</f>
        <v>-8.6999999999999993</v>
      </c>
      <c r="H56" s="103">
        <f>VLOOKUP($A56,'OI(Volume)'!$A$7:$O$427,8)</f>
        <v>1390600</v>
      </c>
      <c r="I56" s="103">
        <f>VLOOKUP($A56,'OI(Volume)'!$A$7:$O$427,9)</f>
        <v>141525</v>
      </c>
      <c r="J56" s="103">
        <f>VLOOKUP($A56,'OI(Volume)'!$A$7:$O$427,11)</f>
        <v>850425</v>
      </c>
      <c r="K56" s="103">
        <f>VLOOKUP($A56,'OI(Volume)'!$A$7:$O$427,12)</f>
        <v>92650</v>
      </c>
      <c r="L56" s="103">
        <f>VLOOKUP($A56,'OI(Value)'!$A$7:$O$306,8,0)</f>
        <v>165</v>
      </c>
      <c r="M56" s="103">
        <f>VLOOKUP($A56,'OI(Value)'!$A$7:$O$306,9,0)</f>
        <v>17</v>
      </c>
      <c r="N56" s="103">
        <f>VLOOKUP($A56,'OI(Value)'!$A$7:$O$306,11,0)</f>
        <v>101</v>
      </c>
      <c r="O56" s="103">
        <f>VLOOKUP($A56,'OI(Value)'!$A$7:$O$306,12,0)</f>
        <v>11</v>
      </c>
      <c r="P56" s="179">
        <f>VLOOKUP(A56,'OI(Value)'!A56:O257,8,0)</f>
        <v>165</v>
      </c>
      <c r="Q56" s="179">
        <f>VLOOKUP(A56,'OI(Value)'!A56:O257,9,0)</f>
        <v>17</v>
      </c>
      <c r="R56" s="179">
        <f>VLOOKUP(A56,'OI(Value)'!A56:O257,11,0)</f>
        <v>101</v>
      </c>
      <c r="S56" s="179">
        <f>VLOOKUP(A56,'OI(Value)'!A56:O257,11,0)</f>
        <v>101</v>
      </c>
    </row>
    <row r="57" spans="1:19" x14ac:dyDescent="0.25">
      <c r="A57" s="105" t="str">
        <f>'Data shares'!C52</f>
        <v>DABUR</v>
      </c>
      <c r="B57" s="143">
        <f>VLOOKUP($A57,'Data shares'!$C:$FA,118)</f>
        <v>0.51</v>
      </c>
      <c r="C57" s="143">
        <f>VLOOKUP($A57,'Data shares'!$C:$FA,119)</f>
        <v>0.55000000000000004</v>
      </c>
      <c r="D57" s="143">
        <f>VLOOKUP($A57,'Data shares'!$C:$FA,121)*100</f>
        <v>-7.2700000000000005</v>
      </c>
      <c r="E57" s="143">
        <f>VLOOKUP($A57,'Data shares'!$C:$FA,124)</f>
        <v>0.39</v>
      </c>
      <c r="F57" s="143">
        <f>VLOOKUP($A57,'Data shares'!$C:$FA,125)</f>
        <v>0.32</v>
      </c>
      <c r="G57" s="143">
        <f>VLOOKUP($A57,'Data shares'!$C:$FA,127)*100</f>
        <v>21.88</v>
      </c>
      <c r="H57" s="103">
        <f>VLOOKUP($A57,'OI(Volume)'!$A$7:$O$427,8)</f>
        <v>11947500</v>
      </c>
      <c r="I57" s="103">
        <f>VLOOKUP($A57,'OI(Volume)'!$A$7:$O$427,9)</f>
        <v>1117500</v>
      </c>
      <c r="J57" s="103">
        <f>VLOOKUP($A57,'OI(Volume)'!$A$7:$O$427,11)</f>
        <v>6146250</v>
      </c>
      <c r="K57" s="103">
        <f>VLOOKUP($A57,'OI(Volume)'!$A$7:$O$427,12)</f>
        <v>227500</v>
      </c>
      <c r="L57" s="103">
        <f>VLOOKUP($A57,'OI(Value)'!$A$7:$O$306,8,0)</f>
        <v>593</v>
      </c>
      <c r="M57" s="103">
        <f>VLOOKUP($A57,'OI(Value)'!$A$7:$O$306,9,0)</f>
        <v>55</v>
      </c>
      <c r="N57" s="103">
        <f>VLOOKUP($A57,'OI(Value)'!$A$7:$O$306,11,0)</f>
        <v>305</v>
      </c>
      <c r="O57" s="103">
        <f>VLOOKUP($A57,'OI(Value)'!$A$7:$O$306,12,0)</f>
        <v>11</v>
      </c>
      <c r="P57" s="179">
        <f>VLOOKUP(A57,'OI(Value)'!A57:O258,8,0)</f>
        <v>593</v>
      </c>
      <c r="Q57" s="179">
        <f>VLOOKUP(A57,'OI(Value)'!A57:O258,9,0)</f>
        <v>55</v>
      </c>
      <c r="R57" s="179">
        <f>VLOOKUP(A57,'OI(Value)'!A57:O258,11,0)</f>
        <v>305</v>
      </c>
      <c r="S57" s="179">
        <f>VLOOKUP(A57,'OI(Value)'!A57:O258,11,0)</f>
        <v>305</v>
      </c>
    </row>
    <row r="58" spans="1:19" x14ac:dyDescent="0.25">
      <c r="A58" s="105" t="str">
        <f>'Data shares'!C53</f>
        <v>DALBHARAT</v>
      </c>
      <c r="B58" s="143">
        <f>VLOOKUP($A58,'Data shares'!$C:$FA,118)</f>
        <v>0.51</v>
      </c>
      <c r="C58" s="143">
        <f>VLOOKUP($A58,'Data shares'!$C:$FA,119)</f>
        <v>0.52</v>
      </c>
      <c r="D58" s="143">
        <f>VLOOKUP($A58,'Data shares'!$C:$FA,121)*100</f>
        <v>-1.92</v>
      </c>
      <c r="E58" s="143">
        <f>VLOOKUP($A58,'Data shares'!$C:$FA,124)</f>
        <v>0.3</v>
      </c>
      <c r="F58" s="143">
        <f>VLOOKUP($A58,'Data shares'!$C:$FA,125)</f>
        <v>1.22</v>
      </c>
      <c r="G58" s="143">
        <f>VLOOKUP($A58,'Data shares'!$C:$FA,127)*100</f>
        <v>-75.41</v>
      </c>
      <c r="H58" s="103">
        <f>VLOOKUP($A58,'OI(Volume)'!$A$7:$O$427,8)</f>
        <v>292175</v>
      </c>
      <c r="I58" s="103">
        <f>VLOOKUP($A58,'OI(Volume)'!$A$7:$O$427,9)</f>
        <v>20150</v>
      </c>
      <c r="J58" s="103">
        <f>VLOOKUP($A58,'OI(Volume)'!$A$7:$O$427,11)</f>
        <v>147550</v>
      </c>
      <c r="K58" s="103">
        <f>VLOOKUP($A58,'OI(Volume)'!$A$7:$O$427,12)</f>
        <v>6825</v>
      </c>
      <c r="L58" s="103">
        <f>VLOOKUP($A58,'OI(Value)'!$A$7:$O$306,8,0)</f>
        <v>66</v>
      </c>
      <c r="M58" s="103">
        <f>VLOOKUP($A58,'OI(Value)'!$A$7:$O$306,9,0)</f>
        <v>5</v>
      </c>
      <c r="N58" s="103">
        <f>VLOOKUP($A58,'OI(Value)'!$A$7:$O$306,11,0)</f>
        <v>33</v>
      </c>
      <c r="O58" s="103">
        <f>VLOOKUP($A58,'OI(Value)'!$A$7:$O$306,12,0)</f>
        <v>2</v>
      </c>
      <c r="P58" s="179">
        <f>VLOOKUP(A58,'OI(Value)'!A58:O259,8,0)</f>
        <v>66</v>
      </c>
      <c r="Q58" s="179">
        <f>VLOOKUP(A58,'OI(Value)'!A58:O259,9,0)</f>
        <v>5</v>
      </c>
      <c r="R58" s="179">
        <f>VLOOKUP(A58,'OI(Value)'!A58:O259,11,0)</f>
        <v>33</v>
      </c>
      <c r="S58" s="179">
        <f>VLOOKUP(A58,'OI(Value)'!A58:O259,11,0)</f>
        <v>33</v>
      </c>
    </row>
    <row r="59" spans="1:19" x14ac:dyDescent="0.25">
      <c r="A59" s="105" t="str">
        <f>'Data shares'!C54</f>
        <v>DELHIVERY</v>
      </c>
      <c r="B59" s="143">
        <f>VLOOKUP($A59,'Data shares'!$C:$FA,118)</f>
        <v>0.76</v>
      </c>
      <c r="C59" s="143">
        <f>VLOOKUP($A59,'Data shares'!$C:$FA,119)</f>
        <v>0.56000000000000005</v>
      </c>
      <c r="D59" s="143">
        <f>VLOOKUP($A59,'Data shares'!$C:$FA,121)*100</f>
        <v>35.709999999999994</v>
      </c>
      <c r="E59" s="143">
        <f>VLOOKUP($A59,'Data shares'!$C:$FA,124)</f>
        <v>0.47</v>
      </c>
      <c r="F59" s="143">
        <f>VLOOKUP($A59,'Data shares'!$C:$FA,125)</f>
        <v>0.48</v>
      </c>
      <c r="G59" s="143">
        <f>VLOOKUP($A59,'Data shares'!$C:$FA,127)*100</f>
        <v>-2.08</v>
      </c>
      <c r="H59" s="103">
        <f>VLOOKUP($A59,'OI(Volume)'!$A$7:$O$427,8)</f>
        <v>6444950</v>
      </c>
      <c r="I59" s="103">
        <f>VLOOKUP($A59,'OI(Volume)'!$A$7:$O$427,9)</f>
        <v>545725</v>
      </c>
      <c r="J59" s="103">
        <f>VLOOKUP($A59,'OI(Volume)'!$A$7:$O$427,11)</f>
        <v>4876250</v>
      </c>
      <c r="K59" s="103">
        <f>VLOOKUP($A59,'OI(Volume)'!$A$7:$O$427,12)</f>
        <v>1554175</v>
      </c>
      <c r="L59" s="103">
        <f>VLOOKUP($A59,'OI(Value)'!$A$7:$O$306,8,0)</f>
        <v>300</v>
      </c>
      <c r="M59" s="103">
        <f>VLOOKUP($A59,'OI(Value)'!$A$7:$O$306,9,0)</f>
        <v>25</v>
      </c>
      <c r="N59" s="103">
        <f>VLOOKUP($A59,'OI(Value)'!$A$7:$O$306,11,0)</f>
        <v>227</v>
      </c>
      <c r="O59" s="103">
        <f>VLOOKUP($A59,'OI(Value)'!$A$7:$O$306,12,0)</f>
        <v>72</v>
      </c>
      <c r="P59" s="179">
        <f>VLOOKUP(A59,'OI(Value)'!A59:O260,8,0)</f>
        <v>300</v>
      </c>
      <c r="Q59" s="179">
        <f>VLOOKUP(A59,'OI(Value)'!A59:O260,9,0)</f>
        <v>25</v>
      </c>
      <c r="R59" s="179">
        <f>VLOOKUP(A59,'OI(Value)'!A59:O260,11,0)</f>
        <v>227</v>
      </c>
      <c r="S59" s="179">
        <f>VLOOKUP(A59,'OI(Value)'!A59:O260,11,0)</f>
        <v>227</v>
      </c>
    </row>
    <row r="60" spans="1:19" x14ac:dyDescent="0.25">
      <c r="A60" s="105" t="str">
        <f>'Data shares'!C55</f>
        <v>DIVISLAB</v>
      </c>
      <c r="B60" s="143">
        <f>VLOOKUP($A60,'Data shares'!$C:$FA,118)</f>
        <v>0.6</v>
      </c>
      <c r="C60" s="143">
        <f>VLOOKUP($A60,'Data shares'!$C:$FA,119)</f>
        <v>0.65</v>
      </c>
      <c r="D60" s="143">
        <f>VLOOKUP($A60,'Data shares'!$C:$FA,121)*100</f>
        <v>-7.6899999999999995</v>
      </c>
      <c r="E60" s="143">
        <f>VLOOKUP($A60,'Data shares'!$C:$FA,124)</f>
        <v>0.5</v>
      </c>
      <c r="F60" s="143">
        <f>VLOOKUP($A60,'Data shares'!$C:$FA,125)</f>
        <v>0.31</v>
      </c>
      <c r="G60" s="143">
        <f>VLOOKUP($A60,'Data shares'!$C:$FA,127)*100</f>
        <v>61.29</v>
      </c>
      <c r="H60" s="103">
        <f>VLOOKUP($A60,'OI(Volume)'!$A$7:$O$427,8)</f>
        <v>755300</v>
      </c>
      <c r="I60" s="103">
        <f>VLOOKUP($A60,'OI(Volume)'!$A$7:$O$427,9)</f>
        <v>50400</v>
      </c>
      <c r="J60" s="103">
        <f>VLOOKUP($A60,'OI(Volume)'!$A$7:$O$427,11)</f>
        <v>456100</v>
      </c>
      <c r="K60" s="103">
        <f>VLOOKUP($A60,'OI(Volume)'!$A$7:$O$427,12)</f>
        <v>400</v>
      </c>
      <c r="L60" s="103">
        <f>VLOOKUP($A60,'OI(Value)'!$A$7:$O$306,8,0)</f>
        <v>442</v>
      </c>
      <c r="M60" s="103">
        <f>VLOOKUP($A60,'OI(Value)'!$A$7:$O$306,9,0)</f>
        <v>29</v>
      </c>
      <c r="N60" s="103">
        <f>VLOOKUP($A60,'OI(Value)'!$A$7:$O$306,11,0)</f>
        <v>267</v>
      </c>
      <c r="O60" s="103">
        <f>VLOOKUP($A60,'OI(Value)'!$A$7:$O$306,12,0)</f>
        <v>0</v>
      </c>
      <c r="P60" s="179">
        <f>VLOOKUP(A60,'OI(Value)'!A60:O261,8,0)</f>
        <v>442</v>
      </c>
      <c r="Q60" s="179">
        <f>VLOOKUP(A60,'OI(Value)'!A60:O261,9,0)</f>
        <v>29</v>
      </c>
      <c r="R60" s="179">
        <f>VLOOKUP(A60,'OI(Value)'!A60:O261,11,0)</f>
        <v>267</v>
      </c>
      <c r="S60" s="179">
        <f>VLOOKUP(A60,'OI(Value)'!A60:O261,11,0)</f>
        <v>267</v>
      </c>
    </row>
    <row r="61" spans="1:19" x14ac:dyDescent="0.25">
      <c r="A61" s="105" t="str">
        <f>'Data shares'!C56</f>
        <v>DIXON</v>
      </c>
      <c r="B61" s="143">
        <f>VLOOKUP($A61,'Data shares'!$C:$FA,118)</f>
        <v>0.76</v>
      </c>
      <c r="C61" s="143">
        <f>VLOOKUP($A61,'Data shares'!$C:$FA,119)</f>
        <v>0.62</v>
      </c>
      <c r="D61" s="143">
        <f>VLOOKUP($A61,'Data shares'!$C:$FA,121)*100</f>
        <v>22.58</v>
      </c>
      <c r="E61" s="143">
        <f>VLOOKUP($A61,'Data shares'!$C:$FA,124)</f>
        <v>0.42</v>
      </c>
      <c r="F61" s="143">
        <f>VLOOKUP($A61,'Data shares'!$C:$FA,125)</f>
        <v>0.5</v>
      </c>
      <c r="G61" s="143">
        <f>VLOOKUP($A61,'Data shares'!$C:$FA,127)*100</f>
        <v>-16</v>
      </c>
      <c r="H61" s="103">
        <f>VLOOKUP($A61,'OI(Volume)'!$A$7:$O$427,8)</f>
        <v>880600</v>
      </c>
      <c r="I61" s="103">
        <f>VLOOKUP($A61,'OI(Volume)'!$A$7:$O$427,9)</f>
        <v>-138050</v>
      </c>
      <c r="J61" s="103">
        <f>VLOOKUP($A61,'OI(Volume)'!$A$7:$O$427,11)</f>
        <v>668950</v>
      </c>
      <c r="K61" s="103">
        <f>VLOOKUP($A61,'OI(Volume)'!$A$7:$O$427,12)</f>
        <v>39900</v>
      </c>
      <c r="L61" s="103">
        <f>VLOOKUP($A61,'OI(Value)'!$A$7:$O$306,8,0)</f>
        <v>1507</v>
      </c>
      <c r="M61" s="103">
        <f>VLOOKUP($A61,'OI(Value)'!$A$7:$O$306,9,0)</f>
        <v>-236</v>
      </c>
      <c r="N61" s="103">
        <f>VLOOKUP($A61,'OI(Value)'!$A$7:$O$306,11,0)</f>
        <v>1145</v>
      </c>
      <c r="O61" s="103">
        <f>VLOOKUP($A61,'OI(Value)'!$A$7:$O$306,12,0)</f>
        <v>68</v>
      </c>
      <c r="P61" s="179">
        <f>VLOOKUP(A61,'OI(Value)'!A61:O262,8,0)</f>
        <v>1507</v>
      </c>
      <c r="Q61" s="179">
        <f>VLOOKUP(A61,'OI(Value)'!A61:O262,9,0)</f>
        <v>-236</v>
      </c>
      <c r="R61" s="179">
        <f>VLOOKUP(A61,'OI(Value)'!A61:O262,11,0)</f>
        <v>1145</v>
      </c>
      <c r="S61" s="179">
        <f>VLOOKUP(A61,'OI(Value)'!A61:O262,11,0)</f>
        <v>1145</v>
      </c>
    </row>
    <row r="62" spans="1:19" x14ac:dyDescent="0.25">
      <c r="A62" s="105" t="str">
        <f>'Data shares'!C57</f>
        <v>DLF</v>
      </c>
      <c r="B62" s="143">
        <f>VLOOKUP($A62,'Data shares'!$C:$FA,118)</f>
        <v>0.66</v>
      </c>
      <c r="C62" s="143">
        <f>VLOOKUP($A62,'Data shares'!$C:$FA,119)</f>
        <v>0.68</v>
      </c>
      <c r="D62" s="143">
        <f>VLOOKUP($A62,'Data shares'!$C:$FA,121)*100</f>
        <v>-2.94</v>
      </c>
      <c r="E62" s="143">
        <f>VLOOKUP($A62,'Data shares'!$C:$FA,124)</f>
        <v>0.3</v>
      </c>
      <c r="F62" s="143">
        <f>VLOOKUP($A62,'Data shares'!$C:$FA,125)</f>
        <v>0.31</v>
      </c>
      <c r="G62" s="143">
        <f>VLOOKUP($A62,'Data shares'!$C:$FA,127)*100</f>
        <v>-3.2300000000000004</v>
      </c>
      <c r="H62" s="103">
        <f>VLOOKUP($A62,'OI(Volume)'!$A$7:$O$427,8)</f>
        <v>15065325</v>
      </c>
      <c r="I62" s="103">
        <f>VLOOKUP($A62,'OI(Volume)'!$A$7:$O$427,9)</f>
        <v>698775</v>
      </c>
      <c r="J62" s="103">
        <f>VLOOKUP($A62,'OI(Volume)'!$A$7:$O$427,11)</f>
        <v>9993225</v>
      </c>
      <c r="K62" s="103">
        <f>VLOOKUP($A62,'OI(Volume)'!$A$7:$O$427,12)</f>
        <v>215325</v>
      </c>
      <c r="L62" s="103">
        <f>VLOOKUP($A62,'OI(Value)'!$A$7:$O$306,8,0)</f>
        <v>1111</v>
      </c>
      <c r="M62" s="103">
        <f>VLOOKUP($A62,'OI(Value)'!$A$7:$O$306,9,0)</f>
        <v>52</v>
      </c>
      <c r="N62" s="103">
        <f>VLOOKUP($A62,'OI(Value)'!$A$7:$O$306,11,0)</f>
        <v>737</v>
      </c>
      <c r="O62" s="103">
        <f>VLOOKUP($A62,'OI(Value)'!$A$7:$O$306,12,0)</f>
        <v>16</v>
      </c>
      <c r="P62" s="179">
        <f>VLOOKUP(A62,'OI(Value)'!A62:O263,8,0)</f>
        <v>1111</v>
      </c>
      <c r="Q62" s="179">
        <f>VLOOKUP(A62,'OI(Value)'!A62:O263,9,0)</f>
        <v>52</v>
      </c>
      <c r="R62" s="179">
        <f>VLOOKUP(A62,'OI(Value)'!A62:O263,11,0)</f>
        <v>737</v>
      </c>
      <c r="S62" s="179">
        <f>VLOOKUP(A62,'OI(Value)'!A62:O263,11,0)</f>
        <v>737</v>
      </c>
    </row>
    <row r="63" spans="1:19" x14ac:dyDescent="0.25">
      <c r="A63" s="105" t="str">
        <f>'Data shares'!C58</f>
        <v>DMART</v>
      </c>
      <c r="B63" s="143">
        <f>VLOOKUP($A63,'Data shares'!$C:$FA,118)</f>
        <v>0.62</v>
      </c>
      <c r="C63" s="143">
        <f>VLOOKUP($A63,'Data shares'!$C:$FA,119)</f>
        <v>0.67</v>
      </c>
      <c r="D63" s="143">
        <f>VLOOKUP($A63,'Data shares'!$C:$FA,121)*100</f>
        <v>-7.46</v>
      </c>
      <c r="E63" s="143">
        <f>VLOOKUP($A63,'Data shares'!$C:$FA,124)</f>
        <v>0.62</v>
      </c>
      <c r="F63" s="143">
        <f>VLOOKUP($A63,'Data shares'!$C:$FA,125)</f>
        <v>0.61</v>
      </c>
      <c r="G63" s="143">
        <f>VLOOKUP($A63,'Data shares'!$C:$FA,127)*100</f>
        <v>1.6400000000000001</v>
      </c>
      <c r="H63" s="103">
        <f>VLOOKUP($A63,'OI(Volume)'!$A$7:$O$427,8)</f>
        <v>1690650</v>
      </c>
      <c r="I63" s="103">
        <f>VLOOKUP($A63,'OI(Volume)'!$A$7:$O$427,9)</f>
        <v>587250</v>
      </c>
      <c r="J63" s="103">
        <f>VLOOKUP($A63,'OI(Volume)'!$A$7:$O$427,11)</f>
        <v>1044150</v>
      </c>
      <c r="K63" s="103">
        <f>VLOOKUP($A63,'OI(Volume)'!$A$7:$O$427,12)</f>
        <v>304950</v>
      </c>
      <c r="L63" s="103">
        <f>VLOOKUP($A63,'OI(Value)'!$A$7:$O$306,8,0)</f>
        <v>729</v>
      </c>
      <c r="M63" s="103">
        <f>VLOOKUP($A63,'OI(Value)'!$A$7:$O$306,9,0)</f>
        <v>253</v>
      </c>
      <c r="N63" s="103">
        <f>VLOOKUP($A63,'OI(Value)'!$A$7:$O$306,11,0)</f>
        <v>450</v>
      </c>
      <c r="O63" s="103">
        <f>VLOOKUP($A63,'OI(Value)'!$A$7:$O$306,12,0)</f>
        <v>132</v>
      </c>
      <c r="P63" s="179">
        <f>VLOOKUP(A63,'OI(Value)'!A63:O264,8,0)</f>
        <v>729</v>
      </c>
      <c r="Q63" s="179">
        <f>VLOOKUP(A63,'OI(Value)'!A63:O264,9,0)</f>
        <v>253</v>
      </c>
      <c r="R63" s="179">
        <f>VLOOKUP(A63,'OI(Value)'!A63:O264,11,0)</f>
        <v>450</v>
      </c>
      <c r="S63" s="179">
        <f>VLOOKUP(A63,'OI(Value)'!A63:O264,11,0)</f>
        <v>450</v>
      </c>
    </row>
    <row r="64" spans="1:19" x14ac:dyDescent="0.25">
      <c r="A64" s="105" t="str">
        <f>'Data shares'!C59</f>
        <v>DRREDDY</v>
      </c>
      <c r="B64" s="143">
        <f>VLOOKUP($A64,'Data shares'!$C:$FA,118)</f>
        <v>0.65</v>
      </c>
      <c r="C64" s="143">
        <f>VLOOKUP($A64,'Data shares'!$C:$FA,119)</f>
        <v>0.77</v>
      </c>
      <c r="D64" s="143">
        <f>VLOOKUP($A64,'Data shares'!$C:$FA,121)*100</f>
        <v>-15.58</v>
      </c>
      <c r="E64" s="143">
        <f>VLOOKUP($A64,'Data shares'!$C:$FA,124)</f>
        <v>0.44</v>
      </c>
      <c r="F64" s="143">
        <f>VLOOKUP($A64,'Data shares'!$C:$FA,125)</f>
        <v>0.5</v>
      </c>
      <c r="G64" s="143">
        <f>VLOOKUP($A64,'Data shares'!$C:$FA,127)*100</f>
        <v>-12</v>
      </c>
      <c r="H64" s="103">
        <f>VLOOKUP($A64,'OI(Volume)'!$A$7:$O$427,8)</f>
        <v>3910000</v>
      </c>
      <c r="I64" s="103">
        <f>VLOOKUP($A64,'OI(Volume)'!$A$7:$O$427,9)</f>
        <v>725625</v>
      </c>
      <c r="J64" s="103">
        <f>VLOOKUP($A64,'OI(Volume)'!$A$7:$O$427,11)</f>
        <v>2533125</v>
      </c>
      <c r="K64" s="103">
        <f>VLOOKUP($A64,'OI(Volume)'!$A$7:$O$427,12)</f>
        <v>85000</v>
      </c>
      <c r="L64" s="103">
        <f>VLOOKUP($A64,'OI(Value)'!$A$7:$O$306,8,0)</f>
        <v>491</v>
      </c>
      <c r="M64" s="103">
        <f>VLOOKUP($A64,'OI(Value)'!$A$7:$O$306,9,0)</f>
        <v>91</v>
      </c>
      <c r="N64" s="103">
        <f>VLOOKUP($A64,'OI(Value)'!$A$7:$O$306,11,0)</f>
        <v>318</v>
      </c>
      <c r="O64" s="103">
        <f>VLOOKUP($A64,'OI(Value)'!$A$7:$O$306,12,0)</f>
        <v>11</v>
      </c>
      <c r="P64" s="179">
        <f>VLOOKUP(A64,'OI(Value)'!A64:O265,8,0)</f>
        <v>491</v>
      </c>
      <c r="Q64" s="179">
        <f>VLOOKUP(A64,'OI(Value)'!A64:O265,9,0)</f>
        <v>91</v>
      </c>
      <c r="R64" s="179">
        <f>VLOOKUP(A64,'OI(Value)'!A64:O265,11,0)</f>
        <v>318</v>
      </c>
      <c r="S64" s="179">
        <f>VLOOKUP(A64,'OI(Value)'!A64:O265,11,0)</f>
        <v>318</v>
      </c>
    </row>
    <row r="65" spans="1:19" x14ac:dyDescent="0.25">
      <c r="A65" s="105" t="str">
        <f>'Data shares'!C60</f>
        <v>EICHERMOT</v>
      </c>
      <c r="B65" s="143">
        <f>VLOOKUP($A65,'Data shares'!$C:$FA,118)</f>
        <v>0.76</v>
      </c>
      <c r="C65" s="143">
        <f>VLOOKUP($A65,'Data shares'!$C:$FA,119)</f>
        <v>0.84</v>
      </c>
      <c r="D65" s="143">
        <f>VLOOKUP($A65,'Data shares'!$C:$FA,121)*100</f>
        <v>-9.5200000000000014</v>
      </c>
      <c r="E65" s="143">
        <f>VLOOKUP($A65,'Data shares'!$C:$FA,124)</f>
        <v>0.43</v>
      </c>
      <c r="F65" s="143">
        <f>VLOOKUP($A65,'Data shares'!$C:$FA,125)</f>
        <v>0.8</v>
      </c>
      <c r="G65" s="143">
        <f>VLOOKUP($A65,'Data shares'!$C:$FA,127)*100</f>
        <v>-46.25</v>
      </c>
      <c r="H65" s="103">
        <f>VLOOKUP($A65,'OI(Volume)'!$A$7:$O$427,8)</f>
        <v>1783250</v>
      </c>
      <c r="I65" s="103">
        <f>VLOOKUP($A65,'OI(Volume)'!$A$7:$O$427,9)</f>
        <v>145950</v>
      </c>
      <c r="J65" s="103">
        <f>VLOOKUP($A65,'OI(Volume)'!$A$7:$O$427,11)</f>
        <v>1354325</v>
      </c>
      <c r="K65" s="103">
        <f>VLOOKUP($A65,'OI(Volume)'!$A$7:$O$427,12)</f>
        <v>-27125</v>
      </c>
      <c r="L65" s="103">
        <f>VLOOKUP($A65,'OI(Value)'!$A$7:$O$306,8,0)</f>
        <v>1234</v>
      </c>
      <c r="M65" s="103">
        <f>VLOOKUP($A65,'OI(Value)'!$A$7:$O$306,9,0)</f>
        <v>101</v>
      </c>
      <c r="N65" s="103">
        <f>VLOOKUP($A65,'OI(Value)'!$A$7:$O$306,11,0)</f>
        <v>937</v>
      </c>
      <c r="O65" s="103">
        <f>VLOOKUP($A65,'OI(Value)'!$A$7:$O$306,12,0)</f>
        <v>-19</v>
      </c>
      <c r="P65" s="179">
        <f>VLOOKUP(A65,'OI(Value)'!A65:O266,8,0)</f>
        <v>1234</v>
      </c>
      <c r="Q65" s="179">
        <f>VLOOKUP(A65,'OI(Value)'!A65:O266,9,0)</f>
        <v>101</v>
      </c>
      <c r="R65" s="179">
        <f>VLOOKUP(A65,'OI(Value)'!A65:O266,11,0)</f>
        <v>937</v>
      </c>
      <c r="S65" s="179">
        <f>VLOOKUP(A65,'OI(Value)'!A65:O266,11,0)</f>
        <v>937</v>
      </c>
    </row>
    <row r="66" spans="1:19" x14ac:dyDescent="0.25">
      <c r="A66" s="105" t="str">
        <f>'Data shares'!C61</f>
        <v>ETERNAL</v>
      </c>
      <c r="B66" s="143">
        <f>VLOOKUP($A66,'Data shares'!$C:$FA,118)</f>
        <v>0.73</v>
      </c>
      <c r="C66" s="143">
        <f>VLOOKUP($A66,'Data shares'!$C:$FA,119)</f>
        <v>0.69</v>
      </c>
      <c r="D66" s="143">
        <f>VLOOKUP($A66,'Data shares'!$C:$FA,121)*100</f>
        <v>5.8000000000000007</v>
      </c>
      <c r="E66" s="143">
        <f>VLOOKUP($A66,'Data shares'!$C:$FA,124)</f>
        <v>0.52</v>
      </c>
      <c r="F66" s="143">
        <f>VLOOKUP($A66,'Data shares'!$C:$FA,125)</f>
        <v>0.53</v>
      </c>
      <c r="G66" s="143">
        <f>VLOOKUP($A66,'Data shares'!$C:$FA,127)*100</f>
        <v>-1.8900000000000001</v>
      </c>
      <c r="H66" s="103">
        <f>VLOOKUP($A66,'OI(Volume)'!$A$7:$O$427,8)</f>
        <v>48892850</v>
      </c>
      <c r="I66" s="103">
        <f>VLOOKUP($A66,'OI(Volume)'!$A$7:$O$427,9)</f>
        <v>26675</v>
      </c>
      <c r="J66" s="103">
        <f>VLOOKUP($A66,'OI(Volume)'!$A$7:$O$427,11)</f>
        <v>35679025</v>
      </c>
      <c r="K66" s="103">
        <f>VLOOKUP($A66,'OI(Volume)'!$A$7:$O$427,12)</f>
        <v>1787225</v>
      </c>
      <c r="L66" s="103">
        <f>VLOOKUP($A66,'OI(Value)'!$A$7:$O$306,8,0)</f>
        <v>1648</v>
      </c>
      <c r="M66" s="103">
        <f>VLOOKUP($A66,'OI(Value)'!$A$7:$O$306,9,0)</f>
        <v>1</v>
      </c>
      <c r="N66" s="103">
        <f>VLOOKUP($A66,'OI(Value)'!$A$7:$O$306,11,0)</f>
        <v>1203</v>
      </c>
      <c r="O66" s="103">
        <f>VLOOKUP($A66,'OI(Value)'!$A$7:$O$306,12,0)</f>
        <v>60</v>
      </c>
      <c r="P66" s="179">
        <f>VLOOKUP(A66,'OI(Value)'!A66:O267,8,0)</f>
        <v>1648</v>
      </c>
      <c r="Q66" s="179">
        <f>VLOOKUP(A66,'OI(Value)'!A66:O267,9,0)</f>
        <v>1</v>
      </c>
      <c r="R66" s="179">
        <f>VLOOKUP(A66,'OI(Value)'!A66:O267,11,0)</f>
        <v>1203</v>
      </c>
      <c r="S66" s="179">
        <f>VLOOKUP(A66,'OI(Value)'!A66:O267,11,0)</f>
        <v>1203</v>
      </c>
    </row>
    <row r="67" spans="1:19" x14ac:dyDescent="0.25">
      <c r="A67" s="105" t="str">
        <f>'Data shares'!C62</f>
        <v>EXIDEIND</v>
      </c>
      <c r="B67" s="143">
        <f>VLOOKUP($A67,'Data shares'!$C:$FA,118)</f>
        <v>0.75</v>
      </c>
      <c r="C67" s="143">
        <f>VLOOKUP($A67,'Data shares'!$C:$FA,119)</f>
        <v>0.74</v>
      </c>
      <c r="D67" s="143">
        <f>VLOOKUP($A67,'Data shares'!$C:$FA,121)*100</f>
        <v>1.35</v>
      </c>
      <c r="E67" s="143">
        <f>VLOOKUP($A67,'Data shares'!$C:$FA,124)</f>
        <v>0.37</v>
      </c>
      <c r="F67" s="143">
        <f>VLOOKUP($A67,'Data shares'!$C:$FA,125)</f>
        <v>0.38</v>
      </c>
      <c r="G67" s="143">
        <f>VLOOKUP($A67,'Data shares'!$C:$FA,127)*100</f>
        <v>-2.63</v>
      </c>
      <c r="H67" s="103">
        <f>VLOOKUP($A67,'OI(Volume)'!$A$7:$O$427,8)</f>
        <v>8785800</v>
      </c>
      <c r="I67" s="103">
        <f>VLOOKUP($A67,'OI(Volume)'!$A$7:$O$427,9)</f>
        <v>129600</v>
      </c>
      <c r="J67" s="103">
        <f>VLOOKUP($A67,'OI(Volume)'!$A$7:$O$427,11)</f>
        <v>6579000</v>
      </c>
      <c r="K67" s="103">
        <f>VLOOKUP($A67,'OI(Volume)'!$A$7:$O$427,12)</f>
        <v>165600</v>
      </c>
      <c r="L67" s="103">
        <f>VLOOKUP($A67,'OI(Value)'!$A$7:$O$306,8,0)</f>
        <v>353</v>
      </c>
      <c r="M67" s="103">
        <f>VLOOKUP($A67,'OI(Value)'!$A$7:$O$306,9,0)</f>
        <v>5</v>
      </c>
      <c r="N67" s="103">
        <f>VLOOKUP($A67,'OI(Value)'!$A$7:$O$306,11,0)</f>
        <v>264</v>
      </c>
      <c r="O67" s="103">
        <f>VLOOKUP($A67,'OI(Value)'!$A$7:$O$306,12,0)</f>
        <v>7</v>
      </c>
      <c r="P67" s="179">
        <f>VLOOKUP(A67,'OI(Value)'!A67:O268,8,0)</f>
        <v>353</v>
      </c>
      <c r="Q67" s="179">
        <f>VLOOKUP(A67,'OI(Value)'!A67:O268,9,0)</f>
        <v>5</v>
      </c>
      <c r="R67" s="179">
        <f>VLOOKUP(A67,'OI(Value)'!A67:O268,11,0)</f>
        <v>264</v>
      </c>
      <c r="S67" s="179">
        <f>VLOOKUP(A67,'OI(Value)'!A67:O268,11,0)</f>
        <v>264</v>
      </c>
    </row>
    <row r="68" spans="1:19" x14ac:dyDescent="0.25">
      <c r="A68" s="105" t="str">
        <f>'Data shares'!C63</f>
        <v>FEDERALBNK</v>
      </c>
      <c r="B68" s="143">
        <f>VLOOKUP($A68,'Data shares'!$C:$FA,118)</f>
        <v>0.69</v>
      </c>
      <c r="C68" s="143">
        <f>VLOOKUP($A68,'Data shares'!$C:$FA,119)</f>
        <v>0.84</v>
      </c>
      <c r="D68" s="143">
        <f>VLOOKUP($A68,'Data shares'!$C:$FA,121)*100</f>
        <v>-17.86</v>
      </c>
      <c r="E68" s="143">
        <f>VLOOKUP($A68,'Data shares'!$C:$FA,124)</f>
        <v>0.32</v>
      </c>
      <c r="F68" s="143">
        <f>VLOOKUP($A68,'Data shares'!$C:$FA,125)</f>
        <v>0.51</v>
      </c>
      <c r="G68" s="143">
        <f>VLOOKUP($A68,'Data shares'!$C:$FA,127)*100</f>
        <v>-37.25</v>
      </c>
      <c r="H68" s="103">
        <f>VLOOKUP($A68,'OI(Volume)'!$A$7:$O$427,8)</f>
        <v>42590000</v>
      </c>
      <c r="I68" s="103">
        <f>VLOOKUP($A68,'OI(Volume)'!$A$7:$O$427,9)</f>
        <v>12625000</v>
      </c>
      <c r="J68" s="103">
        <f>VLOOKUP($A68,'OI(Volume)'!$A$7:$O$427,11)</f>
        <v>29485000</v>
      </c>
      <c r="K68" s="103">
        <f>VLOOKUP($A68,'OI(Volume)'!$A$7:$O$427,12)</f>
        <v>4275000</v>
      </c>
      <c r="L68" s="103">
        <f>VLOOKUP($A68,'OI(Value)'!$A$7:$O$306,8,0)</f>
        <v>829</v>
      </c>
      <c r="M68" s="103">
        <f>VLOOKUP($A68,'OI(Value)'!$A$7:$O$306,9,0)</f>
        <v>246</v>
      </c>
      <c r="N68" s="103">
        <f>VLOOKUP($A68,'OI(Value)'!$A$7:$O$306,11,0)</f>
        <v>574</v>
      </c>
      <c r="O68" s="103">
        <f>VLOOKUP($A68,'OI(Value)'!$A$7:$O$306,12,0)</f>
        <v>83</v>
      </c>
      <c r="P68" s="179">
        <f>VLOOKUP(A68,'OI(Value)'!A68:O269,8,0)</f>
        <v>829</v>
      </c>
      <c r="Q68" s="179">
        <f>VLOOKUP(A68,'OI(Value)'!A68:O269,9,0)</f>
        <v>246</v>
      </c>
      <c r="R68" s="179">
        <f>VLOOKUP(A68,'OI(Value)'!A68:O269,11,0)</f>
        <v>574</v>
      </c>
      <c r="S68" s="179">
        <f>VLOOKUP(A68,'OI(Value)'!A68:O269,11,0)</f>
        <v>574</v>
      </c>
    </row>
    <row r="69" spans="1:19" x14ac:dyDescent="0.25">
      <c r="A69" s="105" t="str">
        <f>'Data shares'!C64</f>
        <v>FINNIFTY</v>
      </c>
      <c r="B69" s="143">
        <f>VLOOKUP($A69,'Data shares'!$C:$FA,118)</f>
        <v>0.71</v>
      </c>
      <c r="C69" s="143">
        <f>VLOOKUP($A69,'Data shares'!$C:$FA,119)</f>
        <v>0.57999999999999996</v>
      </c>
      <c r="D69" s="143">
        <f>VLOOKUP($A69,'Data shares'!$C:$FA,121)*100</f>
        <v>22.41</v>
      </c>
      <c r="E69" s="143">
        <f>VLOOKUP($A69,'Data shares'!$C:$FA,124)</f>
        <v>0.62</v>
      </c>
      <c r="F69" s="143">
        <f>VLOOKUP($A69,'Data shares'!$C:$FA,125)</f>
        <v>0.66</v>
      </c>
      <c r="G69" s="143">
        <f>VLOOKUP($A69,'Data shares'!$C:$FA,127)*100</f>
        <v>-6.0600000000000005</v>
      </c>
      <c r="H69" s="103">
        <f>VLOOKUP($A69,'OI(Volume)'!$A$7:$O$427,8)</f>
        <v>745485</v>
      </c>
      <c r="I69" s="103">
        <f>VLOOKUP($A69,'OI(Volume)'!$A$7:$O$427,9)</f>
        <v>353665</v>
      </c>
      <c r="J69" s="103">
        <f>VLOOKUP($A69,'OI(Volume)'!$A$7:$O$427,11)</f>
        <v>530855</v>
      </c>
      <c r="K69" s="103">
        <f>VLOOKUP($A69,'OI(Volume)'!$A$7:$O$427,12)</f>
        <v>302185</v>
      </c>
      <c r="L69" s="103">
        <f>VLOOKUP($A69,'OI(Value)'!$A$7:$O$306,8,0)</f>
        <v>1998</v>
      </c>
      <c r="M69" s="103">
        <f>VLOOKUP($A69,'OI(Value)'!$A$7:$O$306,9,0)</f>
        <v>948</v>
      </c>
      <c r="N69" s="103">
        <f>VLOOKUP($A69,'OI(Value)'!$A$7:$O$306,11,0)</f>
        <v>1423</v>
      </c>
      <c r="O69" s="103">
        <f>VLOOKUP($A69,'OI(Value)'!$A$7:$O$306,12,0)</f>
        <v>810</v>
      </c>
      <c r="P69" s="179">
        <f>VLOOKUP(A69,'OI(Value)'!A69:O270,8,0)</f>
        <v>1998</v>
      </c>
      <c r="Q69" s="179">
        <f>VLOOKUP(A69,'OI(Value)'!A69:O270,9,0)</f>
        <v>948</v>
      </c>
      <c r="R69" s="179">
        <f>VLOOKUP(A69,'OI(Value)'!A69:O270,11,0)</f>
        <v>1423</v>
      </c>
      <c r="S69" s="179">
        <f>VLOOKUP(A69,'OI(Value)'!A69:O270,11,0)</f>
        <v>1423</v>
      </c>
    </row>
    <row r="70" spans="1:19" x14ac:dyDescent="0.25">
      <c r="A70" s="105" t="str">
        <f>'Data shares'!C65</f>
        <v>FORTIS</v>
      </c>
      <c r="B70" s="143">
        <f>VLOOKUP($A70,'Data shares'!$C:$FA,118)</f>
        <v>0.7</v>
      </c>
      <c r="C70" s="143">
        <f>VLOOKUP($A70,'Data shares'!$C:$FA,119)</f>
        <v>0.57999999999999996</v>
      </c>
      <c r="D70" s="143">
        <f>VLOOKUP($A70,'Data shares'!$C:$FA,121)*100</f>
        <v>20.69</v>
      </c>
      <c r="E70" s="143">
        <f>VLOOKUP($A70,'Data shares'!$C:$FA,124)</f>
        <v>0.35</v>
      </c>
      <c r="F70" s="143">
        <f>VLOOKUP($A70,'Data shares'!$C:$FA,125)</f>
        <v>0.63</v>
      </c>
      <c r="G70" s="143">
        <f>VLOOKUP($A70,'Data shares'!$C:$FA,127)*100</f>
        <v>-44.440000000000005</v>
      </c>
      <c r="H70" s="103">
        <f>VLOOKUP($A70,'OI(Volume)'!$A$7:$O$427,8)</f>
        <v>4226075</v>
      </c>
      <c r="I70" s="103">
        <f>VLOOKUP($A70,'OI(Volume)'!$A$7:$O$427,9)</f>
        <v>2407925</v>
      </c>
      <c r="J70" s="103">
        <f>VLOOKUP($A70,'OI(Volume)'!$A$7:$O$427,11)</f>
        <v>2950425</v>
      </c>
      <c r="K70" s="103">
        <f>VLOOKUP($A70,'OI(Volume)'!$A$7:$O$427,12)</f>
        <v>1894100</v>
      </c>
      <c r="L70" s="103">
        <f>VLOOKUP($A70,'OI(Value)'!$A$7:$O$306,8,0)</f>
        <v>447</v>
      </c>
      <c r="M70" s="103">
        <f>VLOOKUP($A70,'OI(Value)'!$A$7:$O$306,9,0)</f>
        <v>255</v>
      </c>
      <c r="N70" s="103">
        <f>VLOOKUP($A70,'OI(Value)'!$A$7:$O$306,11,0)</f>
        <v>312</v>
      </c>
      <c r="O70" s="103">
        <f>VLOOKUP($A70,'OI(Value)'!$A$7:$O$306,12,0)</f>
        <v>200</v>
      </c>
      <c r="P70" s="179">
        <f>VLOOKUP(A70,'OI(Value)'!A70:O271,8,0)</f>
        <v>447</v>
      </c>
      <c r="Q70" s="179">
        <f>VLOOKUP(A70,'OI(Value)'!A70:O271,9,0)</f>
        <v>255</v>
      </c>
      <c r="R70" s="179">
        <f>VLOOKUP(A70,'OI(Value)'!A70:O271,11,0)</f>
        <v>312</v>
      </c>
      <c r="S70" s="179">
        <f>VLOOKUP(A70,'OI(Value)'!A70:O271,11,0)</f>
        <v>312</v>
      </c>
    </row>
    <row r="71" spans="1:19" x14ac:dyDescent="0.25">
      <c r="A71" s="105" t="str">
        <f>'Data shares'!C66</f>
        <v>GAIL</v>
      </c>
      <c r="B71" s="143">
        <f>VLOOKUP($A71,'Data shares'!$C:$FA,118)</f>
        <v>0.65</v>
      </c>
      <c r="C71" s="143">
        <f>VLOOKUP($A71,'Data shares'!$C:$FA,119)</f>
        <v>0.71</v>
      </c>
      <c r="D71" s="143">
        <f>VLOOKUP($A71,'Data shares'!$C:$FA,121)*100</f>
        <v>-8.4500000000000011</v>
      </c>
      <c r="E71" s="143">
        <f>VLOOKUP($A71,'Data shares'!$C:$FA,124)</f>
        <v>0.25</v>
      </c>
      <c r="F71" s="143">
        <f>VLOOKUP($A71,'Data shares'!$C:$FA,125)</f>
        <v>0.31</v>
      </c>
      <c r="G71" s="143">
        <f>VLOOKUP($A71,'Data shares'!$C:$FA,127)*100</f>
        <v>-19.350000000000001</v>
      </c>
      <c r="H71" s="103">
        <f>VLOOKUP($A71,'OI(Volume)'!$A$7:$O$427,8)</f>
        <v>35985600</v>
      </c>
      <c r="I71" s="103">
        <f>VLOOKUP($A71,'OI(Volume)'!$A$7:$O$427,9)</f>
        <v>4948650</v>
      </c>
      <c r="J71" s="103">
        <f>VLOOKUP($A71,'OI(Volume)'!$A$7:$O$427,11)</f>
        <v>23287950</v>
      </c>
      <c r="K71" s="103">
        <f>VLOOKUP($A71,'OI(Volume)'!$A$7:$O$427,12)</f>
        <v>1121400</v>
      </c>
      <c r="L71" s="103">
        <f>VLOOKUP($A71,'OI(Value)'!$A$7:$O$306,8,0)</f>
        <v>639</v>
      </c>
      <c r="M71" s="103">
        <f>VLOOKUP($A71,'OI(Value)'!$A$7:$O$306,9,0)</f>
        <v>88</v>
      </c>
      <c r="N71" s="103">
        <f>VLOOKUP($A71,'OI(Value)'!$A$7:$O$306,11,0)</f>
        <v>414</v>
      </c>
      <c r="O71" s="103">
        <f>VLOOKUP($A71,'OI(Value)'!$A$7:$O$306,12,0)</f>
        <v>20</v>
      </c>
      <c r="P71" s="179">
        <f>VLOOKUP(A71,'OI(Value)'!A71:O272,8,0)</f>
        <v>639</v>
      </c>
      <c r="Q71" s="179">
        <f>VLOOKUP(A71,'OI(Value)'!A71:O272,9,0)</f>
        <v>88</v>
      </c>
      <c r="R71" s="179">
        <f>VLOOKUP(A71,'OI(Value)'!A71:O272,11,0)</f>
        <v>414</v>
      </c>
      <c r="S71" s="179">
        <f>VLOOKUP(A71,'OI(Value)'!A71:O272,11,0)</f>
        <v>414</v>
      </c>
    </row>
    <row r="72" spans="1:19" x14ac:dyDescent="0.25">
      <c r="A72" s="105" t="str">
        <f>'Data shares'!C67</f>
        <v>GLENMARK</v>
      </c>
      <c r="B72" s="143">
        <f>VLOOKUP($A72,'Data shares'!$C:$FA,118)</f>
        <v>0.69</v>
      </c>
      <c r="C72" s="143">
        <f>VLOOKUP($A72,'Data shares'!$C:$FA,119)</f>
        <v>0.73</v>
      </c>
      <c r="D72" s="143">
        <f>VLOOKUP($A72,'Data shares'!$C:$FA,121)*100</f>
        <v>-5.48</v>
      </c>
      <c r="E72" s="143">
        <f>VLOOKUP($A72,'Data shares'!$C:$FA,124)</f>
        <v>0.38</v>
      </c>
      <c r="F72" s="143">
        <f>VLOOKUP($A72,'Data shares'!$C:$FA,125)</f>
        <v>0.34</v>
      </c>
      <c r="G72" s="143">
        <f>VLOOKUP($A72,'Data shares'!$C:$FA,127)*100</f>
        <v>11.76</v>
      </c>
      <c r="H72" s="103">
        <f>VLOOKUP($A72,'OI(Volume)'!$A$7:$O$427,8)</f>
        <v>1380375</v>
      </c>
      <c r="I72" s="103">
        <f>VLOOKUP($A72,'OI(Volume)'!$A$7:$O$427,9)</f>
        <v>70125</v>
      </c>
      <c r="J72" s="103">
        <f>VLOOKUP($A72,'OI(Volume)'!$A$7:$O$427,11)</f>
        <v>958875</v>
      </c>
      <c r="K72" s="103">
        <f>VLOOKUP($A72,'OI(Volume)'!$A$7:$O$427,12)</f>
        <v>4500</v>
      </c>
      <c r="L72" s="103">
        <f>VLOOKUP($A72,'OI(Value)'!$A$7:$O$306,8,0)</f>
        <v>273</v>
      </c>
      <c r="M72" s="103">
        <f>VLOOKUP($A72,'OI(Value)'!$A$7:$O$306,9,0)</f>
        <v>14</v>
      </c>
      <c r="N72" s="103">
        <f>VLOOKUP($A72,'OI(Value)'!$A$7:$O$306,11,0)</f>
        <v>190</v>
      </c>
      <c r="O72" s="103">
        <f>VLOOKUP($A72,'OI(Value)'!$A$7:$O$306,12,0)</f>
        <v>1</v>
      </c>
      <c r="P72" s="179">
        <f>VLOOKUP(A72,'OI(Value)'!A72:O273,8,0)</f>
        <v>273</v>
      </c>
      <c r="Q72" s="179">
        <f>VLOOKUP(A72,'OI(Value)'!A72:O273,9,0)</f>
        <v>14</v>
      </c>
      <c r="R72" s="179">
        <f>VLOOKUP(A72,'OI(Value)'!A72:O273,11,0)</f>
        <v>190</v>
      </c>
      <c r="S72" s="179">
        <f>VLOOKUP(A72,'OI(Value)'!A72:O273,11,0)</f>
        <v>190</v>
      </c>
    </row>
    <row r="73" spans="1:19" x14ac:dyDescent="0.25">
      <c r="A73" s="105" t="str">
        <f>'Data shares'!C68</f>
        <v>GMRAIRPORT</v>
      </c>
      <c r="B73" s="143">
        <f>VLOOKUP($A73,'Data shares'!$C:$FA,118)</f>
        <v>0.51</v>
      </c>
      <c r="C73" s="143">
        <f>VLOOKUP($A73,'Data shares'!$C:$FA,119)</f>
        <v>0.53</v>
      </c>
      <c r="D73" s="143">
        <f>VLOOKUP($A73,'Data shares'!$C:$FA,121)*100</f>
        <v>-3.7699999999999996</v>
      </c>
      <c r="E73" s="143">
        <f>VLOOKUP($A73,'Data shares'!$C:$FA,124)</f>
        <v>0.37</v>
      </c>
      <c r="F73" s="143">
        <f>VLOOKUP($A73,'Data shares'!$C:$FA,125)</f>
        <v>0.39</v>
      </c>
      <c r="G73" s="143">
        <f>VLOOKUP($A73,'Data shares'!$C:$FA,127)*100</f>
        <v>-5.13</v>
      </c>
      <c r="H73" s="103">
        <f>VLOOKUP($A73,'OI(Volume)'!$A$7:$O$427,8)</f>
        <v>59217750</v>
      </c>
      <c r="I73" s="103">
        <f>VLOOKUP($A73,'OI(Volume)'!$A$7:$O$427,9)</f>
        <v>4066425</v>
      </c>
      <c r="J73" s="103">
        <f>VLOOKUP($A73,'OI(Volume)'!$A$7:$O$427,11)</f>
        <v>30466800</v>
      </c>
      <c r="K73" s="103">
        <f>VLOOKUP($A73,'OI(Volume)'!$A$7:$O$427,12)</f>
        <v>1478700</v>
      </c>
      <c r="L73" s="103">
        <f>VLOOKUP($A73,'OI(Value)'!$A$7:$O$306,8,0)</f>
        <v>527</v>
      </c>
      <c r="M73" s="103">
        <f>VLOOKUP($A73,'OI(Value)'!$A$7:$O$306,9,0)</f>
        <v>36</v>
      </c>
      <c r="N73" s="103">
        <f>VLOOKUP($A73,'OI(Value)'!$A$7:$O$306,11,0)</f>
        <v>271</v>
      </c>
      <c r="O73" s="103">
        <f>VLOOKUP($A73,'OI(Value)'!$A$7:$O$306,12,0)</f>
        <v>13</v>
      </c>
      <c r="P73" s="179">
        <f>VLOOKUP(A73,'OI(Value)'!A73:O274,8,0)</f>
        <v>527</v>
      </c>
      <c r="Q73" s="179">
        <f>VLOOKUP(A73,'OI(Value)'!A73:O274,9,0)</f>
        <v>36</v>
      </c>
      <c r="R73" s="179">
        <f>VLOOKUP(A73,'OI(Value)'!A73:O274,11,0)</f>
        <v>271</v>
      </c>
      <c r="S73" s="179">
        <f>VLOOKUP(A73,'OI(Value)'!A73:O274,11,0)</f>
        <v>271</v>
      </c>
    </row>
    <row r="74" spans="1:19" x14ac:dyDescent="0.25">
      <c r="A74" s="105" t="str">
        <f>'Data shares'!C69</f>
        <v>GODREJCP</v>
      </c>
      <c r="B74" s="143">
        <f>VLOOKUP($A74,'Data shares'!$C:$FA,118)</f>
        <v>0.71</v>
      </c>
      <c r="C74" s="143">
        <f>VLOOKUP($A74,'Data shares'!$C:$FA,119)</f>
        <v>0.65</v>
      </c>
      <c r="D74" s="143">
        <f>VLOOKUP($A74,'Data shares'!$C:$FA,121)*100</f>
        <v>9.2299999999999986</v>
      </c>
      <c r="E74" s="143">
        <f>VLOOKUP($A74,'Data shares'!$C:$FA,124)</f>
        <v>0.51</v>
      </c>
      <c r="F74" s="143">
        <f>VLOOKUP($A74,'Data shares'!$C:$FA,125)</f>
        <v>0.44</v>
      </c>
      <c r="G74" s="143">
        <f>VLOOKUP($A74,'Data shares'!$C:$FA,127)*100</f>
        <v>15.909999999999998</v>
      </c>
      <c r="H74" s="103">
        <f>VLOOKUP($A74,'OI(Volume)'!$A$7:$O$427,8)</f>
        <v>2386000</v>
      </c>
      <c r="I74" s="103">
        <f>VLOOKUP($A74,'OI(Volume)'!$A$7:$O$427,9)</f>
        <v>279000</v>
      </c>
      <c r="J74" s="103">
        <f>VLOOKUP($A74,'OI(Volume)'!$A$7:$O$427,11)</f>
        <v>1704500</v>
      </c>
      <c r="K74" s="103">
        <f>VLOOKUP($A74,'OI(Volume)'!$A$7:$O$427,12)</f>
        <v>329000</v>
      </c>
      <c r="L74" s="103">
        <f>VLOOKUP($A74,'OI(Value)'!$A$7:$O$306,8,0)</f>
        <v>274</v>
      </c>
      <c r="M74" s="103">
        <f>VLOOKUP($A74,'OI(Value)'!$A$7:$O$306,9,0)</f>
        <v>32</v>
      </c>
      <c r="N74" s="103">
        <f>VLOOKUP($A74,'OI(Value)'!$A$7:$O$306,11,0)</f>
        <v>196</v>
      </c>
      <c r="O74" s="103">
        <f>VLOOKUP($A74,'OI(Value)'!$A$7:$O$306,12,0)</f>
        <v>38</v>
      </c>
      <c r="P74" s="179">
        <f>VLOOKUP(A74,'OI(Value)'!A74:O275,8,0)</f>
        <v>274</v>
      </c>
      <c r="Q74" s="179">
        <f>VLOOKUP(A74,'OI(Value)'!A74:O275,9,0)</f>
        <v>32</v>
      </c>
      <c r="R74" s="179">
        <f>VLOOKUP(A74,'OI(Value)'!A74:O275,11,0)</f>
        <v>196</v>
      </c>
      <c r="S74" s="179">
        <f>VLOOKUP(A74,'OI(Value)'!A74:O275,11,0)</f>
        <v>196</v>
      </c>
    </row>
    <row r="75" spans="1:19" x14ac:dyDescent="0.25">
      <c r="A75" s="105" t="str">
        <f>'Data shares'!C70</f>
        <v>GODREJPROP</v>
      </c>
      <c r="B75" s="143">
        <f>VLOOKUP($A75,'Data shares'!$C:$FA,118)</f>
        <v>0.66</v>
      </c>
      <c r="C75" s="143">
        <f>VLOOKUP($A75,'Data shares'!$C:$FA,119)</f>
        <v>0.67</v>
      </c>
      <c r="D75" s="143">
        <f>VLOOKUP($A75,'Data shares'!$C:$FA,121)*100</f>
        <v>-1.49</v>
      </c>
      <c r="E75" s="143">
        <f>VLOOKUP($A75,'Data shares'!$C:$FA,124)</f>
        <v>0.33</v>
      </c>
      <c r="F75" s="143">
        <f>VLOOKUP($A75,'Data shares'!$C:$FA,125)</f>
        <v>0.35</v>
      </c>
      <c r="G75" s="143">
        <f>VLOOKUP($A75,'Data shares'!$C:$FA,127)*100</f>
        <v>-5.71</v>
      </c>
      <c r="H75" s="103">
        <f>VLOOKUP($A75,'OI(Volume)'!$A$7:$O$427,8)</f>
        <v>2451625</v>
      </c>
      <c r="I75" s="103">
        <f>VLOOKUP($A75,'OI(Volume)'!$A$7:$O$427,9)</f>
        <v>40425</v>
      </c>
      <c r="J75" s="103">
        <f>VLOOKUP($A75,'OI(Volume)'!$A$7:$O$427,11)</f>
        <v>1615350</v>
      </c>
      <c r="K75" s="103">
        <f>VLOOKUP($A75,'OI(Volume)'!$A$7:$O$427,12)</f>
        <v>-6600</v>
      </c>
      <c r="L75" s="103">
        <f>VLOOKUP($A75,'OI(Value)'!$A$7:$O$306,8,0)</f>
        <v>506</v>
      </c>
      <c r="M75" s="103">
        <f>VLOOKUP($A75,'OI(Value)'!$A$7:$O$306,9,0)</f>
        <v>8</v>
      </c>
      <c r="N75" s="103">
        <f>VLOOKUP($A75,'OI(Value)'!$A$7:$O$306,11,0)</f>
        <v>334</v>
      </c>
      <c r="O75" s="103">
        <f>VLOOKUP($A75,'OI(Value)'!$A$7:$O$306,12,0)</f>
        <v>-1</v>
      </c>
      <c r="P75" s="179">
        <f>VLOOKUP(A75,'OI(Value)'!A75:O276,8,0)</f>
        <v>506</v>
      </c>
      <c r="Q75" s="179">
        <f>VLOOKUP(A75,'OI(Value)'!A75:O276,9,0)</f>
        <v>8</v>
      </c>
      <c r="R75" s="179">
        <f>VLOOKUP(A75,'OI(Value)'!A75:O276,11,0)</f>
        <v>334</v>
      </c>
      <c r="S75" s="179">
        <f>VLOOKUP(A75,'OI(Value)'!A75:O276,11,0)</f>
        <v>334</v>
      </c>
    </row>
    <row r="76" spans="1:19" x14ac:dyDescent="0.25">
      <c r="A76" s="105" t="str">
        <f>'Data shares'!C71</f>
        <v>GRASIM</v>
      </c>
      <c r="B76" s="143">
        <f>VLOOKUP($A76,'Data shares'!$C:$FA,118)</f>
        <v>0.62</v>
      </c>
      <c r="C76" s="143">
        <f>VLOOKUP($A76,'Data shares'!$C:$FA,119)</f>
        <v>0.63</v>
      </c>
      <c r="D76" s="143">
        <f>VLOOKUP($A76,'Data shares'!$C:$FA,121)*100</f>
        <v>-1.59</v>
      </c>
      <c r="E76" s="143">
        <f>VLOOKUP($A76,'Data shares'!$C:$FA,124)</f>
        <v>0.48</v>
      </c>
      <c r="F76" s="143">
        <f>VLOOKUP($A76,'Data shares'!$C:$FA,125)</f>
        <v>0.52</v>
      </c>
      <c r="G76" s="143">
        <f>VLOOKUP($A76,'Data shares'!$C:$FA,127)*100</f>
        <v>-7.6899999999999995</v>
      </c>
      <c r="H76" s="103">
        <f>VLOOKUP($A76,'OI(Volume)'!$A$7:$O$427,8)</f>
        <v>1422000</v>
      </c>
      <c r="I76" s="103">
        <f>VLOOKUP($A76,'OI(Volume)'!$A$7:$O$427,9)</f>
        <v>146750</v>
      </c>
      <c r="J76" s="103">
        <f>VLOOKUP($A76,'OI(Volume)'!$A$7:$O$427,11)</f>
        <v>878500</v>
      </c>
      <c r="K76" s="103">
        <f>VLOOKUP($A76,'OI(Volume)'!$A$7:$O$427,12)</f>
        <v>80000</v>
      </c>
      <c r="L76" s="103">
        <f>VLOOKUP($A76,'OI(Value)'!$A$7:$O$306,8,0)</f>
        <v>402</v>
      </c>
      <c r="M76" s="103">
        <f>VLOOKUP($A76,'OI(Value)'!$A$7:$O$306,9,0)</f>
        <v>41</v>
      </c>
      <c r="N76" s="103">
        <f>VLOOKUP($A76,'OI(Value)'!$A$7:$O$306,11,0)</f>
        <v>248</v>
      </c>
      <c r="O76" s="103">
        <f>VLOOKUP($A76,'OI(Value)'!$A$7:$O$306,12,0)</f>
        <v>23</v>
      </c>
      <c r="P76" s="179">
        <f>VLOOKUP(A76,'OI(Value)'!A76:O277,8,0)</f>
        <v>402</v>
      </c>
      <c r="Q76" s="179">
        <f>VLOOKUP(A76,'OI(Value)'!A76:O277,9,0)</f>
        <v>41</v>
      </c>
      <c r="R76" s="179">
        <f>VLOOKUP(A76,'OI(Value)'!A76:O277,11,0)</f>
        <v>248</v>
      </c>
      <c r="S76" s="179">
        <f>VLOOKUP(A76,'OI(Value)'!A76:O277,11,0)</f>
        <v>248</v>
      </c>
    </row>
    <row r="77" spans="1:19" x14ac:dyDescent="0.25">
      <c r="A77" s="105" t="str">
        <f>'Data shares'!C72</f>
        <v>HAL</v>
      </c>
      <c r="B77" s="143">
        <f>VLOOKUP($A77,'Data shares'!$C:$FA,118)</f>
        <v>0.63</v>
      </c>
      <c r="C77" s="143">
        <f>VLOOKUP($A77,'Data shares'!$C:$FA,119)</f>
        <v>0.7</v>
      </c>
      <c r="D77" s="143">
        <f>VLOOKUP($A77,'Data shares'!$C:$FA,121)*100</f>
        <v>-10</v>
      </c>
      <c r="E77" s="143">
        <f>VLOOKUP($A77,'Data shares'!$C:$FA,124)</f>
        <v>0.28000000000000003</v>
      </c>
      <c r="F77" s="143">
        <f>VLOOKUP($A77,'Data shares'!$C:$FA,125)</f>
        <v>0.22</v>
      </c>
      <c r="G77" s="143">
        <f>VLOOKUP($A77,'Data shares'!$C:$FA,127)*100</f>
        <v>27.27</v>
      </c>
      <c r="H77" s="103">
        <f>VLOOKUP($A77,'OI(Volume)'!$A$7:$O$427,8)</f>
        <v>3567300</v>
      </c>
      <c r="I77" s="103">
        <f>VLOOKUP($A77,'OI(Volume)'!$A$7:$O$427,9)</f>
        <v>424650</v>
      </c>
      <c r="J77" s="103">
        <f>VLOOKUP($A77,'OI(Volume)'!$A$7:$O$427,11)</f>
        <v>2263800</v>
      </c>
      <c r="K77" s="103">
        <f>VLOOKUP($A77,'OI(Volume)'!$A$7:$O$427,12)</f>
        <v>48450</v>
      </c>
      <c r="L77" s="103">
        <f>VLOOKUP($A77,'OI(Value)'!$A$7:$O$306,8,0)</f>
        <v>1739</v>
      </c>
      <c r="M77" s="103">
        <f>VLOOKUP($A77,'OI(Value)'!$A$7:$O$306,9,0)</f>
        <v>207</v>
      </c>
      <c r="N77" s="103">
        <f>VLOOKUP($A77,'OI(Value)'!$A$7:$O$306,11,0)</f>
        <v>1103</v>
      </c>
      <c r="O77" s="103">
        <f>VLOOKUP($A77,'OI(Value)'!$A$7:$O$306,12,0)</f>
        <v>24</v>
      </c>
      <c r="P77" s="179">
        <f>VLOOKUP(A77,'OI(Value)'!A77:O278,8,0)</f>
        <v>1739</v>
      </c>
      <c r="Q77" s="179">
        <f>VLOOKUP(A77,'OI(Value)'!A77:O278,9,0)</f>
        <v>207</v>
      </c>
      <c r="R77" s="179">
        <f>VLOOKUP(A77,'OI(Value)'!A77:O278,11,0)</f>
        <v>1103</v>
      </c>
      <c r="S77" s="179">
        <f>VLOOKUP(A77,'OI(Value)'!A77:O278,11,0)</f>
        <v>1103</v>
      </c>
    </row>
    <row r="78" spans="1:19" x14ac:dyDescent="0.25">
      <c r="A78" s="105" t="str">
        <f>'Data shares'!C73</f>
        <v>HAVELLS</v>
      </c>
      <c r="B78" s="143">
        <f>VLOOKUP($A78,'Data shares'!$C:$FA,118)</f>
        <v>0.65</v>
      </c>
      <c r="C78" s="143">
        <f>VLOOKUP($A78,'Data shares'!$C:$FA,119)</f>
        <v>0.64</v>
      </c>
      <c r="D78" s="143">
        <f>VLOOKUP($A78,'Data shares'!$C:$FA,121)*100</f>
        <v>1.5599999999999998</v>
      </c>
      <c r="E78" s="143">
        <f>VLOOKUP($A78,'Data shares'!$C:$FA,124)</f>
        <v>0.41</v>
      </c>
      <c r="F78" s="143">
        <f>VLOOKUP($A78,'Data shares'!$C:$FA,125)</f>
        <v>0.38</v>
      </c>
      <c r="G78" s="143">
        <f>VLOOKUP($A78,'Data shares'!$C:$FA,127)*100</f>
        <v>7.89</v>
      </c>
      <c r="H78" s="103">
        <f>VLOOKUP($A78,'OI(Volume)'!$A$7:$O$427,8)</f>
        <v>2492000</v>
      </c>
      <c r="I78" s="103">
        <f>VLOOKUP($A78,'OI(Volume)'!$A$7:$O$427,9)</f>
        <v>157500</v>
      </c>
      <c r="J78" s="103">
        <f>VLOOKUP($A78,'OI(Volume)'!$A$7:$O$427,11)</f>
        <v>1613000</v>
      </c>
      <c r="K78" s="103">
        <f>VLOOKUP($A78,'OI(Volume)'!$A$7:$O$427,12)</f>
        <v>112000</v>
      </c>
      <c r="L78" s="103">
        <f>VLOOKUP($A78,'OI(Value)'!$A$7:$O$306,8,0)</f>
        <v>374</v>
      </c>
      <c r="M78" s="103">
        <f>VLOOKUP($A78,'OI(Value)'!$A$7:$O$306,9,0)</f>
        <v>24</v>
      </c>
      <c r="N78" s="103">
        <f>VLOOKUP($A78,'OI(Value)'!$A$7:$O$306,11,0)</f>
        <v>242</v>
      </c>
      <c r="O78" s="103">
        <f>VLOOKUP($A78,'OI(Value)'!$A$7:$O$306,12,0)</f>
        <v>17</v>
      </c>
      <c r="P78" s="179">
        <f>VLOOKUP(A78,'OI(Value)'!A78:O279,8,0)</f>
        <v>374</v>
      </c>
      <c r="Q78" s="179">
        <f>VLOOKUP(A78,'OI(Value)'!A78:O279,9,0)</f>
        <v>24</v>
      </c>
      <c r="R78" s="179">
        <f>VLOOKUP(A78,'OI(Value)'!A78:O279,11,0)</f>
        <v>242</v>
      </c>
      <c r="S78" s="179">
        <f>VLOOKUP(A78,'OI(Value)'!A78:O279,11,0)</f>
        <v>242</v>
      </c>
    </row>
    <row r="79" spans="1:19" x14ac:dyDescent="0.25">
      <c r="A79" s="105" t="str">
        <f>'Data shares'!C74</f>
        <v>HCLTECH</v>
      </c>
      <c r="B79" s="143">
        <f>VLOOKUP($A79,'Data shares'!$C:$FA,118)</f>
        <v>0.79</v>
      </c>
      <c r="C79" s="143">
        <f>VLOOKUP($A79,'Data shares'!$C:$FA,119)</f>
        <v>0.84</v>
      </c>
      <c r="D79" s="143">
        <f>VLOOKUP($A79,'Data shares'!$C:$FA,121)*100</f>
        <v>-5.9499999999999993</v>
      </c>
      <c r="E79" s="143">
        <f>VLOOKUP($A79,'Data shares'!$C:$FA,124)</f>
        <v>0.38</v>
      </c>
      <c r="F79" s="143">
        <f>VLOOKUP($A79,'Data shares'!$C:$FA,125)</f>
        <v>0.71</v>
      </c>
      <c r="G79" s="143">
        <f>VLOOKUP($A79,'Data shares'!$C:$FA,127)*100</f>
        <v>-46.48</v>
      </c>
      <c r="H79" s="103">
        <f>VLOOKUP($A79,'OI(Volume)'!$A$7:$O$427,8)</f>
        <v>5046300</v>
      </c>
      <c r="I79" s="103">
        <f>VLOOKUP($A79,'OI(Volume)'!$A$7:$O$427,9)</f>
        <v>475650</v>
      </c>
      <c r="J79" s="103">
        <f>VLOOKUP($A79,'OI(Volume)'!$A$7:$O$427,11)</f>
        <v>3961650</v>
      </c>
      <c r="K79" s="103">
        <f>VLOOKUP($A79,'OI(Volume)'!$A$7:$O$427,12)</f>
        <v>140000</v>
      </c>
      <c r="L79" s="103">
        <f>VLOOKUP($A79,'OI(Value)'!$A$7:$O$306,8,0)</f>
        <v>714</v>
      </c>
      <c r="M79" s="103">
        <f>VLOOKUP($A79,'OI(Value)'!$A$7:$O$306,9,0)</f>
        <v>67</v>
      </c>
      <c r="N79" s="103">
        <f>VLOOKUP($A79,'OI(Value)'!$A$7:$O$306,11,0)</f>
        <v>560</v>
      </c>
      <c r="O79" s="103">
        <f>VLOOKUP($A79,'OI(Value)'!$A$7:$O$306,12,0)</f>
        <v>20</v>
      </c>
      <c r="P79" s="179">
        <f>VLOOKUP(A79,'OI(Value)'!A79:O280,8,0)</f>
        <v>714</v>
      </c>
      <c r="Q79" s="179">
        <f>VLOOKUP(A79,'OI(Value)'!A79:O280,9,0)</f>
        <v>67</v>
      </c>
      <c r="R79" s="179">
        <f>VLOOKUP(A79,'OI(Value)'!A79:O280,11,0)</f>
        <v>560</v>
      </c>
      <c r="S79" s="179">
        <f>VLOOKUP(A79,'OI(Value)'!A79:O280,11,0)</f>
        <v>560</v>
      </c>
    </row>
    <row r="80" spans="1:19" x14ac:dyDescent="0.25">
      <c r="A80" s="105" t="str">
        <f>'Data shares'!C75</f>
        <v>HDFCAMC</v>
      </c>
      <c r="B80" s="143">
        <f>VLOOKUP($A80,'Data shares'!$C:$FA,118)</f>
        <v>0.89</v>
      </c>
      <c r="C80" s="143">
        <f>VLOOKUP($A80,'Data shares'!$C:$FA,119)</f>
        <v>0.94</v>
      </c>
      <c r="D80" s="143">
        <f>VLOOKUP($A80,'Data shares'!$C:$FA,121)*100</f>
        <v>-5.3199999999999994</v>
      </c>
      <c r="E80" s="143">
        <f>VLOOKUP($A80,'Data shares'!$C:$FA,124)</f>
        <v>0.37</v>
      </c>
      <c r="F80" s="143">
        <f>VLOOKUP($A80,'Data shares'!$C:$FA,125)</f>
        <v>0.38</v>
      </c>
      <c r="G80" s="143">
        <f>VLOOKUP($A80,'Data shares'!$C:$FA,127)*100</f>
        <v>-2.63</v>
      </c>
      <c r="H80" s="103">
        <f>VLOOKUP($A80,'OI(Volume)'!$A$7:$O$427,8)</f>
        <v>505650</v>
      </c>
      <c r="I80" s="103">
        <f>VLOOKUP($A80,'OI(Volume)'!$A$7:$O$427,9)</f>
        <v>24300</v>
      </c>
      <c r="J80" s="103">
        <f>VLOOKUP($A80,'OI(Volume)'!$A$7:$O$427,11)</f>
        <v>449850</v>
      </c>
      <c r="K80" s="103">
        <f>VLOOKUP($A80,'OI(Volume)'!$A$7:$O$427,12)</f>
        <v>-3600</v>
      </c>
      <c r="L80" s="103">
        <f>VLOOKUP($A80,'OI(Value)'!$A$7:$O$306,8,0)</f>
        <v>288</v>
      </c>
      <c r="M80" s="103">
        <f>VLOOKUP($A80,'OI(Value)'!$A$7:$O$306,9,0)</f>
        <v>14</v>
      </c>
      <c r="N80" s="103">
        <f>VLOOKUP($A80,'OI(Value)'!$A$7:$O$306,11,0)</f>
        <v>256</v>
      </c>
      <c r="O80" s="103">
        <f>VLOOKUP($A80,'OI(Value)'!$A$7:$O$306,12,0)</f>
        <v>-2</v>
      </c>
      <c r="P80" s="179">
        <f>VLOOKUP(A80,'OI(Value)'!A80:O281,8,0)</f>
        <v>288</v>
      </c>
      <c r="Q80" s="179">
        <f>VLOOKUP(A80,'OI(Value)'!A80:O281,9,0)</f>
        <v>14</v>
      </c>
      <c r="R80" s="179">
        <f>VLOOKUP(A80,'OI(Value)'!A80:O281,11,0)</f>
        <v>256</v>
      </c>
      <c r="S80" s="179">
        <f>VLOOKUP(A80,'OI(Value)'!A80:O281,11,0)</f>
        <v>256</v>
      </c>
    </row>
    <row r="81" spans="1:19" x14ac:dyDescent="0.25">
      <c r="A81" s="105" t="str">
        <f>'Data shares'!C76</f>
        <v>HDFCBANK</v>
      </c>
      <c r="B81" s="143">
        <f>VLOOKUP($A81,'Data shares'!$C:$FA,118)</f>
        <v>0.83</v>
      </c>
      <c r="C81" s="143">
        <f>VLOOKUP($A81,'Data shares'!$C:$FA,119)</f>
        <v>0.79</v>
      </c>
      <c r="D81" s="143">
        <f>VLOOKUP($A81,'Data shares'!$C:$FA,121)*100</f>
        <v>5.0599999999999996</v>
      </c>
      <c r="E81" s="143">
        <f>VLOOKUP($A81,'Data shares'!$C:$FA,124)</f>
        <v>0.57999999999999996</v>
      </c>
      <c r="F81" s="143">
        <f>VLOOKUP($A81,'Data shares'!$C:$FA,125)</f>
        <v>0.59</v>
      </c>
      <c r="G81" s="143">
        <f>VLOOKUP($A81,'Data shares'!$C:$FA,127)*100</f>
        <v>-1.69</v>
      </c>
      <c r="H81" s="103">
        <f>VLOOKUP($A81,'OI(Volume)'!$A$7:$O$427,8)</f>
        <v>29918900</v>
      </c>
      <c r="I81" s="103">
        <f>VLOOKUP($A81,'OI(Volume)'!$A$7:$O$427,9)</f>
        <v>20900</v>
      </c>
      <c r="J81" s="103">
        <f>VLOOKUP($A81,'OI(Volume)'!$A$7:$O$427,11)</f>
        <v>24740100</v>
      </c>
      <c r="K81" s="103">
        <f>VLOOKUP($A81,'OI(Volume)'!$A$7:$O$427,12)</f>
        <v>1248500</v>
      </c>
      <c r="L81" s="103">
        <f>VLOOKUP($A81,'OI(Value)'!$A$7:$O$306,8,0)</f>
        <v>2922</v>
      </c>
      <c r="M81" s="103">
        <f>VLOOKUP($A81,'OI(Value)'!$A$7:$O$306,9,0)</f>
        <v>2</v>
      </c>
      <c r="N81" s="103">
        <f>VLOOKUP($A81,'OI(Value)'!$A$7:$O$306,11,0)</f>
        <v>2416</v>
      </c>
      <c r="O81" s="103">
        <f>VLOOKUP($A81,'OI(Value)'!$A$7:$O$306,12,0)</f>
        <v>122</v>
      </c>
      <c r="P81" s="179">
        <f>VLOOKUP(A81,'OI(Value)'!A81:O282,8,0)</f>
        <v>2922</v>
      </c>
      <c r="Q81" s="179">
        <f>VLOOKUP(A81,'OI(Value)'!A81:O282,9,0)</f>
        <v>2</v>
      </c>
      <c r="R81" s="179">
        <f>VLOOKUP(A81,'OI(Value)'!A81:O282,11,0)</f>
        <v>2416</v>
      </c>
      <c r="S81" s="179">
        <f>VLOOKUP(A81,'OI(Value)'!A81:O282,11,0)</f>
        <v>2416</v>
      </c>
    </row>
    <row r="82" spans="1:19" x14ac:dyDescent="0.25">
      <c r="A82" s="105" t="str">
        <f>'Data shares'!C77</f>
        <v>HDFCLIFE</v>
      </c>
      <c r="B82" s="143">
        <f>VLOOKUP($A82,'Data shares'!$C:$FA,118)</f>
        <v>0.65</v>
      </c>
      <c r="C82" s="143">
        <f>VLOOKUP($A82,'Data shares'!$C:$FA,119)</f>
        <v>0.69</v>
      </c>
      <c r="D82" s="143">
        <f>VLOOKUP($A82,'Data shares'!$C:$FA,121)*100</f>
        <v>-5.8000000000000007</v>
      </c>
      <c r="E82" s="143">
        <f>VLOOKUP($A82,'Data shares'!$C:$FA,124)</f>
        <v>0.46</v>
      </c>
      <c r="F82" s="143">
        <f>VLOOKUP($A82,'Data shares'!$C:$FA,125)</f>
        <v>0.47</v>
      </c>
      <c r="G82" s="143">
        <f>VLOOKUP($A82,'Data shares'!$C:$FA,127)*100</f>
        <v>-2.13</v>
      </c>
      <c r="H82" s="103">
        <f>VLOOKUP($A82,'OI(Volume)'!$A$7:$O$427,8)</f>
        <v>6469100</v>
      </c>
      <c r="I82" s="103">
        <f>VLOOKUP($A82,'OI(Volume)'!$A$7:$O$427,9)</f>
        <v>979000</v>
      </c>
      <c r="J82" s="103">
        <f>VLOOKUP($A82,'OI(Volume)'!$A$7:$O$427,11)</f>
        <v>4173400</v>
      </c>
      <c r="K82" s="103">
        <f>VLOOKUP($A82,'OI(Volume)'!$A$7:$O$427,12)</f>
        <v>409200</v>
      </c>
      <c r="L82" s="103">
        <f>VLOOKUP($A82,'OI(Value)'!$A$7:$O$306,8,0)</f>
        <v>494</v>
      </c>
      <c r="M82" s="103">
        <f>VLOOKUP($A82,'OI(Value)'!$A$7:$O$306,9,0)</f>
        <v>75</v>
      </c>
      <c r="N82" s="103">
        <f>VLOOKUP($A82,'OI(Value)'!$A$7:$O$306,11,0)</f>
        <v>319</v>
      </c>
      <c r="O82" s="103">
        <f>VLOOKUP($A82,'OI(Value)'!$A$7:$O$306,12,0)</f>
        <v>31</v>
      </c>
      <c r="P82" s="179">
        <f>VLOOKUP(A82,'OI(Value)'!A82:O283,8,0)</f>
        <v>494</v>
      </c>
      <c r="Q82" s="179">
        <f>VLOOKUP(A82,'OI(Value)'!A82:O283,9,0)</f>
        <v>75</v>
      </c>
      <c r="R82" s="179">
        <f>VLOOKUP(A82,'OI(Value)'!A82:O283,11,0)</f>
        <v>319</v>
      </c>
      <c r="S82" s="179">
        <f>VLOOKUP(A82,'OI(Value)'!A82:O283,11,0)</f>
        <v>319</v>
      </c>
    </row>
    <row r="83" spans="1:19" x14ac:dyDescent="0.25">
      <c r="A83" s="105" t="str">
        <f>'Data shares'!C78</f>
        <v>HEROMOTOCO</v>
      </c>
      <c r="B83" s="143">
        <f>VLOOKUP($A83,'Data shares'!$C:$FA,118)</f>
        <v>0.78</v>
      </c>
      <c r="C83" s="143">
        <f>VLOOKUP($A83,'Data shares'!$C:$FA,119)</f>
        <v>0.75</v>
      </c>
      <c r="D83" s="143">
        <f>VLOOKUP($A83,'Data shares'!$C:$FA,121)*100</f>
        <v>4</v>
      </c>
      <c r="E83" s="143">
        <f>VLOOKUP($A83,'Data shares'!$C:$FA,124)</f>
        <v>0.51</v>
      </c>
      <c r="F83" s="143">
        <f>VLOOKUP($A83,'Data shares'!$C:$FA,125)</f>
        <v>0.46</v>
      </c>
      <c r="G83" s="143">
        <f>VLOOKUP($A83,'Data shares'!$C:$FA,127)*100</f>
        <v>10.870000000000001</v>
      </c>
      <c r="H83" s="103">
        <f>VLOOKUP($A83,'OI(Volume)'!$A$7:$O$427,8)</f>
        <v>2189400</v>
      </c>
      <c r="I83" s="103">
        <f>VLOOKUP($A83,'OI(Volume)'!$A$7:$O$427,9)</f>
        <v>7500</v>
      </c>
      <c r="J83" s="103">
        <f>VLOOKUP($A83,'OI(Volume)'!$A$7:$O$427,11)</f>
        <v>1704450</v>
      </c>
      <c r="K83" s="103">
        <f>VLOOKUP($A83,'OI(Volume)'!$A$7:$O$427,12)</f>
        <v>61200</v>
      </c>
      <c r="L83" s="103">
        <f>VLOOKUP($A83,'OI(Value)'!$A$7:$O$306,8,0)</f>
        <v>1229</v>
      </c>
      <c r="M83" s="103">
        <f>VLOOKUP($A83,'OI(Value)'!$A$7:$O$306,9,0)</f>
        <v>4</v>
      </c>
      <c r="N83" s="103">
        <f>VLOOKUP($A83,'OI(Value)'!$A$7:$O$306,11,0)</f>
        <v>957</v>
      </c>
      <c r="O83" s="103">
        <f>VLOOKUP($A83,'OI(Value)'!$A$7:$O$306,12,0)</f>
        <v>34</v>
      </c>
      <c r="P83" s="179">
        <f>VLOOKUP(A83,'OI(Value)'!A83:O284,8,0)</f>
        <v>1229</v>
      </c>
      <c r="Q83" s="179">
        <f>VLOOKUP(A83,'OI(Value)'!A83:O284,9,0)</f>
        <v>4</v>
      </c>
      <c r="R83" s="179">
        <f>VLOOKUP(A83,'OI(Value)'!A83:O284,11,0)</f>
        <v>957</v>
      </c>
      <c r="S83" s="179">
        <f>VLOOKUP(A83,'OI(Value)'!A83:O284,11,0)</f>
        <v>957</v>
      </c>
    </row>
    <row r="84" spans="1:19" x14ac:dyDescent="0.25">
      <c r="A84" s="105" t="str">
        <f>'Data shares'!C79</f>
        <v>HFCL</v>
      </c>
      <c r="B84" s="143">
        <f>VLOOKUP($A84,'Data shares'!$C:$FA,118)</f>
        <v>0.55000000000000004</v>
      </c>
      <c r="C84" s="143">
        <f>VLOOKUP($A84,'Data shares'!$C:$FA,119)</f>
        <v>0.63</v>
      </c>
      <c r="D84" s="143">
        <f>VLOOKUP($A84,'Data shares'!$C:$FA,121)*100</f>
        <v>-12.7</v>
      </c>
      <c r="E84" s="143">
        <f>VLOOKUP($A84,'Data shares'!$C:$FA,124)</f>
        <v>0.27</v>
      </c>
      <c r="F84" s="143">
        <f>VLOOKUP($A84,'Data shares'!$C:$FA,125)</f>
        <v>0.48</v>
      </c>
      <c r="G84" s="143">
        <f>VLOOKUP($A84,'Data shares'!$C:$FA,127)*100</f>
        <v>-43.75</v>
      </c>
      <c r="H84" s="103">
        <f>VLOOKUP($A84,'OI(Volume)'!$A$7:$O$427,8)</f>
        <v>33933450</v>
      </c>
      <c r="I84" s="103">
        <f>VLOOKUP($A84,'OI(Volume)'!$A$7:$O$427,9)</f>
        <v>4979400</v>
      </c>
      <c r="J84" s="103">
        <f>VLOOKUP($A84,'OI(Volume)'!$A$7:$O$427,11)</f>
        <v>18756600</v>
      </c>
      <c r="K84" s="103">
        <f>VLOOKUP($A84,'OI(Volume)'!$A$7:$O$427,12)</f>
        <v>625650</v>
      </c>
      <c r="L84" s="103">
        <f>VLOOKUP($A84,'OI(Value)'!$A$7:$O$306,8,0)</f>
        <v>253</v>
      </c>
      <c r="M84" s="103">
        <f>VLOOKUP($A84,'OI(Value)'!$A$7:$O$306,9,0)</f>
        <v>37</v>
      </c>
      <c r="N84" s="103">
        <f>VLOOKUP($A84,'OI(Value)'!$A$7:$O$306,11,0)</f>
        <v>140</v>
      </c>
      <c r="O84" s="103">
        <f>VLOOKUP($A84,'OI(Value)'!$A$7:$O$306,12,0)</f>
        <v>5</v>
      </c>
      <c r="P84" s="179">
        <f>VLOOKUP(A84,'OI(Value)'!A84:O285,8,0)</f>
        <v>253</v>
      </c>
      <c r="Q84" s="179">
        <f>VLOOKUP(A84,'OI(Value)'!A84:O285,9,0)</f>
        <v>37</v>
      </c>
      <c r="R84" s="179">
        <f>VLOOKUP(A84,'OI(Value)'!A84:O285,11,0)</f>
        <v>140</v>
      </c>
      <c r="S84" s="179">
        <f>VLOOKUP(A84,'OI(Value)'!A84:O285,11,0)</f>
        <v>140</v>
      </c>
    </row>
    <row r="85" spans="1:19" x14ac:dyDescent="0.25">
      <c r="A85" s="105" t="str">
        <f>'Data shares'!C80</f>
        <v>HINDALCO</v>
      </c>
      <c r="B85" s="143">
        <f>VLOOKUP($A85,'Data shares'!$C:$FA,118)</f>
        <v>0.78</v>
      </c>
      <c r="C85" s="143">
        <f>VLOOKUP($A85,'Data shares'!$C:$FA,119)</f>
        <v>0.82</v>
      </c>
      <c r="D85" s="143">
        <f>VLOOKUP($A85,'Data shares'!$C:$FA,121)*100</f>
        <v>-4.88</v>
      </c>
      <c r="E85" s="143">
        <f>VLOOKUP($A85,'Data shares'!$C:$FA,124)</f>
        <v>0.52</v>
      </c>
      <c r="F85" s="143">
        <f>VLOOKUP($A85,'Data shares'!$C:$FA,125)</f>
        <v>0.42</v>
      </c>
      <c r="G85" s="143">
        <f>VLOOKUP($A85,'Data shares'!$C:$FA,127)*100</f>
        <v>23.810000000000002</v>
      </c>
      <c r="H85" s="103">
        <f>VLOOKUP($A85,'OI(Volume)'!$A$7:$O$427,8)</f>
        <v>13599600</v>
      </c>
      <c r="I85" s="103">
        <f>VLOOKUP($A85,'OI(Volume)'!$A$7:$O$427,9)</f>
        <v>1220800</v>
      </c>
      <c r="J85" s="103">
        <f>VLOOKUP($A85,'OI(Volume)'!$A$7:$O$427,11)</f>
        <v>10595200</v>
      </c>
      <c r="K85" s="103">
        <f>VLOOKUP($A85,'OI(Volume)'!$A$7:$O$427,12)</f>
        <v>400400</v>
      </c>
      <c r="L85" s="103">
        <f>VLOOKUP($A85,'OI(Value)'!$A$7:$O$306,8,0)</f>
        <v>1062</v>
      </c>
      <c r="M85" s="103">
        <f>VLOOKUP($A85,'OI(Value)'!$A$7:$O$306,9,0)</f>
        <v>95</v>
      </c>
      <c r="N85" s="103">
        <f>VLOOKUP($A85,'OI(Value)'!$A$7:$O$306,11,0)</f>
        <v>828</v>
      </c>
      <c r="O85" s="103">
        <f>VLOOKUP($A85,'OI(Value)'!$A$7:$O$306,12,0)</f>
        <v>31</v>
      </c>
      <c r="P85" s="179">
        <f>VLOOKUP(A85,'OI(Value)'!A85:O286,8,0)</f>
        <v>1062</v>
      </c>
      <c r="Q85" s="179">
        <f>VLOOKUP(A85,'OI(Value)'!A85:O286,9,0)</f>
        <v>95</v>
      </c>
      <c r="R85" s="179">
        <f>VLOOKUP(A85,'OI(Value)'!A85:O286,11,0)</f>
        <v>828</v>
      </c>
      <c r="S85" s="179">
        <f>VLOOKUP(A85,'OI(Value)'!A85:O286,11,0)</f>
        <v>828</v>
      </c>
    </row>
    <row r="86" spans="1:19" x14ac:dyDescent="0.25">
      <c r="A86" s="105" t="str">
        <f>'Data shares'!C81</f>
        <v>HINDPETRO</v>
      </c>
      <c r="B86" s="143">
        <f>VLOOKUP($A86,'Data shares'!$C:$FA,118)</f>
        <v>0.56000000000000005</v>
      </c>
      <c r="C86" s="143">
        <f>VLOOKUP($A86,'Data shares'!$C:$FA,119)</f>
        <v>0.54</v>
      </c>
      <c r="D86" s="143">
        <f>VLOOKUP($A86,'Data shares'!$C:$FA,121)*100</f>
        <v>3.6999999999999997</v>
      </c>
      <c r="E86" s="143">
        <f>VLOOKUP($A86,'Data shares'!$C:$FA,124)</f>
        <v>0.48</v>
      </c>
      <c r="F86" s="143">
        <f>VLOOKUP($A86,'Data shares'!$C:$FA,125)</f>
        <v>0.44</v>
      </c>
      <c r="G86" s="143">
        <f>VLOOKUP($A86,'Data shares'!$C:$FA,127)*100</f>
        <v>9.09</v>
      </c>
      <c r="H86" s="103">
        <f>VLOOKUP($A86,'OI(Volume)'!$A$7:$O$427,8)</f>
        <v>16943175</v>
      </c>
      <c r="I86" s="103">
        <f>VLOOKUP($A86,'OI(Volume)'!$A$7:$O$427,9)</f>
        <v>959850</v>
      </c>
      <c r="J86" s="103">
        <f>VLOOKUP($A86,'OI(Volume)'!$A$7:$O$427,11)</f>
        <v>9547875</v>
      </c>
      <c r="K86" s="103">
        <f>VLOOKUP($A86,'OI(Volume)'!$A$7:$O$427,12)</f>
        <v>972000</v>
      </c>
      <c r="L86" s="103">
        <f>VLOOKUP($A86,'OI(Value)'!$A$7:$O$306,8,0)</f>
        <v>777</v>
      </c>
      <c r="M86" s="103">
        <f>VLOOKUP($A86,'OI(Value)'!$A$7:$O$306,9,0)</f>
        <v>44</v>
      </c>
      <c r="N86" s="103">
        <f>VLOOKUP($A86,'OI(Value)'!$A$7:$O$306,11,0)</f>
        <v>438</v>
      </c>
      <c r="O86" s="103">
        <f>VLOOKUP($A86,'OI(Value)'!$A$7:$O$306,12,0)</f>
        <v>45</v>
      </c>
      <c r="P86" s="179">
        <f>VLOOKUP(A86,'OI(Value)'!A86:O287,8,0)</f>
        <v>777</v>
      </c>
      <c r="Q86" s="179">
        <f>VLOOKUP(A86,'OI(Value)'!A86:O287,9,0)</f>
        <v>44</v>
      </c>
      <c r="R86" s="179">
        <f>VLOOKUP(A86,'OI(Value)'!A86:O287,11,0)</f>
        <v>438</v>
      </c>
      <c r="S86" s="179">
        <f>VLOOKUP(A86,'OI(Value)'!A86:O287,11,0)</f>
        <v>438</v>
      </c>
    </row>
    <row r="87" spans="1:19" x14ac:dyDescent="0.25">
      <c r="A87" s="105" t="str">
        <f>'Data shares'!C82</f>
        <v>HINDUNILVR</v>
      </c>
      <c r="B87" s="143">
        <f>VLOOKUP($A87,'Data shares'!$C:$FA,118)</f>
        <v>0.65</v>
      </c>
      <c r="C87" s="143">
        <f>VLOOKUP($A87,'Data shares'!$C:$FA,119)</f>
        <v>0.65</v>
      </c>
      <c r="D87" s="143">
        <f>VLOOKUP($A87,'Data shares'!$C:$FA,121)*100</f>
        <v>0</v>
      </c>
      <c r="E87" s="143">
        <f>VLOOKUP($A87,'Data shares'!$C:$FA,124)</f>
        <v>0.66</v>
      </c>
      <c r="F87" s="143">
        <f>VLOOKUP($A87,'Data shares'!$C:$FA,125)</f>
        <v>0.75</v>
      </c>
      <c r="G87" s="143">
        <f>VLOOKUP($A87,'Data shares'!$C:$FA,127)*100</f>
        <v>-12</v>
      </c>
      <c r="H87" s="103">
        <f>VLOOKUP($A87,'OI(Volume)'!$A$7:$O$427,8)</f>
        <v>3600300</v>
      </c>
      <c r="I87" s="103">
        <f>VLOOKUP($A87,'OI(Volume)'!$A$7:$O$427,9)</f>
        <v>-59700</v>
      </c>
      <c r="J87" s="103">
        <f>VLOOKUP($A87,'OI(Volume)'!$A$7:$O$427,11)</f>
        <v>2358000</v>
      </c>
      <c r="K87" s="103">
        <f>VLOOKUP($A87,'OI(Volume)'!$A$7:$O$427,12)</f>
        <v>-25500</v>
      </c>
      <c r="L87" s="103">
        <f>VLOOKUP($A87,'OI(Value)'!$A$7:$O$306,8,0)</f>
        <v>920</v>
      </c>
      <c r="M87" s="103">
        <f>VLOOKUP($A87,'OI(Value)'!$A$7:$O$306,9,0)</f>
        <v>-15</v>
      </c>
      <c r="N87" s="103">
        <f>VLOOKUP($A87,'OI(Value)'!$A$7:$O$306,11,0)</f>
        <v>603</v>
      </c>
      <c r="O87" s="103">
        <f>VLOOKUP($A87,'OI(Value)'!$A$7:$O$306,12,0)</f>
        <v>-7</v>
      </c>
      <c r="P87" s="179">
        <f>VLOOKUP(A87,'OI(Value)'!A87:O288,8,0)</f>
        <v>920</v>
      </c>
      <c r="Q87" s="179">
        <f>VLOOKUP(A87,'OI(Value)'!A87:O288,9,0)</f>
        <v>-15</v>
      </c>
      <c r="R87" s="179">
        <f>VLOOKUP(A87,'OI(Value)'!A87:O288,11,0)</f>
        <v>603</v>
      </c>
      <c r="S87" s="179">
        <f>VLOOKUP(A87,'OI(Value)'!A87:O288,11,0)</f>
        <v>603</v>
      </c>
    </row>
    <row r="88" spans="1:19" x14ac:dyDescent="0.25">
      <c r="A88" s="105" t="str">
        <f>'Data shares'!C83</f>
        <v>HINDZINC</v>
      </c>
      <c r="B88" s="143">
        <f>VLOOKUP($A88,'Data shares'!$C:$FA,118)</f>
        <v>0.56999999999999995</v>
      </c>
      <c r="C88" s="143">
        <f>VLOOKUP($A88,'Data shares'!$C:$FA,119)</f>
        <v>0.61</v>
      </c>
      <c r="D88" s="143">
        <f>VLOOKUP($A88,'Data shares'!$C:$FA,121)*100</f>
        <v>-6.5600000000000005</v>
      </c>
      <c r="E88" s="143">
        <f>VLOOKUP($A88,'Data shares'!$C:$FA,124)</f>
        <v>0.33</v>
      </c>
      <c r="F88" s="143">
        <f>VLOOKUP($A88,'Data shares'!$C:$FA,125)</f>
        <v>0.28999999999999998</v>
      </c>
      <c r="G88" s="143">
        <f>VLOOKUP($A88,'Data shares'!$C:$FA,127)*100</f>
        <v>13.79</v>
      </c>
      <c r="H88" s="103">
        <f>VLOOKUP($A88,'OI(Volume)'!$A$7:$O$427,8)</f>
        <v>15594250</v>
      </c>
      <c r="I88" s="103">
        <f>VLOOKUP($A88,'OI(Volume)'!$A$7:$O$427,9)</f>
        <v>1608425</v>
      </c>
      <c r="J88" s="103">
        <f>VLOOKUP($A88,'OI(Volume)'!$A$7:$O$427,11)</f>
        <v>8941275</v>
      </c>
      <c r="K88" s="103">
        <f>VLOOKUP($A88,'OI(Volume)'!$A$7:$O$427,12)</f>
        <v>390775</v>
      </c>
      <c r="L88" s="103">
        <f>VLOOKUP($A88,'OI(Value)'!$A$7:$O$306,8,0)</f>
        <v>769</v>
      </c>
      <c r="M88" s="103">
        <f>VLOOKUP($A88,'OI(Value)'!$A$7:$O$306,9,0)</f>
        <v>79</v>
      </c>
      <c r="N88" s="103">
        <f>VLOOKUP($A88,'OI(Value)'!$A$7:$O$306,11,0)</f>
        <v>441</v>
      </c>
      <c r="O88" s="103">
        <f>VLOOKUP($A88,'OI(Value)'!$A$7:$O$306,12,0)</f>
        <v>19</v>
      </c>
      <c r="P88" s="179">
        <f>VLOOKUP(A88,'OI(Value)'!A88:O289,8,0)</f>
        <v>769</v>
      </c>
      <c r="Q88" s="179">
        <f>VLOOKUP(A88,'OI(Value)'!A88:O289,9,0)</f>
        <v>79</v>
      </c>
      <c r="R88" s="179">
        <f>VLOOKUP(A88,'OI(Value)'!A88:O289,11,0)</f>
        <v>441</v>
      </c>
      <c r="S88" s="179">
        <f>VLOOKUP(A88,'OI(Value)'!A88:O289,11,0)</f>
        <v>441</v>
      </c>
    </row>
    <row r="89" spans="1:19" x14ac:dyDescent="0.25">
      <c r="A89" s="105" t="str">
        <f>'Data shares'!C84</f>
        <v>HUDCO</v>
      </c>
      <c r="B89" s="143">
        <f>VLOOKUP($A89,'Data shares'!$C:$FA,118)</f>
        <v>0.56999999999999995</v>
      </c>
      <c r="C89" s="143">
        <f>VLOOKUP($A89,'Data shares'!$C:$FA,119)</f>
        <v>0.6</v>
      </c>
      <c r="D89" s="143">
        <f>VLOOKUP($A89,'Data shares'!$C:$FA,121)*100</f>
        <v>-5</v>
      </c>
      <c r="E89" s="143">
        <f>VLOOKUP($A89,'Data shares'!$C:$FA,124)</f>
        <v>0.42</v>
      </c>
      <c r="F89" s="143">
        <f>VLOOKUP($A89,'Data shares'!$C:$FA,125)</f>
        <v>0.46</v>
      </c>
      <c r="G89" s="143">
        <f>VLOOKUP($A89,'Data shares'!$C:$FA,127)*100</f>
        <v>-8.6999999999999993</v>
      </c>
      <c r="H89" s="103">
        <f>VLOOKUP($A89,'OI(Volume)'!$A$7:$O$427,8)</f>
        <v>13153500</v>
      </c>
      <c r="I89" s="103">
        <f>VLOOKUP($A89,'OI(Volume)'!$A$7:$O$427,9)</f>
        <v>2106225</v>
      </c>
      <c r="J89" s="103">
        <f>VLOOKUP($A89,'OI(Volume)'!$A$7:$O$427,11)</f>
        <v>7528575</v>
      </c>
      <c r="K89" s="103">
        <f>VLOOKUP($A89,'OI(Volume)'!$A$7:$O$427,12)</f>
        <v>912975</v>
      </c>
      <c r="L89" s="103">
        <f>VLOOKUP($A89,'OI(Value)'!$A$7:$O$306,8,0)</f>
        <v>306</v>
      </c>
      <c r="M89" s="103">
        <f>VLOOKUP($A89,'OI(Value)'!$A$7:$O$306,9,0)</f>
        <v>49</v>
      </c>
      <c r="N89" s="103">
        <f>VLOOKUP($A89,'OI(Value)'!$A$7:$O$306,11,0)</f>
        <v>175</v>
      </c>
      <c r="O89" s="103">
        <f>VLOOKUP($A89,'OI(Value)'!$A$7:$O$306,12,0)</f>
        <v>21</v>
      </c>
      <c r="P89" s="179">
        <f>VLOOKUP(A89,'OI(Value)'!A89:O290,8,0)</f>
        <v>306</v>
      </c>
      <c r="Q89" s="179">
        <f>VLOOKUP(A89,'OI(Value)'!A89:O290,9,0)</f>
        <v>49</v>
      </c>
      <c r="R89" s="179">
        <f>VLOOKUP(A89,'OI(Value)'!A89:O290,11,0)</f>
        <v>175</v>
      </c>
      <c r="S89" s="179">
        <f>VLOOKUP(A89,'OI(Value)'!A89:O290,11,0)</f>
        <v>175</v>
      </c>
    </row>
    <row r="90" spans="1:19" x14ac:dyDescent="0.25">
      <c r="A90" s="105" t="str">
        <f>'Data shares'!C85</f>
        <v>ICICIBANK</v>
      </c>
      <c r="B90" s="143">
        <f>VLOOKUP($A90,'Data shares'!$C:$FA,118)</f>
        <v>0.75</v>
      </c>
      <c r="C90" s="143">
        <f>VLOOKUP($A90,'Data shares'!$C:$FA,119)</f>
        <v>0.8</v>
      </c>
      <c r="D90" s="143">
        <f>VLOOKUP($A90,'Data shares'!$C:$FA,121)*100</f>
        <v>-6.25</v>
      </c>
      <c r="E90" s="143">
        <f>VLOOKUP($A90,'Data shares'!$C:$FA,124)</f>
        <v>0.56000000000000005</v>
      </c>
      <c r="F90" s="143">
        <f>VLOOKUP($A90,'Data shares'!$C:$FA,125)</f>
        <v>0.63</v>
      </c>
      <c r="G90" s="143">
        <f>VLOOKUP($A90,'Data shares'!$C:$FA,127)*100</f>
        <v>-11.110000000000001</v>
      </c>
      <c r="H90" s="103">
        <f>VLOOKUP($A90,'OI(Volume)'!$A$7:$O$427,8)</f>
        <v>22659700</v>
      </c>
      <c r="I90" s="103">
        <f>VLOOKUP($A90,'OI(Volume)'!$A$7:$O$427,9)</f>
        <v>4313400</v>
      </c>
      <c r="J90" s="103">
        <f>VLOOKUP($A90,'OI(Volume)'!$A$7:$O$427,11)</f>
        <v>16943500</v>
      </c>
      <c r="K90" s="103">
        <f>VLOOKUP($A90,'OI(Volume)'!$A$7:$O$427,12)</f>
        <v>2352700</v>
      </c>
      <c r="L90" s="103">
        <f>VLOOKUP($A90,'OI(Value)'!$A$7:$O$306,8,0)</f>
        <v>3101</v>
      </c>
      <c r="M90" s="103">
        <f>VLOOKUP($A90,'OI(Value)'!$A$7:$O$306,9,0)</f>
        <v>590</v>
      </c>
      <c r="N90" s="103">
        <f>VLOOKUP($A90,'OI(Value)'!$A$7:$O$306,11,0)</f>
        <v>2318</v>
      </c>
      <c r="O90" s="103">
        <f>VLOOKUP($A90,'OI(Value)'!$A$7:$O$306,12,0)</f>
        <v>322</v>
      </c>
      <c r="P90" s="179">
        <f>VLOOKUP(A90,'OI(Value)'!A90:O291,8,0)</f>
        <v>3101</v>
      </c>
      <c r="Q90" s="179">
        <f>VLOOKUP(A90,'OI(Value)'!A90:O291,9,0)</f>
        <v>590</v>
      </c>
      <c r="R90" s="179">
        <f>VLOOKUP(A90,'OI(Value)'!A90:O291,11,0)</f>
        <v>2318</v>
      </c>
      <c r="S90" s="179">
        <f>VLOOKUP(A90,'OI(Value)'!A90:O291,11,0)</f>
        <v>2318</v>
      </c>
    </row>
    <row r="91" spans="1:19" x14ac:dyDescent="0.25">
      <c r="A91" s="105" t="str">
        <f>'Data shares'!C86</f>
        <v>ICICIGI</v>
      </c>
      <c r="B91" s="143">
        <f>VLOOKUP($A91,'Data shares'!$C:$FA,118)</f>
        <v>0.78</v>
      </c>
      <c r="C91" s="143">
        <f>VLOOKUP($A91,'Data shares'!$C:$FA,119)</f>
        <v>0.79</v>
      </c>
      <c r="D91" s="143">
        <f>VLOOKUP($A91,'Data shares'!$C:$FA,121)*100</f>
        <v>-1.27</v>
      </c>
      <c r="E91" s="143">
        <f>VLOOKUP($A91,'Data shares'!$C:$FA,124)</f>
        <v>0.27</v>
      </c>
      <c r="F91" s="143">
        <f>VLOOKUP($A91,'Data shares'!$C:$FA,125)</f>
        <v>0.39</v>
      </c>
      <c r="G91" s="143">
        <f>VLOOKUP($A91,'Data shares'!$C:$FA,127)*100</f>
        <v>-30.769999999999996</v>
      </c>
      <c r="H91" s="103">
        <f>VLOOKUP($A91,'OI(Volume)'!$A$7:$O$427,8)</f>
        <v>742950</v>
      </c>
      <c r="I91" s="103">
        <f>VLOOKUP($A91,'OI(Volume)'!$A$7:$O$427,9)</f>
        <v>48100</v>
      </c>
      <c r="J91" s="103">
        <f>VLOOKUP($A91,'OI(Volume)'!$A$7:$O$427,11)</f>
        <v>575900</v>
      </c>
      <c r="K91" s="103">
        <f>VLOOKUP($A91,'OI(Volume)'!$A$7:$O$427,12)</f>
        <v>27950</v>
      </c>
      <c r="L91" s="103">
        <f>VLOOKUP($A91,'OI(Value)'!$A$7:$O$306,8,0)</f>
        <v>144</v>
      </c>
      <c r="M91" s="103">
        <f>VLOOKUP($A91,'OI(Value)'!$A$7:$O$306,9,0)</f>
        <v>9</v>
      </c>
      <c r="N91" s="103">
        <f>VLOOKUP($A91,'OI(Value)'!$A$7:$O$306,11,0)</f>
        <v>111</v>
      </c>
      <c r="O91" s="103">
        <f>VLOOKUP($A91,'OI(Value)'!$A$7:$O$306,12,0)</f>
        <v>5</v>
      </c>
      <c r="P91" s="179">
        <f>VLOOKUP(A91,'OI(Value)'!A91:O292,8,0)</f>
        <v>144</v>
      </c>
      <c r="Q91" s="179">
        <f>VLOOKUP(A91,'OI(Value)'!A91:O292,9,0)</f>
        <v>9</v>
      </c>
      <c r="R91" s="179">
        <f>VLOOKUP(A91,'OI(Value)'!A91:O292,11,0)</f>
        <v>111</v>
      </c>
      <c r="S91" s="179">
        <f>VLOOKUP(A91,'OI(Value)'!A91:O292,11,0)</f>
        <v>111</v>
      </c>
    </row>
    <row r="92" spans="1:19" x14ac:dyDescent="0.25">
      <c r="A92" s="105" t="str">
        <f>'Data shares'!C87</f>
        <v>ICICIPRULI</v>
      </c>
      <c r="B92" s="143">
        <f>VLOOKUP($A92,'Data shares'!$C:$FA,118)</f>
        <v>0.8</v>
      </c>
      <c r="C92" s="143">
        <f>VLOOKUP($A92,'Data shares'!$C:$FA,119)</f>
        <v>0.83</v>
      </c>
      <c r="D92" s="143">
        <f>VLOOKUP($A92,'Data shares'!$C:$FA,121)*100</f>
        <v>-3.61</v>
      </c>
      <c r="E92" s="143">
        <f>VLOOKUP($A92,'Data shares'!$C:$FA,124)</f>
        <v>0.46</v>
      </c>
      <c r="F92" s="143">
        <f>VLOOKUP($A92,'Data shares'!$C:$FA,125)</f>
        <v>0.59</v>
      </c>
      <c r="G92" s="143">
        <f>VLOOKUP($A92,'Data shares'!$C:$FA,127)*100</f>
        <v>-22.03</v>
      </c>
      <c r="H92" s="103">
        <f>VLOOKUP($A92,'OI(Volume)'!$A$7:$O$427,8)</f>
        <v>2251450</v>
      </c>
      <c r="I92" s="103">
        <f>VLOOKUP($A92,'OI(Volume)'!$A$7:$O$427,9)</f>
        <v>157250</v>
      </c>
      <c r="J92" s="103">
        <f>VLOOKUP($A92,'OI(Volume)'!$A$7:$O$427,11)</f>
        <v>1797275</v>
      </c>
      <c r="K92" s="103">
        <f>VLOOKUP($A92,'OI(Volume)'!$A$7:$O$427,12)</f>
        <v>52725</v>
      </c>
      <c r="L92" s="103">
        <f>VLOOKUP($A92,'OI(Value)'!$A$7:$O$306,8,0)</f>
        <v>136</v>
      </c>
      <c r="M92" s="103">
        <f>VLOOKUP($A92,'OI(Value)'!$A$7:$O$306,9,0)</f>
        <v>10</v>
      </c>
      <c r="N92" s="103">
        <f>VLOOKUP($A92,'OI(Value)'!$A$7:$O$306,11,0)</f>
        <v>109</v>
      </c>
      <c r="O92" s="103">
        <f>VLOOKUP($A92,'OI(Value)'!$A$7:$O$306,12,0)</f>
        <v>3</v>
      </c>
      <c r="P92" s="179">
        <f>VLOOKUP(A92,'OI(Value)'!A92:O293,8,0)</f>
        <v>136</v>
      </c>
      <c r="Q92" s="179">
        <f>VLOOKUP(A92,'OI(Value)'!A92:O293,9,0)</f>
        <v>10</v>
      </c>
      <c r="R92" s="179">
        <f>VLOOKUP(A92,'OI(Value)'!A92:O293,11,0)</f>
        <v>109</v>
      </c>
      <c r="S92" s="179">
        <f>VLOOKUP(A92,'OI(Value)'!A92:O293,11,0)</f>
        <v>109</v>
      </c>
    </row>
    <row r="93" spans="1:19" x14ac:dyDescent="0.25">
      <c r="A93" s="105" t="str">
        <f>'Data shares'!C88</f>
        <v>IDEA</v>
      </c>
      <c r="B93" s="143">
        <f>VLOOKUP($A93,'Data shares'!$C:$FA,118)</f>
        <v>0.51</v>
      </c>
      <c r="C93" s="143">
        <f>VLOOKUP($A93,'Data shares'!$C:$FA,119)</f>
        <v>0.54</v>
      </c>
      <c r="D93" s="143">
        <f>VLOOKUP($A93,'Data shares'!$C:$FA,121)*100</f>
        <v>-5.56</v>
      </c>
      <c r="E93" s="143">
        <f>VLOOKUP($A93,'Data shares'!$C:$FA,124)</f>
        <v>0.31</v>
      </c>
      <c r="F93" s="143">
        <f>VLOOKUP($A93,'Data shares'!$C:$FA,125)</f>
        <v>0.18</v>
      </c>
      <c r="G93" s="143">
        <f>VLOOKUP($A93,'Data shares'!$C:$FA,127)*100</f>
        <v>72.22</v>
      </c>
      <c r="H93" s="103">
        <f>VLOOKUP($A93,'OI(Volume)'!$A$7:$O$427,8)</f>
        <v>2007732750</v>
      </c>
      <c r="I93" s="103">
        <f>VLOOKUP($A93,'OI(Volume)'!$A$7:$O$427,9)</f>
        <v>373957200</v>
      </c>
      <c r="J93" s="103">
        <f>VLOOKUP($A93,'OI(Volume)'!$A$7:$O$427,11)</f>
        <v>1022664300</v>
      </c>
      <c r="K93" s="103">
        <f>VLOOKUP($A93,'OI(Volume)'!$A$7:$O$427,12)</f>
        <v>136803150</v>
      </c>
      <c r="L93" s="103">
        <f>VLOOKUP($A93,'OI(Value)'!$A$7:$O$306,8,0)</f>
        <v>1709</v>
      </c>
      <c r="M93" s="103">
        <f>VLOOKUP($A93,'OI(Value)'!$A$7:$O$306,9,0)</f>
        <v>318</v>
      </c>
      <c r="N93" s="103">
        <f>VLOOKUP($A93,'OI(Value)'!$A$7:$O$306,11,0)</f>
        <v>870</v>
      </c>
      <c r="O93" s="103">
        <f>VLOOKUP($A93,'OI(Value)'!$A$7:$O$306,12,0)</f>
        <v>116</v>
      </c>
      <c r="P93" s="179">
        <f>VLOOKUP(A93,'OI(Value)'!A93:O294,8,0)</f>
        <v>1709</v>
      </c>
      <c r="Q93" s="179">
        <f>VLOOKUP(A93,'OI(Value)'!A93:O294,9,0)</f>
        <v>318</v>
      </c>
      <c r="R93" s="179">
        <f>VLOOKUP(A93,'OI(Value)'!A93:O294,11,0)</f>
        <v>870</v>
      </c>
      <c r="S93" s="179">
        <f>VLOOKUP(A93,'OI(Value)'!A93:O294,11,0)</f>
        <v>870</v>
      </c>
    </row>
    <row r="94" spans="1:19" x14ac:dyDescent="0.25">
      <c r="A94" s="105" t="str">
        <f>'Data shares'!C89</f>
        <v>IDFCFIRSTB</v>
      </c>
      <c r="B94" s="143">
        <f>VLOOKUP($A94,'Data shares'!$C:$FA,118)</f>
        <v>0.6</v>
      </c>
      <c r="C94" s="143">
        <f>VLOOKUP($A94,'Data shares'!$C:$FA,119)</f>
        <v>0.57999999999999996</v>
      </c>
      <c r="D94" s="143">
        <f>VLOOKUP($A94,'Data shares'!$C:$FA,121)*100</f>
        <v>3.45</v>
      </c>
      <c r="E94" s="143">
        <f>VLOOKUP($A94,'Data shares'!$C:$FA,124)</f>
        <v>0.48</v>
      </c>
      <c r="F94" s="143">
        <f>VLOOKUP($A94,'Data shares'!$C:$FA,125)</f>
        <v>0.39</v>
      </c>
      <c r="G94" s="143">
        <f>VLOOKUP($A94,'Data shares'!$C:$FA,127)*100</f>
        <v>23.080000000000002</v>
      </c>
      <c r="H94" s="103">
        <f>VLOOKUP($A94,'OI(Volume)'!$A$7:$O$427,8)</f>
        <v>124628175</v>
      </c>
      <c r="I94" s="103">
        <f>VLOOKUP($A94,'OI(Volume)'!$A$7:$O$427,9)</f>
        <v>3839850</v>
      </c>
      <c r="J94" s="103">
        <f>VLOOKUP($A94,'OI(Volume)'!$A$7:$O$427,11)</f>
        <v>74339125</v>
      </c>
      <c r="K94" s="103">
        <f>VLOOKUP($A94,'OI(Volume)'!$A$7:$O$427,12)</f>
        <v>4850825</v>
      </c>
      <c r="L94" s="103">
        <f>VLOOKUP($A94,'OI(Value)'!$A$7:$O$306,8,0)</f>
        <v>891</v>
      </c>
      <c r="M94" s="103">
        <f>VLOOKUP($A94,'OI(Value)'!$A$7:$O$306,9,0)</f>
        <v>27</v>
      </c>
      <c r="N94" s="103">
        <f>VLOOKUP($A94,'OI(Value)'!$A$7:$O$306,11,0)</f>
        <v>531</v>
      </c>
      <c r="O94" s="103">
        <f>VLOOKUP($A94,'OI(Value)'!$A$7:$O$306,12,0)</f>
        <v>35</v>
      </c>
      <c r="P94" s="179">
        <f>VLOOKUP(A94,'OI(Value)'!A94:O295,8,0)</f>
        <v>891</v>
      </c>
      <c r="Q94" s="179">
        <f>VLOOKUP(A94,'OI(Value)'!A94:O295,9,0)</f>
        <v>27</v>
      </c>
      <c r="R94" s="179">
        <f>VLOOKUP(A94,'OI(Value)'!A94:O295,11,0)</f>
        <v>531</v>
      </c>
      <c r="S94" s="179">
        <f>VLOOKUP(A94,'OI(Value)'!A94:O295,11,0)</f>
        <v>531</v>
      </c>
    </row>
    <row r="95" spans="1:19" x14ac:dyDescent="0.25">
      <c r="A95" s="105" t="str">
        <f>'Data shares'!C90</f>
        <v>IEX</v>
      </c>
      <c r="B95" s="143">
        <f>VLOOKUP($A95,'Data shares'!$C:$FA,118)</f>
        <v>0.8</v>
      </c>
      <c r="C95" s="143">
        <f>VLOOKUP($A95,'Data shares'!$C:$FA,119)</f>
        <v>0.85</v>
      </c>
      <c r="D95" s="143">
        <f>VLOOKUP($A95,'Data shares'!$C:$FA,121)*100</f>
        <v>-5.88</v>
      </c>
      <c r="E95" s="143">
        <f>VLOOKUP($A95,'Data shares'!$C:$FA,124)</f>
        <v>0.39</v>
      </c>
      <c r="F95" s="143">
        <f>VLOOKUP($A95,'Data shares'!$C:$FA,125)</f>
        <v>0.47</v>
      </c>
      <c r="G95" s="143">
        <f>VLOOKUP($A95,'Data shares'!$C:$FA,127)*100</f>
        <v>-17.02</v>
      </c>
      <c r="H95" s="103">
        <f>VLOOKUP($A95,'OI(Volume)'!$A$7:$O$427,8)</f>
        <v>22233750</v>
      </c>
      <c r="I95" s="103">
        <f>VLOOKUP($A95,'OI(Volume)'!$A$7:$O$427,9)</f>
        <v>1893750</v>
      </c>
      <c r="J95" s="103">
        <f>VLOOKUP($A95,'OI(Volume)'!$A$7:$O$427,11)</f>
        <v>17823750</v>
      </c>
      <c r="K95" s="103">
        <f>VLOOKUP($A95,'OI(Volume)'!$A$7:$O$427,12)</f>
        <v>566250</v>
      </c>
      <c r="L95" s="103">
        <f>VLOOKUP($A95,'OI(Value)'!$A$7:$O$306,8,0)</f>
        <v>319</v>
      </c>
      <c r="M95" s="103">
        <f>VLOOKUP($A95,'OI(Value)'!$A$7:$O$306,9,0)</f>
        <v>27</v>
      </c>
      <c r="N95" s="103">
        <f>VLOOKUP($A95,'OI(Value)'!$A$7:$O$306,11,0)</f>
        <v>256</v>
      </c>
      <c r="O95" s="103">
        <f>VLOOKUP($A95,'OI(Value)'!$A$7:$O$306,12,0)</f>
        <v>8</v>
      </c>
      <c r="P95" s="179">
        <f>VLOOKUP(A95,'OI(Value)'!A95:O296,8,0)</f>
        <v>319</v>
      </c>
      <c r="Q95" s="179">
        <f>VLOOKUP(A95,'OI(Value)'!A95:O296,9,0)</f>
        <v>27</v>
      </c>
      <c r="R95" s="179">
        <f>VLOOKUP(A95,'OI(Value)'!A95:O296,11,0)</f>
        <v>256</v>
      </c>
      <c r="S95" s="179">
        <f>VLOOKUP(A95,'OI(Value)'!A95:O296,11,0)</f>
        <v>256</v>
      </c>
    </row>
    <row r="96" spans="1:19" x14ac:dyDescent="0.25">
      <c r="A96" s="105" t="str">
        <f>'Data shares'!C91</f>
        <v>IGL</v>
      </c>
      <c r="B96" s="143">
        <f>VLOOKUP($A96,'Data shares'!$C:$FA,118)</f>
        <v>0.67</v>
      </c>
      <c r="C96" s="143">
        <f>VLOOKUP($A96,'Data shares'!$C:$FA,119)</f>
        <v>0.65</v>
      </c>
      <c r="D96" s="143">
        <f>VLOOKUP($A96,'Data shares'!$C:$FA,121)*100</f>
        <v>3.08</v>
      </c>
      <c r="E96" s="143">
        <f>VLOOKUP($A96,'Data shares'!$C:$FA,124)</f>
        <v>0.49</v>
      </c>
      <c r="F96" s="143">
        <f>VLOOKUP($A96,'Data shares'!$C:$FA,125)</f>
        <v>0.56000000000000005</v>
      </c>
      <c r="G96" s="143">
        <f>VLOOKUP($A96,'Data shares'!$C:$FA,127)*100</f>
        <v>-12.5</v>
      </c>
      <c r="H96" s="103">
        <f>VLOOKUP($A96,'OI(Volume)'!$A$7:$O$427,8)</f>
        <v>7463500</v>
      </c>
      <c r="I96" s="103">
        <f>VLOOKUP($A96,'OI(Volume)'!$A$7:$O$427,9)</f>
        <v>591250</v>
      </c>
      <c r="J96" s="103">
        <f>VLOOKUP($A96,'OI(Volume)'!$A$7:$O$427,11)</f>
        <v>4966500</v>
      </c>
      <c r="K96" s="103">
        <f>VLOOKUP($A96,'OI(Volume)'!$A$7:$O$427,12)</f>
        <v>528000</v>
      </c>
      <c r="L96" s="103">
        <f>VLOOKUP($A96,'OI(Value)'!$A$7:$O$306,8,0)</f>
        <v>156</v>
      </c>
      <c r="M96" s="103">
        <f>VLOOKUP($A96,'OI(Value)'!$A$7:$O$306,9,0)</f>
        <v>12</v>
      </c>
      <c r="N96" s="103">
        <f>VLOOKUP($A96,'OI(Value)'!$A$7:$O$306,11,0)</f>
        <v>104</v>
      </c>
      <c r="O96" s="103">
        <f>VLOOKUP($A96,'OI(Value)'!$A$7:$O$306,12,0)</f>
        <v>11</v>
      </c>
      <c r="P96" s="179">
        <f>VLOOKUP(A96,'OI(Value)'!A96:O297,8,0)</f>
        <v>156</v>
      </c>
      <c r="Q96" s="179">
        <f>VLOOKUP(A96,'OI(Value)'!A96:O297,9,0)</f>
        <v>12</v>
      </c>
      <c r="R96" s="179">
        <f>VLOOKUP(A96,'OI(Value)'!A96:O297,11,0)</f>
        <v>104</v>
      </c>
      <c r="S96" s="179">
        <f>VLOOKUP(A96,'OI(Value)'!A96:O297,11,0)</f>
        <v>104</v>
      </c>
    </row>
    <row r="97" spans="1:19" x14ac:dyDescent="0.25">
      <c r="A97" s="105" t="str">
        <f>'Data shares'!C92</f>
        <v>IIFL</v>
      </c>
      <c r="B97" s="143">
        <f>VLOOKUP($A97,'Data shares'!$C:$FA,118)</f>
        <v>0.46</v>
      </c>
      <c r="C97" s="143">
        <f>VLOOKUP($A97,'Data shares'!$C:$FA,119)</f>
        <v>0.46</v>
      </c>
      <c r="D97" s="143">
        <f>VLOOKUP($A97,'Data shares'!$C:$FA,121)*100</f>
        <v>0</v>
      </c>
      <c r="E97" s="143">
        <f>VLOOKUP($A97,'Data shares'!$C:$FA,124)</f>
        <v>0.2</v>
      </c>
      <c r="F97" s="143">
        <f>VLOOKUP($A97,'Data shares'!$C:$FA,125)</f>
        <v>0.25</v>
      </c>
      <c r="G97" s="143">
        <f>VLOOKUP($A97,'Data shares'!$C:$FA,127)*100</f>
        <v>-20</v>
      </c>
      <c r="H97" s="103">
        <f>VLOOKUP($A97,'OI(Volume)'!$A$7:$O$427,8)</f>
        <v>3917100</v>
      </c>
      <c r="I97" s="103">
        <f>VLOOKUP($A97,'OI(Volume)'!$A$7:$O$427,9)</f>
        <v>176550</v>
      </c>
      <c r="J97" s="103">
        <f>VLOOKUP($A97,'OI(Volume)'!$A$7:$O$427,11)</f>
        <v>1800150</v>
      </c>
      <c r="K97" s="103">
        <f>VLOOKUP($A97,'OI(Volume)'!$A$7:$O$427,12)</f>
        <v>92400</v>
      </c>
      <c r="L97" s="103">
        <f>VLOOKUP($A97,'OI(Value)'!$A$7:$O$306,8,0)</f>
        <v>185</v>
      </c>
      <c r="M97" s="103">
        <f>VLOOKUP($A97,'OI(Value)'!$A$7:$O$306,9,0)</f>
        <v>8</v>
      </c>
      <c r="N97" s="103">
        <f>VLOOKUP($A97,'OI(Value)'!$A$7:$O$306,11,0)</f>
        <v>85</v>
      </c>
      <c r="O97" s="103">
        <f>VLOOKUP($A97,'OI(Value)'!$A$7:$O$306,12,0)</f>
        <v>4</v>
      </c>
      <c r="P97" s="179">
        <f>VLOOKUP(A97,'OI(Value)'!A97:O298,8,0)</f>
        <v>185</v>
      </c>
      <c r="Q97" s="179">
        <f>VLOOKUP(A97,'OI(Value)'!A97:O298,9,0)</f>
        <v>8</v>
      </c>
      <c r="R97" s="179">
        <f>VLOOKUP(A97,'OI(Value)'!A97:O298,11,0)</f>
        <v>85</v>
      </c>
      <c r="S97" s="179">
        <f>VLOOKUP(A97,'OI(Value)'!A97:O298,11,0)</f>
        <v>85</v>
      </c>
    </row>
    <row r="98" spans="1:19" x14ac:dyDescent="0.25">
      <c r="A98" s="105" t="str">
        <f>'Data shares'!C93</f>
        <v>INDHOTEL</v>
      </c>
      <c r="B98" s="143">
        <f>VLOOKUP($A98,'Data shares'!$C:$FA,118)</f>
        <v>0.56999999999999995</v>
      </c>
      <c r="C98" s="143">
        <f>VLOOKUP($A98,'Data shares'!$C:$FA,119)</f>
        <v>0.61</v>
      </c>
      <c r="D98" s="143">
        <f>VLOOKUP($A98,'Data shares'!$C:$FA,121)*100</f>
        <v>-6.5600000000000005</v>
      </c>
      <c r="E98" s="143">
        <f>VLOOKUP($A98,'Data shares'!$C:$FA,124)</f>
        <v>0.22</v>
      </c>
      <c r="F98" s="143">
        <f>VLOOKUP($A98,'Data shares'!$C:$FA,125)</f>
        <v>0.39</v>
      </c>
      <c r="G98" s="143">
        <f>VLOOKUP($A98,'Data shares'!$C:$FA,127)*100</f>
        <v>-43.59</v>
      </c>
      <c r="H98" s="103">
        <f>VLOOKUP($A98,'OI(Volume)'!$A$7:$O$427,8)</f>
        <v>10982000</v>
      </c>
      <c r="I98" s="103">
        <f>VLOOKUP($A98,'OI(Volume)'!$A$7:$O$427,9)</f>
        <v>1041000</v>
      </c>
      <c r="J98" s="103">
        <f>VLOOKUP($A98,'OI(Volume)'!$A$7:$O$427,11)</f>
        <v>6284000</v>
      </c>
      <c r="K98" s="103">
        <f>VLOOKUP($A98,'OI(Volume)'!$A$7:$O$427,12)</f>
        <v>226000</v>
      </c>
      <c r="L98" s="103">
        <f>VLOOKUP($A98,'OI(Value)'!$A$7:$O$306,8,0)</f>
        <v>799</v>
      </c>
      <c r="M98" s="103">
        <f>VLOOKUP($A98,'OI(Value)'!$A$7:$O$306,9,0)</f>
        <v>76</v>
      </c>
      <c r="N98" s="103">
        <f>VLOOKUP($A98,'OI(Value)'!$A$7:$O$306,11,0)</f>
        <v>457</v>
      </c>
      <c r="O98" s="103">
        <f>VLOOKUP($A98,'OI(Value)'!$A$7:$O$306,12,0)</f>
        <v>16</v>
      </c>
      <c r="P98" s="179">
        <f>VLOOKUP(A98,'OI(Value)'!A98:O299,8,0)</f>
        <v>799</v>
      </c>
      <c r="Q98" s="179">
        <f>VLOOKUP(A98,'OI(Value)'!A98:O299,9,0)</f>
        <v>76</v>
      </c>
      <c r="R98" s="179">
        <f>VLOOKUP(A98,'OI(Value)'!A98:O299,11,0)</f>
        <v>457</v>
      </c>
      <c r="S98" s="179">
        <f>VLOOKUP(A98,'OI(Value)'!A98:O299,11,0)</f>
        <v>457</v>
      </c>
    </row>
    <row r="99" spans="1:19" x14ac:dyDescent="0.25">
      <c r="A99" s="105" t="str">
        <f>'Data shares'!C94</f>
        <v>INDIANB</v>
      </c>
      <c r="B99" s="143">
        <f>VLOOKUP($A99,'Data shares'!$C:$FA,118)</f>
        <v>0.89</v>
      </c>
      <c r="C99" s="143">
        <f>VLOOKUP($A99,'Data shares'!$C:$FA,119)</f>
        <v>0.91</v>
      </c>
      <c r="D99" s="143">
        <f>VLOOKUP($A99,'Data shares'!$C:$FA,121)*100</f>
        <v>-2.1999999999999997</v>
      </c>
      <c r="E99" s="143">
        <f>VLOOKUP($A99,'Data shares'!$C:$FA,124)</f>
        <v>0.38</v>
      </c>
      <c r="F99" s="143">
        <f>VLOOKUP($A99,'Data shares'!$C:$FA,125)</f>
        <v>0.34</v>
      </c>
      <c r="G99" s="143">
        <f>VLOOKUP($A99,'Data shares'!$C:$FA,127)*100</f>
        <v>11.76</v>
      </c>
      <c r="H99" s="103">
        <f>VLOOKUP($A99,'OI(Volume)'!$A$7:$O$427,8)</f>
        <v>2680000</v>
      </c>
      <c r="I99" s="103">
        <f>VLOOKUP($A99,'OI(Volume)'!$A$7:$O$427,9)</f>
        <v>163000</v>
      </c>
      <c r="J99" s="103">
        <f>VLOOKUP($A99,'OI(Volume)'!$A$7:$O$427,11)</f>
        <v>2389000</v>
      </c>
      <c r="K99" s="103">
        <f>VLOOKUP($A99,'OI(Volume)'!$A$7:$O$427,12)</f>
        <v>111000</v>
      </c>
      <c r="L99" s="103">
        <f>VLOOKUP($A99,'OI(Value)'!$A$7:$O$306,8,0)</f>
        <v>203</v>
      </c>
      <c r="M99" s="103">
        <f>VLOOKUP($A99,'OI(Value)'!$A$7:$O$306,9,0)</f>
        <v>12</v>
      </c>
      <c r="N99" s="103">
        <f>VLOOKUP($A99,'OI(Value)'!$A$7:$O$306,11,0)</f>
        <v>181</v>
      </c>
      <c r="O99" s="103">
        <f>VLOOKUP($A99,'OI(Value)'!$A$7:$O$306,12,0)</f>
        <v>8</v>
      </c>
      <c r="P99" s="179">
        <f>VLOOKUP(A99,'OI(Value)'!A99:O300,8,0)</f>
        <v>203</v>
      </c>
      <c r="Q99" s="179">
        <f>VLOOKUP(A99,'OI(Value)'!A99:O300,9,0)</f>
        <v>12</v>
      </c>
      <c r="R99" s="179">
        <f>VLOOKUP(A99,'OI(Value)'!A99:O300,11,0)</f>
        <v>181</v>
      </c>
      <c r="S99" s="179">
        <f>VLOOKUP(A99,'OI(Value)'!A99:O300,11,0)</f>
        <v>181</v>
      </c>
    </row>
    <row r="100" spans="1:19" x14ac:dyDescent="0.25">
      <c r="A100" s="105" t="str">
        <f>'Data shares'!C95</f>
        <v>INDIAVIX</v>
      </c>
      <c r="B100" s="143">
        <f>VLOOKUP($A100,'Data shares'!$C:$FA,118)</f>
        <v>0</v>
      </c>
      <c r="C100" s="143">
        <f>VLOOKUP($A100,'Data shares'!$C:$FA,119)</f>
        <v>0</v>
      </c>
      <c r="D100" s="143">
        <f>VLOOKUP($A100,'Data shares'!$C:$FA,121)*100</f>
        <v>0</v>
      </c>
      <c r="E100" s="143">
        <f>VLOOKUP($A100,'Data shares'!$C:$FA,124)</f>
        <v>0</v>
      </c>
      <c r="F100" s="143">
        <f>VLOOKUP($A100,'Data shares'!$C:$FA,125)</f>
        <v>0</v>
      </c>
      <c r="G100" s="143">
        <f>VLOOKUP($A100,'Data shares'!$C:$FA,127)*100</f>
        <v>0</v>
      </c>
      <c r="H100" s="103">
        <f>VLOOKUP($A100,'OI(Volume)'!$A$7:$O$427,8)</f>
        <v>0</v>
      </c>
      <c r="I100" s="103">
        <f>VLOOKUP($A100,'OI(Volume)'!$A$7:$O$427,9)</f>
        <v>0</v>
      </c>
      <c r="J100" s="103">
        <f>VLOOKUP($A100,'OI(Volume)'!$A$7:$O$427,11)</f>
        <v>0</v>
      </c>
      <c r="K100" s="103">
        <f>VLOOKUP($A100,'OI(Volume)'!$A$7:$O$427,12)</f>
        <v>0</v>
      </c>
      <c r="L100" s="103">
        <f>VLOOKUP($A100,'OI(Value)'!$A$7:$O$306,8,0)</f>
        <v>0</v>
      </c>
      <c r="M100" s="103">
        <f>VLOOKUP($A100,'OI(Value)'!$A$7:$O$306,9,0)</f>
        <v>0</v>
      </c>
      <c r="N100" s="103">
        <f>VLOOKUP($A100,'OI(Value)'!$A$7:$O$306,11,0)</f>
        <v>0</v>
      </c>
      <c r="O100" s="103">
        <f>VLOOKUP($A100,'OI(Value)'!$A$7:$O$306,12,0)</f>
        <v>0</v>
      </c>
      <c r="P100" s="179">
        <f>VLOOKUP(A100,'OI(Value)'!A100:O301,8,0)</f>
        <v>0</v>
      </c>
      <c r="Q100" s="179">
        <f>VLOOKUP(A100,'OI(Value)'!A100:O301,9,0)</f>
        <v>0</v>
      </c>
      <c r="R100" s="179">
        <f>VLOOKUP(A100,'OI(Value)'!A100:O301,11,0)</f>
        <v>0</v>
      </c>
      <c r="S100" s="179">
        <f>VLOOKUP(A100,'OI(Value)'!A100:O301,11,0)</f>
        <v>0</v>
      </c>
    </row>
    <row r="101" spans="1:19" x14ac:dyDescent="0.25">
      <c r="A101" s="105" t="str">
        <f>'Data shares'!C96</f>
        <v>INDIGO</v>
      </c>
      <c r="B101" s="143">
        <f>VLOOKUP($A101,'Data shares'!$C:$FA,118)</f>
        <v>0.72</v>
      </c>
      <c r="C101" s="143">
        <f>VLOOKUP($A101,'Data shares'!$C:$FA,119)</f>
        <v>0.71</v>
      </c>
      <c r="D101" s="143">
        <f>VLOOKUP($A101,'Data shares'!$C:$FA,121)*100</f>
        <v>1.41</v>
      </c>
      <c r="E101" s="143">
        <f>VLOOKUP($A101,'Data shares'!$C:$FA,124)</f>
        <v>0.48</v>
      </c>
      <c r="F101" s="143">
        <f>VLOOKUP($A101,'Data shares'!$C:$FA,125)</f>
        <v>0.33</v>
      </c>
      <c r="G101" s="143">
        <f>VLOOKUP($A101,'Data shares'!$C:$FA,127)*100</f>
        <v>45.45</v>
      </c>
      <c r="H101" s="103">
        <f>VLOOKUP($A101,'OI(Volume)'!$A$7:$O$427,8)</f>
        <v>1707600</v>
      </c>
      <c r="I101" s="103">
        <f>VLOOKUP($A101,'OI(Volume)'!$A$7:$O$427,9)</f>
        <v>50100</v>
      </c>
      <c r="J101" s="103">
        <f>VLOOKUP($A101,'OI(Volume)'!$A$7:$O$427,11)</f>
        <v>1222650</v>
      </c>
      <c r="K101" s="103">
        <f>VLOOKUP($A101,'OI(Volume)'!$A$7:$O$427,12)</f>
        <v>39750</v>
      </c>
      <c r="L101" s="103">
        <f>VLOOKUP($A101,'OI(Value)'!$A$7:$O$306,8,0)</f>
        <v>976</v>
      </c>
      <c r="M101" s="103">
        <f>VLOOKUP($A101,'OI(Value)'!$A$7:$O$306,9,0)</f>
        <v>29</v>
      </c>
      <c r="N101" s="103">
        <f>VLOOKUP($A101,'OI(Value)'!$A$7:$O$306,11,0)</f>
        <v>699</v>
      </c>
      <c r="O101" s="103">
        <f>VLOOKUP($A101,'OI(Value)'!$A$7:$O$306,12,0)</f>
        <v>23</v>
      </c>
      <c r="P101" s="179">
        <f>VLOOKUP(A101,'OI(Value)'!A101:O302,8,0)</f>
        <v>976</v>
      </c>
      <c r="Q101" s="179">
        <f>VLOOKUP(A101,'OI(Value)'!A101:O302,9,0)</f>
        <v>29</v>
      </c>
      <c r="R101" s="179">
        <f>VLOOKUP(A101,'OI(Value)'!A101:O302,11,0)</f>
        <v>699</v>
      </c>
      <c r="S101" s="179">
        <f>VLOOKUP(A101,'OI(Value)'!A101:O302,11,0)</f>
        <v>699</v>
      </c>
    </row>
    <row r="102" spans="1:19" x14ac:dyDescent="0.25">
      <c r="A102" s="105" t="str">
        <f>'Data shares'!C97</f>
        <v>INDUSINDBK</v>
      </c>
      <c r="B102" s="143">
        <f>VLOOKUP($A102,'Data shares'!$C:$FA,118)</f>
        <v>0.99</v>
      </c>
      <c r="C102" s="143">
        <f>VLOOKUP($A102,'Data shares'!$C:$FA,119)</f>
        <v>1.1000000000000001</v>
      </c>
      <c r="D102" s="143">
        <f>VLOOKUP($A102,'Data shares'!$C:$FA,121)*100</f>
        <v>-10</v>
      </c>
      <c r="E102" s="143">
        <f>VLOOKUP($A102,'Data shares'!$C:$FA,124)</f>
        <v>0.69</v>
      </c>
      <c r="F102" s="143">
        <f>VLOOKUP($A102,'Data shares'!$C:$FA,125)</f>
        <v>0.45</v>
      </c>
      <c r="G102" s="143">
        <f>VLOOKUP($A102,'Data shares'!$C:$FA,127)*100</f>
        <v>53.33</v>
      </c>
      <c r="H102" s="103">
        <f>VLOOKUP($A102,'OI(Volume)'!$A$7:$O$427,8)</f>
        <v>10465700</v>
      </c>
      <c r="I102" s="103">
        <f>VLOOKUP($A102,'OI(Volume)'!$A$7:$O$427,9)</f>
        <v>1077300</v>
      </c>
      <c r="J102" s="103">
        <f>VLOOKUP($A102,'OI(Volume)'!$A$7:$O$427,11)</f>
        <v>10327100</v>
      </c>
      <c r="K102" s="103">
        <f>VLOOKUP($A102,'OI(Volume)'!$A$7:$O$427,12)</f>
        <v>44800</v>
      </c>
      <c r="L102" s="103">
        <f>VLOOKUP($A102,'OI(Value)'!$A$7:$O$306,8,0)</f>
        <v>778</v>
      </c>
      <c r="M102" s="103">
        <f>VLOOKUP($A102,'OI(Value)'!$A$7:$O$306,9,0)</f>
        <v>80</v>
      </c>
      <c r="N102" s="103">
        <f>VLOOKUP($A102,'OI(Value)'!$A$7:$O$306,11,0)</f>
        <v>768</v>
      </c>
      <c r="O102" s="103">
        <f>VLOOKUP($A102,'OI(Value)'!$A$7:$O$306,12,0)</f>
        <v>3</v>
      </c>
      <c r="P102" s="179">
        <f>VLOOKUP(A102,'OI(Value)'!A102:O303,8,0)</f>
        <v>778</v>
      </c>
      <c r="Q102" s="179">
        <f>VLOOKUP(A102,'OI(Value)'!A102:O303,9,0)</f>
        <v>80</v>
      </c>
      <c r="R102" s="179">
        <f>VLOOKUP(A102,'OI(Value)'!A102:O303,11,0)</f>
        <v>768</v>
      </c>
      <c r="S102" s="179">
        <f>VLOOKUP(A102,'OI(Value)'!A102:O303,11,0)</f>
        <v>768</v>
      </c>
    </row>
    <row r="103" spans="1:19" x14ac:dyDescent="0.25">
      <c r="A103" s="105" t="str">
        <f>'Data shares'!C98</f>
        <v>INDUSTOWER</v>
      </c>
      <c r="B103" s="143">
        <f>VLOOKUP($A103,'Data shares'!$C:$FA,118)</f>
        <v>0.7</v>
      </c>
      <c r="C103" s="143">
        <f>VLOOKUP($A103,'Data shares'!$C:$FA,119)</f>
        <v>0.74</v>
      </c>
      <c r="D103" s="143">
        <f>VLOOKUP($A103,'Data shares'!$C:$FA,121)*100</f>
        <v>-5.41</v>
      </c>
      <c r="E103" s="143">
        <f>VLOOKUP($A103,'Data shares'!$C:$FA,124)</f>
        <v>0.4</v>
      </c>
      <c r="F103" s="143">
        <f>VLOOKUP($A103,'Data shares'!$C:$FA,125)</f>
        <v>0.47</v>
      </c>
      <c r="G103" s="143">
        <f>VLOOKUP($A103,'Data shares'!$C:$FA,127)*100</f>
        <v>-14.89</v>
      </c>
      <c r="H103" s="103">
        <f>VLOOKUP($A103,'OI(Volume)'!$A$7:$O$427,8)</f>
        <v>17198900</v>
      </c>
      <c r="I103" s="103">
        <f>VLOOKUP($A103,'OI(Volume)'!$A$7:$O$427,9)</f>
        <v>1497700</v>
      </c>
      <c r="J103" s="103">
        <f>VLOOKUP($A103,'OI(Volume)'!$A$7:$O$427,11)</f>
        <v>12002000</v>
      </c>
      <c r="K103" s="103">
        <f>VLOOKUP($A103,'OI(Volume)'!$A$7:$O$427,12)</f>
        <v>425000</v>
      </c>
      <c r="L103" s="103">
        <f>VLOOKUP($A103,'OI(Value)'!$A$7:$O$306,8,0)</f>
        <v>611</v>
      </c>
      <c r="M103" s="103">
        <f>VLOOKUP($A103,'OI(Value)'!$A$7:$O$306,9,0)</f>
        <v>53</v>
      </c>
      <c r="N103" s="103">
        <f>VLOOKUP($A103,'OI(Value)'!$A$7:$O$306,11,0)</f>
        <v>426</v>
      </c>
      <c r="O103" s="103">
        <f>VLOOKUP($A103,'OI(Value)'!$A$7:$O$306,12,0)</f>
        <v>15</v>
      </c>
      <c r="P103" s="179">
        <f>VLOOKUP(A103,'OI(Value)'!A103:O304,8,0)</f>
        <v>611</v>
      </c>
      <c r="Q103" s="179">
        <f>VLOOKUP(A103,'OI(Value)'!A103:O304,9,0)</f>
        <v>53</v>
      </c>
      <c r="R103" s="179">
        <f>VLOOKUP(A103,'OI(Value)'!A103:O304,11,0)</f>
        <v>426</v>
      </c>
      <c r="S103" s="179">
        <f>VLOOKUP(A103,'OI(Value)'!A103:O304,11,0)</f>
        <v>426</v>
      </c>
    </row>
    <row r="104" spans="1:19" x14ac:dyDescent="0.25">
      <c r="A104" s="105" t="str">
        <f>'Data shares'!C99</f>
        <v>INFY</v>
      </c>
      <c r="B104" s="143">
        <f>VLOOKUP($A104,'Data shares'!$C:$FA,118)</f>
        <v>0.88</v>
      </c>
      <c r="C104" s="143">
        <f>VLOOKUP($A104,'Data shares'!$C:$FA,119)</f>
        <v>0.88</v>
      </c>
      <c r="D104" s="143">
        <f>VLOOKUP($A104,'Data shares'!$C:$FA,121)*100</f>
        <v>0</v>
      </c>
      <c r="E104" s="143">
        <f>VLOOKUP($A104,'Data shares'!$C:$FA,124)</f>
        <v>0.5</v>
      </c>
      <c r="F104" s="143">
        <f>VLOOKUP($A104,'Data shares'!$C:$FA,125)</f>
        <v>0.52</v>
      </c>
      <c r="G104" s="143">
        <f>VLOOKUP($A104,'Data shares'!$C:$FA,127)*100</f>
        <v>-3.85</v>
      </c>
      <c r="H104" s="103">
        <f>VLOOKUP($A104,'OI(Volume)'!$A$7:$O$427,8)</f>
        <v>16860800</v>
      </c>
      <c r="I104" s="103">
        <f>VLOOKUP($A104,'OI(Volume)'!$A$7:$O$427,9)</f>
        <v>-282000</v>
      </c>
      <c r="J104" s="103">
        <f>VLOOKUP($A104,'OI(Volume)'!$A$7:$O$427,11)</f>
        <v>14902400</v>
      </c>
      <c r="K104" s="103">
        <f>VLOOKUP($A104,'OI(Volume)'!$A$7:$O$427,12)</f>
        <v>-144400</v>
      </c>
      <c r="L104" s="103">
        <f>VLOOKUP($A104,'OI(Value)'!$A$7:$O$306,8,0)</f>
        <v>2480</v>
      </c>
      <c r="M104" s="103">
        <f>VLOOKUP($A104,'OI(Value)'!$A$7:$O$306,9,0)</f>
        <v>-41</v>
      </c>
      <c r="N104" s="103">
        <f>VLOOKUP($A104,'OI(Value)'!$A$7:$O$306,11,0)</f>
        <v>2192</v>
      </c>
      <c r="O104" s="103">
        <f>VLOOKUP($A104,'OI(Value)'!$A$7:$O$306,12,0)</f>
        <v>-21</v>
      </c>
      <c r="P104" s="179">
        <f>VLOOKUP(A104,'OI(Value)'!A104:O305,8,0)</f>
        <v>2480</v>
      </c>
      <c r="Q104" s="179">
        <f>VLOOKUP(A104,'OI(Value)'!A104:O305,9,0)</f>
        <v>-41</v>
      </c>
      <c r="R104" s="179">
        <f>VLOOKUP(A104,'OI(Value)'!A104:O305,11,0)</f>
        <v>2192</v>
      </c>
      <c r="S104" s="179">
        <f>VLOOKUP(A104,'OI(Value)'!A104:O305,11,0)</f>
        <v>2192</v>
      </c>
    </row>
    <row r="105" spans="1:19" x14ac:dyDescent="0.25">
      <c r="A105" s="105" t="str">
        <f>'Data shares'!C100</f>
        <v>INOXWIND</v>
      </c>
      <c r="B105" s="143">
        <f>VLOOKUP($A105,'Data shares'!$C:$FA,118)</f>
        <v>0.55000000000000004</v>
      </c>
      <c r="C105" s="143">
        <f>VLOOKUP($A105,'Data shares'!$C:$FA,119)</f>
        <v>0.59</v>
      </c>
      <c r="D105" s="143">
        <f>VLOOKUP($A105,'Data shares'!$C:$FA,121)*100</f>
        <v>-6.78</v>
      </c>
      <c r="E105" s="143">
        <f>VLOOKUP($A105,'Data shares'!$C:$FA,124)</f>
        <v>0.34</v>
      </c>
      <c r="F105" s="143">
        <f>VLOOKUP($A105,'Data shares'!$C:$FA,125)</f>
        <v>0.16</v>
      </c>
      <c r="G105" s="143">
        <f>VLOOKUP($A105,'Data shares'!$C:$FA,127)*100</f>
        <v>112.5</v>
      </c>
      <c r="H105" s="103">
        <f>VLOOKUP($A105,'OI(Volume)'!$A$7:$O$427,8)</f>
        <v>13559168</v>
      </c>
      <c r="I105" s="103">
        <f>VLOOKUP($A105,'OI(Volume)'!$A$7:$O$427,9)</f>
        <v>1832320</v>
      </c>
      <c r="J105" s="103">
        <f>VLOOKUP($A105,'OI(Volume)'!$A$7:$O$427,11)</f>
        <v>7505968</v>
      </c>
      <c r="K105" s="103">
        <f>VLOOKUP($A105,'OI(Volume)'!$A$7:$O$427,12)</f>
        <v>634768</v>
      </c>
      <c r="L105" s="103">
        <f>VLOOKUP($A105,'OI(Value)'!$A$7:$O$306,8,0)</f>
        <v>190</v>
      </c>
      <c r="M105" s="103">
        <f>VLOOKUP($A105,'OI(Value)'!$A$7:$O$306,9,0)</f>
        <v>26</v>
      </c>
      <c r="N105" s="103">
        <f>VLOOKUP($A105,'OI(Value)'!$A$7:$O$306,11,0)</f>
        <v>105</v>
      </c>
      <c r="O105" s="103">
        <f>VLOOKUP($A105,'OI(Value)'!$A$7:$O$306,12,0)</f>
        <v>9</v>
      </c>
      <c r="P105" s="179">
        <f>VLOOKUP(A105,'OI(Value)'!A105:O306,8,0)</f>
        <v>190</v>
      </c>
      <c r="Q105" s="179">
        <f>VLOOKUP(A105,'OI(Value)'!A105:O306,9,0)</f>
        <v>26</v>
      </c>
      <c r="R105" s="179">
        <f>VLOOKUP(A105,'OI(Value)'!A105:O306,11,0)</f>
        <v>105</v>
      </c>
      <c r="S105" s="179">
        <f>VLOOKUP(A105,'OI(Value)'!A105:O306,11,0)</f>
        <v>105</v>
      </c>
    </row>
    <row r="106" spans="1:19" x14ac:dyDescent="0.25">
      <c r="A106" s="105" t="str">
        <f>'Data shares'!C101</f>
        <v>IOC</v>
      </c>
      <c r="B106" s="143">
        <f>VLOOKUP($A106,'Data shares'!$C:$FA,118)</f>
        <v>0.74</v>
      </c>
      <c r="C106" s="143">
        <f>VLOOKUP($A106,'Data shares'!$C:$FA,119)</f>
        <v>0.66</v>
      </c>
      <c r="D106" s="143">
        <f>VLOOKUP($A106,'Data shares'!$C:$FA,121)*100</f>
        <v>12.120000000000001</v>
      </c>
      <c r="E106" s="143">
        <f>VLOOKUP($A106,'Data shares'!$C:$FA,124)</f>
        <v>0.48</v>
      </c>
      <c r="F106" s="143">
        <f>VLOOKUP($A106,'Data shares'!$C:$FA,125)</f>
        <v>0.48</v>
      </c>
      <c r="G106" s="143">
        <f>VLOOKUP($A106,'Data shares'!$C:$FA,127)*100</f>
        <v>0</v>
      </c>
      <c r="H106" s="103">
        <f>VLOOKUP($A106,'OI(Volume)'!$A$7:$O$427,8)</f>
        <v>31697250</v>
      </c>
      <c r="I106" s="103">
        <f>VLOOKUP($A106,'OI(Volume)'!$A$7:$O$427,9)</f>
        <v>2081625</v>
      </c>
      <c r="J106" s="103">
        <f>VLOOKUP($A106,'OI(Volume)'!$A$7:$O$427,11)</f>
        <v>23487750</v>
      </c>
      <c r="K106" s="103">
        <f>VLOOKUP($A106,'OI(Volume)'!$A$7:$O$427,12)</f>
        <v>3973125</v>
      </c>
      <c r="L106" s="103">
        <f>VLOOKUP($A106,'OI(Value)'!$A$7:$O$306,8,0)</f>
        <v>494</v>
      </c>
      <c r="M106" s="103">
        <f>VLOOKUP($A106,'OI(Value)'!$A$7:$O$306,9,0)</f>
        <v>32</v>
      </c>
      <c r="N106" s="103">
        <f>VLOOKUP($A106,'OI(Value)'!$A$7:$O$306,11,0)</f>
        <v>366</v>
      </c>
      <c r="O106" s="103">
        <f>VLOOKUP($A106,'OI(Value)'!$A$7:$O$306,12,0)</f>
        <v>62</v>
      </c>
      <c r="P106" s="179">
        <f>VLOOKUP(A106,'OI(Value)'!A106:O307,8,0)</f>
        <v>494</v>
      </c>
      <c r="Q106" s="179">
        <f>VLOOKUP(A106,'OI(Value)'!A106:O307,9,0)</f>
        <v>32</v>
      </c>
      <c r="R106" s="179">
        <f>VLOOKUP(A106,'OI(Value)'!A106:O307,11,0)</f>
        <v>366</v>
      </c>
      <c r="S106" s="179">
        <f>VLOOKUP(A106,'OI(Value)'!A106:O307,11,0)</f>
        <v>366</v>
      </c>
    </row>
    <row r="107" spans="1:19" x14ac:dyDescent="0.25">
      <c r="A107" s="105" t="str">
        <f>'Data shares'!C102</f>
        <v>IRCTC</v>
      </c>
      <c r="B107" s="143">
        <f>VLOOKUP($A107,'Data shares'!$C:$FA,118)</f>
        <v>0.76</v>
      </c>
      <c r="C107" s="143">
        <f>VLOOKUP($A107,'Data shares'!$C:$FA,119)</f>
        <v>0.79</v>
      </c>
      <c r="D107" s="143">
        <f>VLOOKUP($A107,'Data shares'!$C:$FA,121)*100</f>
        <v>-3.8</v>
      </c>
      <c r="E107" s="143">
        <f>VLOOKUP($A107,'Data shares'!$C:$FA,124)</f>
        <v>0.34</v>
      </c>
      <c r="F107" s="143">
        <f>VLOOKUP($A107,'Data shares'!$C:$FA,125)</f>
        <v>0.36</v>
      </c>
      <c r="G107" s="143">
        <f>VLOOKUP($A107,'Data shares'!$C:$FA,127)*100</f>
        <v>-5.56</v>
      </c>
      <c r="H107" s="103">
        <f>VLOOKUP($A107,'OI(Volume)'!$A$7:$O$427,8)</f>
        <v>5333125</v>
      </c>
      <c r="I107" s="103">
        <f>VLOOKUP($A107,'OI(Volume)'!$A$7:$O$427,9)</f>
        <v>388500</v>
      </c>
      <c r="J107" s="103">
        <f>VLOOKUP($A107,'OI(Volume)'!$A$7:$O$427,11)</f>
        <v>4075750</v>
      </c>
      <c r="K107" s="103">
        <f>VLOOKUP($A107,'OI(Volume)'!$A$7:$O$427,12)</f>
        <v>175000</v>
      </c>
      <c r="L107" s="103">
        <f>VLOOKUP($A107,'OI(Value)'!$A$7:$O$306,8,0)</f>
        <v>381</v>
      </c>
      <c r="M107" s="103">
        <f>VLOOKUP($A107,'OI(Value)'!$A$7:$O$306,9,0)</f>
        <v>28</v>
      </c>
      <c r="N107" s="103">
        <f>VLOOKUP($A107,'OI(Value)'!$A$7:$O$306,11,0)</f>
        <v>291</v>
      </c>
      <c r="O107" s="103">
        <f>VLOOKUP($A107,'OI(Value)'!$A$7:$O$306,12,0)</f>
        <v>12</v>
      </c>
      <c r="P107" s="179">
        <f>VLOOKUP(A107,'OI(Value)'!A107:O308,8,0)</f>
        <v>381</v>
      </c>
      <c r="Q107" s="179">
        <f>VLOOKUP(A107,'OI(Value)'!A107:O308,9,0)</f>
        <v>28</v>
      </c>
      <c r="R107" s="179">
        <f>VLOOKUP(A107,'OI(Value)'!A107:O308,11,0)</f>
        <v>291</v>
      </c>
      <c r="S107" s="179">
        <f>VLOOKUP(A107,'OI(Value)'!A107:O308,11,0)</f>
        <v>291</v>
      </c>
    </row>
    <row r="108" spans="1:19" x14ac:dyDescent="0.25">
      <c r="A108" s="105" t="str">
        <f>'Data shares'!C103</f>
        <v>IREDA</v>
      </c>
      <c r="B108" s="143">
        <f>VLOOKUP($A108,'Data shares'!$C:$FA,118)</f>
        <v>0.42</v>
      </c>
      <c r="C108" s="143">
        <f>VLOOKUP($A108,'Data shares'!$C:$FA,119)</f>
        <v>0.42</v>
      </c>
      <c r="D108" s="143">
        <f>VLOOKUP($A108,'Data shares'!$C:$FA,121)*100</f>
        <v>0</v>
      </c>
      <c r="E108" s="143">
        <f>VLOOKUP($A108,'Data shares'!$C:$FA,124)</f>
        <v>0.27</v>
      </c>
      <c r="F108" s="143">
        <f>VLOOKUP($A108,'Data shares'!$C:$FA,125)</f>
        <v>0.28000000000000003</v>
      </c>
      <c r="G108" s="143">
        <f>VLOOKUP($A108,'Data shares'!$C:$FA,127)*100</f>
        <v>-3.5700000000000003</v>
      </c>
      <c r="H108" s="103">
        <f>VLOOKUP($A108,'OI(Volume)'!$A$7:$O$427,8)</f>
        <v>27938100</v>
      </c>
      <c r="I108" s="103">
        <f>VLOOKUP($A108,'OI(Volume)'!$A$7:$O$427,9)</f>
        <v>4702350</v>
      </c>
      <c r="J108" s="103">
        <f>VLOOKUP($A108,'OI(Volume)'!$A$7:$O$427,11)</f>
        <v>11633400</v>
      </c>
      <c r="K108" s="103">
        <f>VLOOKUP($A108,'OI(Volume)'!$A$7:$O$427,12)</f>
        <v>1780200</v>
      </c>
      <c r="L108" s="103">
        <f>VLOOKUP($A108,'OI(Value)'!$A$7:$O$306,8,0)</f>
        <v>422</v>
      </c>
      <c r="M108" s="103">
        <f>VLOOKUP($A108,'OI(Value)'!$A$7:$O$306,9,0)</f>
        <v>71</v>
      </c>
      <c r="N108" s="103">
        <f>VLOOKUP($A108,'OI(Value)'!$A$7:$O$306,11,0)</f>
        <v>176</v>
      </c>
      <c r="O108" s="103">
        <f>VLOOKUP($A108,'OI(Value)'!$A$7:$O$306,12,0)</f>
        <v>27</v>
      </c>
      <c r="P108" s="179">
        <f>VLOOKUP(A108,'OI(Value)'!A108:O309,8,0)</f>
        <v>422</v>
      </c>
      <c r="Q108" s="179">
        <f>VLOOKUP(A108,'OI(Value)'!A108:O309,9,0)</f>
        <v>71</v>
      </c>
      <c r="R108" s="179">
        <f>VLOOKUP(A108,'OI(Value)'!A108:O309,11,0)</f>
        <v>176</v>
      </c>
      <c r="S108" s="179">
        <f>VLOOKUP(A108,'OI(Value)'!A108:O309,11,0)</f>
        <v>176</v>
      </c>
    </row>
    <row r="109" spans="1:19" x14ac:dyDescent="0.25">
      <c r="A109" s="105" t="str">
        <f>'Data shares'!C104</f>
        <v>IRFC</v>
      </c>
      <c r="B109" s="143">
        <f>VLOOKUP($A109,'Data shares'!$C:$FA,118)</f>
        <v>0.55000000000000004</v>
      </c>
      <c r="C109" s="143">
        <f>VLOOKUP($A109,'Data shares'!$C:$FA,119)</f>
        <v>0.56000000000000005</v>
      </c>
      <c r="D109" s="143">
        <f>VLOOKUP($A109,'Data shares'!$C:$FA,121)*100</f>
        <v>-1.79</v>
      </c>
      <c r="E109" s="143">
        <f>VLOOKUP($A109,'Data shares'!$C:$FA,124)</f>
        <v>0.31</v>
      </c>
      <c r="F109" s="143">
        <f>VLOOKUP($A109,'Data shares'!$C:$FA,125)</f>
        <v>0.35</v>
      </c>
      <c r="G109" s="143">
        <f>VLOOKUP($A109,'Data shares'!$C:$FA,127)*100</f>
        <v>-11.43</v>
      </c>
      <c r="H109" s="103">
        <f>VLOOKUP($A109,'OI(Volume)'!$A$7:$O$427,8)</f>
        <v>18049750</v>
      </c>
      <c r="I109" s="103">
        <f>VLOOKUP($A109,'OI(Volume)'!$A$7:$O$427,9)</f>
        <v>1202750</v>
      </c>
      <c r="J109" s="103">
        <f>VLOOKUP($A109,'OI(Volume)'!$A$7:$O$427,11)</f>
        <v>9838750</v>
      </c>
      <c r="K109" s="103">
        <f>VLOOKUP($A109,'OI(Volume)'!$A$7:$O$427,12)</f>
        <v>408000</v>
      </c>
      <c r="L109" s="103">
        <f>VLOOKUP($A109,'OI(Value)'!$A$7:$O$306,8,0)</f>
        <v>227</v>
      </c>
      <c r="M109" s="103">
        <f>VLOOKUP($A109,'OI(Value)'!$A$7:$O$306,9,0)</f>
        <v>15</v>
      </c>
      <c r="N109" s="103">
        <f>VLOOKUP($A109,'OI(Value)'!$A$7:$O$306,11,0)</f>
        <v>124</v>
      </c>
      <c r="O109" s="103">
        <f>VLOOKUP($A109,'OI(Value)'!$A$7:$O$306,12,0)</f>
        <v>5</v>
      </c>
      <c r="P109" s="179">
        <f>VLOOKUP(A109,'OI(Value)'!A109:O310,8,0)</f>
        <v>227</v>
      </c>
      <c r="Q109" s="179">
        <f>VLOOKUP(A109,'OI(Value)'!A109:O310,9,0)</f>
        <v>15</v>
      </c>
      <c r="R109" s="179">
        <f>VLOOKUP(A109,'OI(Value)'!A109:O310,11,0)</f>
        <v>124</v>
      </c>
      <c r="S109" s="179">
        <f>VLOOKUP(A109,'OI(Value)'!A109:O310,11,0)</f>
        <v>124</v>
      </c>
    </row>
    <row r="110" spans="1:19" x14ac:dyDescent="0.25">
      <c r="A110" s="105" t="str">
        <f>'Data shares'!C105</f>
        <v>ITC</v>
      </c>
      <c r="B110" s="143">
        <f>VLOOKUP($A110,'Data shares'!$C:$FA,118)</f>
        <v>0.7</v>
      </c>
      <c r="C110" s="143">
        <f>VLOOKUP($A110,'Data shares'!$C:$FA,119)</f>
        <v>0.7</v>
      </c>
      <c r="D110" s="143">
        <f>VLOOKUP($A110,'Data shares'!$C:$FA,121)*100</f>
        <v>0</v>
      </c>
      <c r="E110" s="143">
        <f>VLOOKUP($A110,'Data shares'!$C:$FA,124)</f>
        <v>0.53</v>
      </c>
      <c r="F110" s="143">
        <f>VLOOKUP($A110,'Data shares'!$C:$FA,125)</f>
        <v>0.59</v>
      </c>
      <c r="G110" s="143">
        <f>VLOOKUP($A110,'Data shares'!$C:$FA,127)*100</f>
        <v>-10.17</v>
      </c>
      <c r="H110" s="103">
        <f>VLOOKUP($A110,'OI(Volume)'!$A$7:$O$427,8)</f>
        <v>40446400</v>
      </c>
      <c r="I110" s="103">
        <f>VLOOKUP($A110,'OI(Volume)'!$A$7:$O$427,9)</f>
        <v>5184000</v>
      </c>
      <c r="J110" s="103">
        <f>VLOOKUP($A110,'OI(Volume)'!$A$7:$O$427,11)</f>
        <v>28292800</v>
      </c>
      <c r="K110" s="103">
        <f>VLOOKUP($A110,'OI(Volume)'!$A$7:$O$427,12)</f>
        <v>3564800</v>
      </c>
      <c r="L110" s="103">
        <f>VLOOKUP($A110,'OI(Value)'!$A$7:$O$306,8,0)</f>
        <v>1631</v>
      </c>
      <c r="M110" s="103">
        <f>VLOOKUP($A110,'OI(Value)'!$A$7:$O$306,9,0)</f>
        <v>209</v>
      </c>
      <c r="N110" s="103">
        <f>VLOOKUP($A110,'OI(Value)'!$A$7:$O$306,11,0)</f>
        <v>1141</v>
      </c>
      <c r="O110" s="103">
        <f>VLOOKUP($A110,'OI(Value)'!$A$7:$O$306,12,0)</f>
        <v>144</v>
      </c>
      <c r="P110" s="179">
        <f>VLOOKUP(A110,'OI(Value)'!A110:O311,8,0)</f>
        <v>1631</v>
      </c>
      <c r="Q110" s="179">
        <f>VLOOKUP(A110,'OI(Value)'!A110:O311,9,0)</f>
        <v>209</v>
      </c>
      <c r="R110" s="179">
        <f>VLOOKUP(A110,'OI(Value)'!A110:O311,11,0)</f>
        <v>1141</v>
      </c>
      <c r="S110" s="179">
        <f>VLOOKUP(A110,'OI(Value)'!A110:O311,11,0)</f>
        <v>1141</v>
      </c>
    </row>
    <row r="111" spans="1:19" x14ac:dyDescent="0.25">
      <c r="A111" s="105" t="str">
        <f>'Data shares'!C106</f>
        <v>JINDALSTEL</v>
      </c>
      <c r="B111" s="143">
        <f>VLOOKUP($A111,'Data shares'!$C:$FA,118)</f>
        <v>0.68</v>
      </c>
      <c r="C111" s="143">
        <f>VLOOKUP($A111,'Data shares'!$C:$FA,119)</f>
        <v>0.79</v>
      </c>
      <c r="D111" s="143">
        <f>VLOOKUP($A111,'Data shares'!$C:$FA,121)*100</f>
        <v>-13.919999999999998</v>
      </c>
      <c r="E111" s="143">
        <f>VLOOKUP($A111,'Data shares'!$C:$FA,124)</f>
        <v>0.55000000000000004</v>
      </c>
      <c r="F111" s="143">
        <f>VLOOKUP($A111,'Data shares'!$C:$FA,125)</f>
        <v>0.31</v>
      </c>
      <c r="G111" s="143">
        <f>VLOOKUP($A111,'Data shares'!$C:$FA,127)*100</f>
        <v>77.42</v>
      </c>
      <c r="H111" s="103">
        <f>VLOOKUP($A111,'OI(Volume)'!$A$7:$O$427,8)</f>
        <v>4150625</v>
      </c>
      <c r="I111" s="103">
        <f>VLOOKUP($A111,'OI(Volume)'!$A$7:$O$427,9)</f>
        <v>961250</v>
      </c>
      <c r="J111" s="103">
        <f>VLOOKUP($A111,'OI(Volume)'!$A$7:$O$427,11)</f>
        <v>2836875</v>
      </c>
      <c r="K111" s="103">
        <f>VLOOKUP($A111,'OI(Volume)'!$A$7:$O$427,12)</f>
        <v>302500</v>
      </c>
      <c r="L111" s="103">
        <f>VLOOKUP($A111,'OI(Value)'!$A$7:$O$306,8,0)</f>
        <v>440</v>
      </c>
      <c r="M111" s="103">
        <f>VLOOKUP($A111,'OI(Value)'!$A$7:$O$306,9,0)</f>
        <v>102</v>
      </c>
      <c r="N111" s="103">
        <f>VLOOKUP($A111,'OI(Value)'!$A$7:$O$306,11,0)</f>
        <v>301</v>
      </c>
      <c r="O111" s="103">
        <f>VLOOKUP($A111,'OI(Value)'!$A$7:$O$306,12,0)</f>
        <v>32</v>
      </c>
      <c r="P111" s="179">
        <f>VLOOKUP(A111,'OI(Value)'!A111:O312,8,0)</f>
        <v>440</v>
      </c>
      <c r="Q111" s="179">
        <f>VLOOKUP(A111,'OI(Value)'!A111:O312,9,0)</f>
        <v>102</v>
      </c>
      <c r="R111" s="179">
        <f>VLOOKUP(A111,'OI(Value)'!A111:O312,11,0)</f>
        <v>301</v>
      </c>
      <c r="S111" s="179">
        <f>VLOOKUP(A111,'OI(Value)'!A111:O312,11,0)</f>
        <v>301</v>
      </c>
    </row>
    <row r="112" spans="1:19" x14ac:dyDescent="0.25">
      <c r="A112" s="105" t="str">
        <f>'Data shares'!C107</f>
        <v>JIOFIN</v>
      </c>
      <c r="B112" s="143">
        <f>VLOOKUP($A112,'Data shares'!$C:$FA,118)</f>
        <v>0.76</v>
      </c>
      <c r="C112" s="143">
        <f>VLOOKUP($A112,'Data shares'!$C:$FA,119)</f>
        <v>0.75</v>
      </c>
      <c r="D112" s="143">
        <f>VLOOKUP($A112,'Data shares'!$C:$FA,121)*100</f>
        <v>1.3299999999999998</v>
      </c>
      <c r="E112" s="143">
        <f>VLOOKUP($A112,'Data shares'!$C:$FA,124)</f>
        <v>0.38</v>
      </c>
      <c r="F112" s="143">
        <f>VLOOKUP($A112,'Data shares'!$C:$FA,125)</f>
        <v>0.44</v>
      </c>
      <c r="G112" s="143">
        <f>VLOOKUP($A112,'Data shares'!$C:$FA,127)*100</f>
        <v>-13.639999999999999</v>
      </c>
      <c r="H112" s="103">
        <f>VLOOKUP($A112,'OI(Volume)'!$A$7:$O$427,8)</f>
        <v>46983550</v>
      </c>
      <c r="I112" s="103">
        <f>VLOOKUP($A112,'OI(Volume)'!$A$7:$O$427,9)</f>
        <v>-399500</v>
      </c>
      <c r="J112" s="103">
        <f>VLOOKUP($A112,'OI(Volume)'!$A$7:$O$427,11)</f>
        <v>35900950</v>
      </c>
      <c r="K112" s="103">
        <f>VLOOKUP($A112,'OI(Volume)'!$A$7:$O$427,12)</f>
        <v>209150</v>
      </c>
      <c r="L112" s="103">
        <f>VLOOKUP($A112,'OI(Value)'!$A$7:$O$306,8,0)</f>
        <v>1447</v>
      </c>
      <c r="M112" s="103">
        <f>VLOOKUP($A112,'OI(Value)'!$A$7:$O$306,9,0)</f>
        <v>-12</v>
      </c>
      <c r="N112" s="103">
        <f>VLOOKUP($A112,'OI(Value)'!$A$7:$O$306,11,0)</f>
        <v>1106</v>
      </c>
      <c r="O112" s="103">
        <f>VLOOKUP($A112,'OI(Value)'!$A$7:$O$306,12,0)</f>
        <v>6</v>
      </c>
      <c r="P112" s="179">
        <f>VLOOKUP(A112,'OI(Value)'!A112:O313,8,0)</f>
        <v>1447</v>
      </c>
      <c r="Q112" s="179">
        <f>VLOOKUP(A112,'OI(Value)'!A112:O313,9,0)</f>
        <v>-12</v>
      </c>
      <c r="R112" s="179">
        <f>VLOOKUP(A112,'OI(Value)'!A112:O313,11,0)</f>
        <v>1106</v>
      </c>
      <c r="S112" s="179">
        <f>VLOOKUP(A112,'OI(Value)'!A112:O313,11,0)</f>
        <v>1106</v>
      </c>
    </row>
    <row r="113" spans="1:19" x14ac:dyDescent="0.25">
      <c r="A113" s="105" t="str">
        <f>'Data shares'!C108</f>
        <v>JSWENERGY</v>
      </c>
      <c r="B113" s="143">
        <f>VLOOKUP($A113,'Data shares'!$C:$FA,118)</f>
        <v>0.65</v>
      </c>
      <c r="C113" s="143">
        <f>VLOOKUP($A113,'Data shares'!$C:$FA,119)</f>
        <v>0.7</v>
      </c>
      <c r="D113" s="143">
        <f>VLOOKUP($A113,'Data shares'!$C:$FA,121)*100</f>
        <v>-7.1400000000000006</v>
      </c>
      <c r="E113" s="143">
        <f>VLOOKUP($A113,'Data shares'!$C:$FA,124)</f>
        <v>0.39</v>
      </c>
      <c r="F113" s="143">
        <f>VLOOKUP($A113,'Data shares'!$C:$FA,125)</f>
        <v>0.31</v>
      </c>
      <c r="G113" s="143">
        <f>VLOOKUP($A113,'Data shares'!$C:$FA,127)*100</f>
        <v>25.81</v>
      </c>
      <c r="H113" s="103">
        <f>VLOOKUP($A113,'OI(Volume)'!$A$7:$O$427,8)</f>
        <v>4829000</v>
      </c>
      <c r="I113" s="103">
        <f>VLOOKUP($A113,'OI(Volume)'!$A$7:$O$427,9)</f>
        <v>462000</v>
      </c>
      <c r="J113" s="103">
        <f>VLOOKUP($A113,'OI(Volume)'!$A$7:$O$427,11)</f>
        <v>3157000</v>
      </c>
      <c r="K113" s="103">
        <f>VLOOKUP($A113,'OI(Volume)'!$A$7:$O$427,12)</f>
        <v>80000</v>
      </c>
      <c r="L113" s="103">
        <f>VLOOKUP($A113,'OI(Value)'!$A$7:$O$306,8,0)</f>
        <v>262</v>
      </c>
      <c r="M113" s="103">
        <f>VLOOKUP($A113,'OI(Value)'!$A$7:$O$306,9,0)</f>
        <v>25</v>
      </c>
      <c r="N113" s="103">
        <f>VLOOKUP($A113,'OI(Value)'!$A$7:$O$306,11,0)</f>
        <v>172</v>
      </c>
      <c r="O113" s="103">
        <f>VLOOKUP($A113,'OI(Value)'!$A$7:$O$306,12,0)</f>
        <v>4</v>
      </c>
      <c r="P113" s="179">
        <f>VLOOKUP(A113,'OI(Value)'!A113:O314,8,0)</f>
        <v>262</v>
      </c>
      <c r="Q113" s="179">
        <f>VLOOKUP(A113,'OI(Value)'!A113:O314,9,0)</f>
        <v>25</v>
      </c>
      <c r="R113" s="179">
        <f>VLOOKUP(A113,'OI(Value)'!A113:O314,11,0)</f>
        <v>172</v>
      </c>
      <c r="S113" s="179">
        <f>VLOOKUP(A113,'OI(Value)'!A113:O314,11,0)</f>
        <v>172</v>
      </c>
    </row>
    <row r="114" spans="1:19" x14ac:dyDescent="0.25">
      <c r="A114" s="105" t="str">
        <f>'Data shares'!C109</f>
        <v>JSWSTEEL</v>
      </c>
      <c r="B114" s="143">
        <f>VLOOKUP($A114,'Data shares'!$C:$FA,118)</f>
        <v>0.65</v>
      </c>
      <c r="C114" s="143">
        <f>VLOOKUP($A114,'Data shares'!$C:$FA,119)</f>
        <v>0.64</v>
      </c>
      <c r="D114" s="143">
        <f>VLOOKUP($A114,'Data shares'!$C:$FA,121)*100</f>
        <v>1.5599999999999998</v>
      </c>
      <c r="E114" s="143">
        <f>VLOOKUP($A114,'Data shares'!$C:$FA,124)</f>
        <v>0.5</v>
      </c>
      <c r="F114" s="143">
        <f>VLOOKUP($A114,'Data shares'!$C:$FA,125)</f>
        <v>0.43</v>
      </c>
      <c r="G114" s="143">
        <f>VLOOKUP($A114,'Data shares'!$C:$FA,127)*100</f>
        <v>16.28</v>
      </c>
      <c r="H114" s="103">
        <f>VLOOKUP($A114,'OI(Volume)'!$A$7:$O$427,8)</f>
        <v>4926825</v>
      </c>
      <c r="I114" s="103">
        <f>VLOOKUP($A114,'OI(Volume)'!$A$7:$O$427,9)</f>
        <v>119475</v>
      </c>
      <c r="J114" s="103">
        <f>VLOOKUP($A114,'OI(Volume)'!$A$7:$O$427,11)</f>
        <v>3192750</v>
      </c>
      <c r="K114" s="103">
        <f>VLOOKUP($A114,'OI(Volume)'!$A$7:$O$427,12)</f>
        <v>130275</v>
      </c>
      <c r="L114" s="103">
        <f>VLOOKUP($A114,'OI(Value)'!$A$7:$O$306,8,0)</f>
        <v>575</v>
      </c>
      <c r="M114" s="103">
        <f>VLOOKUP($A114,'OI(Value)'!$A$7:$O$306,9,0)</f>
        <v>14</v>
      </c>
      <c r="N114" s="103">
        <f>VLOOKUP($A114,'OI(Value)'!$A$7:$O$306,11,0)</f>
        <v>373</v>
      </c>
      <c r="O114" s="103">
        <f>VLOOKUP($A114,'OI(Value)'!$A$7:$O$306,12,0)</f>
        <v>15</v>
      </c>
      <c r="P114" s="179">
        <f>VLOOKUP(A114,'OI(Value)'!A114:O315,8,0)</f>
        <v>575</v>
      </c>
      <c r="Q114" s="179">
        <f>VLOOKUP(A114,'OI(Value)'!A114:O315,9,0)</f>
        <v>14</v>
      </c>
      <c r="R114" s="179">
        <f>VLOOKUP(A114,'OI(Value)'!A114:O315,11,0)</f>
        <v>373</v>
      </c>
      <c r="S114" s="179">
        <f>VLOOKUP(A114,'OI(Value)'!A114:O315,11,0)</f>
        <v>373</v>
      </c>
    </row>
    <row r="115" spans="1:19" x14ac:dyDescent="0.25">
      <c r="A115" s="105" t="str">
        <f>'Data shares'!C110</f>
        <v>JUBLFOOD</v>
      </c>
      <c r="B115" s="143">
        <f>VLOOKUP($A115,'Data shares'!$C:$FA,118)</f>
        <v>0.66</v>
      </c>
      <c r="C115" s="143">
        <f>VLOOKUP($A115,'Data shares'!$C:$FA,119)</f>
        <v>0.68</v>
      </c>
      <c r="D115" s="143">
        <f>VLOOKUP($A115,'Data shares'!$C:$FA,121)*100</f>
        <v>-2.94</v>
      </c>
      <c r="E115" s="143">
        <f>VLOOKUP($A115,'Data shares'!$C:$FA,124)</f>
        <v>0.48</v>
      </c>
      <c r="F115" s="143">
        <f>VLOOKUP($A115,'Data shares'!$C:$FA,125)</f>
        <v>0.34</v>
      </c>
      <c r="G115" s="143">
        <f>VLOOKUP($A115,'Data shares'!$C:$FA,127)*100</f>
        <v>41.18</v>
      </c>
      <c r="H115" s="103">
        <f>VLOOKUP($A115,'OI(Volume)'!$A$7:$O$427,8)</f>
        <v>4487500</v>
      </c>
      <c r="I115" s="103">
        <f>VLOOKUP($A115,'OI(Volume)'!$A$7:$O$427,9)</f>
        <v>1101250</v>
      </c>
      <c r="J115" s="103">
        <f>VLOOKUP($A115,'OI(Volume)'!$A$7:$O$427,11)</f>
        <v>2963750</v>
      </c>
      <c r="K115" s="103">
        <f>VLOOKUP($A115,'OI(Volume)'!$A$7:$O$427,12)</f>
        <v>647500</v>
      </c>
      <c r="L115" s="103">
        <f>VLOOKUP($A115,'OI(Value)'!$A$7:$O$306,8,0)</f>
        <v>281</v>
      </c>
      <c r="M115" s="103">
        <f>VLOOKUP($A115,'OI(Value)'!$A$7:$O$306,9,0)</f>
        <v>69</v>
      </c>
      <c r="N115" s="103">
        <f>VLOOKUP($A115,'OI(Value)'!$A$7:$O$306,11,0)</f>
        <v>186</v>
      </c>
      <c r="O115" s="103">
        <f>VLOOKUP($A115,'OI(Value)'!$A$7:$O$306,12,0)</f>
        <v>41</v>
      </c>
      <c r="P115" s="179">
        <f>VLOOKUP(A115,'OI(Value)'!A115:O316,8,0)</f>
        <v>281</v>
      </c>
      <c r="Q115" s="179">
        <f>VLOOKUP(A115,'OI(Value)'!A115:O316,9,0)</f>
        <v>69</v>
      </c>
      <c r="R115" s="179">
        <f>VLOOKUP(A115,'OI(Value)'!A115:O316,11,0)</f>
        <v>186</v>
      </c>
      <c r="S115" s="179">
        <f>VLOOKUP(A115,'OI(Value)'!A115:O316,11,0)</f>
        <v>186</v>
      </c>
    </row>
    <row r="116" spans="1:19" x14ac:dyDescent="0.25">
      <c r="A116" s="105" t="str">
        <f>'Data shares'!C111</f>
        <v>KALYANKJIL</v>
      </c>
      <c r="B116" s="143">
        <f>VLOOKUP($A116,'Data shares'!$C:$FA,118)</f>
        <v>0.56000000000000005</v>
      </c>
      <c r="C116" s="143">
        <f>VLOOKUP($A116,'Data shares'!$C:$FA,119)</f>
        <v>0.61</v>
      </c>
      <c r="D116" s="143">
        <f>VLOOKUP($A116,'Data shares'!$C:$FA,121)*100</f>
        <v>-8.2000000000000011</v>
      </c>
      <c r="E116" s="143">
        <f>VLOOKUP($A116,'Data shares'!$C:$FA,124)</f>
        <v>0.39</v>
      </c>
      <c r="F116" s="143">
        <f>VLOOKUP($A116,'Data shares'!$C:$FA,125)</f>
        <v>0.37</v>
      </c>
      <c r="G116" s="143">
        <f>VLOOKUP($A116,'Data shares'!$C:$FA,127)*100</f>
        <v>5.41</v>
      </c>
      <c r="H116" s="103">
        <f>VLOOKUP($A116,'OI(Volume)'!$A$7:$O$427,8)</f>
        <v>12192975</v>
      </c>
      <c r="I116" s="103">
        <f>VLOOKUP($A116,'OI(Volume)'!$A$7:$O$427,9)</f>
        <v>1334800</v>
      </c>
      <c r="J116" s="103">
        <f>VLOOKUP($A116,'OI(Volume)'!$A$7:$O$427,11)</f>
        <v>6859650</v>
      </c>
      <c r="K116" s="103">
        <f>VLOOKUP($A116,'OI(Volume)'!$A$7:$O$427,12)</f>
        <v>266725</v>
      </c>
      <c r="L116" s="103">
        <f>VLOOKUP($A116,'OI(Value)'!$A$7:$O$306,8,0)</f>
        <v>594</v>
      </c>
      <c r="M116" s="103">
        <f>VLOOKUP($A116,'OI(Value)'!$A$7:$O$306,9,0)</f>
        <v>65</v>
      </c>
      <c r="N116" s="103">
        <f>VLOOKUP($A116,'OI(Value)'!$A$7:$O$306,11,0)</f>
        <v>334</v>
      </c>
      <c r="O116" s="103">
        <f>VLOOKUP($A116,'OI(Value)'!$A$7:$O$306,12,0)</f>
        <v>13</v>
      </c>
      <c r="P116" s="179">
        <f>VLOOKUP(A116,'OI(Value)'!A116:O317,8,0)</f>
        <v>594</v>
      </c>
      <c r="Q116" s="179">
        <f>VLOOKUP(A116,'OI(Value)'!A116:O317,9,0)</f>
        <v>65</v>
      </c>
      <c r="R116" s="179">
        <f>VLOOKUP(A116,'OI(Value)'!A116:O317,11,0)</f>
        <v>334</v>
      </c>
      <c r="S116" s="179">
        <f>VLOOKUP(A116,'OI(Value)'!A116:O317,11,0)</f>
        <v>334</v>
      </c>
    </row>
    <row r="117" spans="1:19" x14ac:dyDescent="0.25">
      <c r="A117" s="105" t="str">
        <f>'Data shares'!C112</f>
        <v>KAYNES</v>
      </c>
      <c r="B117" s="143">
        <f>VLOOKUP($A117,'Data shares'!$C:$FA,118)</f>
        <v>0.56999999999999995</v>
      </c>
      <c r="C117" s="143">
        <f>VLOOKUP($A117,'Data shares'!$C:$FA,119)</f>
        <v>0.53</v>
      </c>
      <c r="D117" s="143">
        <f>VLOOKUP($A117,'Data shares'!$C:$FA,121)*100</f>
        <v>7.55</v>
      </c>
      <c r="E117" s="143">
        <f>VLOOKUP($A117,'Data shares'!$C:$FA,124)</f>
        <v>0.21</v>
      </c>
      <c r="F117" s="143">
        <f>VLOOKUP($A117,'Data shares'!$C:$FA,125)</f>
        <v>0.28999999999999998</v>
      </c>
      <c r="G117" s="143">
        <f>VLOOKUP($A117,'Data shares'!$C:$FA,127)*100</f>
        <v>-27.589999999999996</v>
      </c>
      <c r="H117" s="103">
        <f>VLOOKUP($A117,'OI(Volume)'!$A$7:$O$427,8)</f>
        <v>618100</v>
      </c>
      <c r="I117" s="103">
        <f>VLOOKUP($A117,'OI(Volume)'!$A$7:$O$427,9)</f>
        <v>-6300</v>
      </c>
      <c r="J117" s="103">
        <f>VLOOKUP($A117,'OI(Volume)'!$A$7:$O$427,11)</f>
        <v>350000</v>
      </c>
      <c r="K117" s="103">
        <f>VLOOKUP($A117,'OI(Volume)'!$A$7:$O$427,12)</f>
        <v>22000</v>
      </c>
      <c r="L117" s="103">
        <f>VLOOKUP($A117,'OI(Value)'!$A$7:$O$306,8,0)</f>
        <v>463</v>
      </c>
      <c r="M117" s="103">
        <f>VLOOKUP($A117,'OI(Value)'!$A$7:$O$306,9,0)</f>
        <v>-5</v>
      </c>
      <c r="N117" s="103">
        <f>VLOOKUP($A117,'OI(Value)'!$A$7:$O$306,11,0)</f>
        <v>262</v>
      </c>
      <c r="O117" s="103">
        <f>VLOOKUP($A117,'OI(Value)'!$A$7:$O$306,12,0)</f>
        <v>16</v>
      </c>
      <c r="P117" s="179">
        <f>VLOOKUP(A117,'OI(Value)'!A117:O318,8,0)</f>
        <v>463</v>
      </c>
      <c r="Q117" s="179">
        <f>VLOOKUP(A117,'OI(Value)'!A117:O318,9,0)</f>
        <v>-5</v>
      </c>
      <c r="R117" s="179">
        <f>VLOOKUP(A117,'OI(Value)'!A117:O318,11,0)</f>
        <v>262</v>
      </c>
      <c r="S117" s="179">
        <f>VLOOKUP(A117,'OI(Value)'!A117:O318,11,0)</f>
        <v>262</v>
      </c>
    </row>
    <row r="118" spans="1:19" x14ac:dyDescent="0.25">
      <c r="A118" s="105" t="str">
        <f>'Data shares'!C113</f>
        <v>KEI</v>
      </c>
      <c r="B118" s="143">
        <f>VLOOKUP($A118,'Data shares'!$C:$FA,118)</f>
        <v>0.83</v>
      </c>
      <c r="C118" s="143">
        <f>VLOOKUP($A118,'Data shares'!$C:$FA,119)</f>
        <v>0.89</v>
      </c>
      <c r="D118" s="143">
        <f>VLOOKUP($A118,'Data shares'!$C:$FA,121)*100</f>
        <v>-6.74</v>
      </c>
      <c r="E118" s="143">
        <f>VLOOKUP($A118,'Data shares'!$C:$FA,124)</f>
        <v>0.3</v>
      </c>
      <c r="F118" s="143">
        <f>VLOOKUP($A118,'Data shares'!$C:$FA,125)</f>
        <v>0.71</v>
      </c>
      <c r="G118" s="143">
        <f>VLOOKUP($A118,'Data shares'!$C:$FA,127)*100</f>
        <v>-57.75</v>
      </c>
      <c r="H118" s="103">
        <f>VLOOKUP($A118,'OI(Volume)'!$A$7:$O$427,8)</f>
        <v>316050</v>
      </c>
      <c r="I118" s="103">
        <f>VLOOKUP($A118,'OI(Volume)'!$A$7:$O$427,9)</f>
        <v>57400</v>
      </c>
      <c r="J118" s="103">
        <f>VLOOKUP($A118,'OI(Volume)'!$A$7:$O$427,11)</f>
        <v>263725</v>
      </c>
      <c r="K118" s="103">
        <f>VLOOKUP($A118,'OI(Volume)'!$A$7:$O$427,12)</f>
        <v>34650</v>
      </c>
      <c r="L118" s="103">
        <f>VLOOKUP($A118,'OI(Value)'!$A$7:$O$306,8,0)</f>
        <v>131</v>
      </c>
      <c r="M118" s="103">
        <f>VLOOKUP($A118,'OI(Value)'!$A$7:$O$306,9,0)</f>
        <v>24</v>
      </c>
      <c r="N118" s="103">
        <f>VLOOKUP($A118,'OI(Value)'!$A$7:$O$306,11,0)</f>
        <v>110</v>
      </c>
      <c r="O118" s="103">
        <f>VLOOKUP($A118,'OI(Value)'!$A$7:$O$306,12,0)</f>
        <v>14</v>
      </c>
      <c r="P118" s="179">
        <f>VLOOKUP(A118,'OI(Value)'!A118:O319,8,0)</f>
        <v>131</v>
      </c>
      <c r="Q118" s="179">
        <f>VLOOKUP(A118,'OI(Value)'!A118:O319,9,0)</f>
        <v>24</v>
      </c>
      <c r="R118" s="179">
        <f>VLOOKUP(A118,'OI(Value)'!A118:O319,11,0)</f>
        <v>110</v>
      </c>
      <c r="S118" s="179">
        <f>VLOOKUP(A118,'OI(Value)'!A118:O319,11,0)</f>
        <v>110</v>
      </c>
    </row>
    <row r="119" spans="1:19" x14ac:dyDescent="0.25">
      <c r="A119" s="105" t="str">
        <f>'Data shares'!C114</f>
        <v>KFINTECH</v>
      </c>
      <c r="B119" s="143">
        <f>VLOOKUP($A119,'Data shares'!$C:$FA,118)</f>
        <v>0.5</v>
      </c>
      <c r="C119" s="143">
        <f>VLOOKUP($A119,'Data shares'!$C:$FA,119)</f>
        <v>0.61</v>
      </c>
      <c r="D119" s="143">
        <f>VLOOKUP($A119,'Data shares'!$C:$FA,121)*100</f>
        <v>-18.029999999999998</v>
      </c>
      <c r="E119" s="143">
        <f>VLOOKUP($A119,'Data shares'!$C:$FA,124)</f>
        <v>0.19</v>
      </c>
      <c r="F119" s="143">
        <f>VLOOKUP($A119,'Data shares'!$C:$FA,125)</f>
        <v>0.4</v>
      </c>
      <c r="G119" s="143">
        <f>VLOOKUP($A119,'Data shares'!$C:$FA,127)*100</f>
        <v>-52.5</v>
      </c>
      <c r="H119" s="103">
        <f>VLOOKUP($A119,'OI(Volume)'!$A$7:$O$427,8)</f>
        <v>933300</v>
      </c>
      <c r="I119" s="103">
        <f>VLOOKUP($A119,'OI(Volume)'!$A$7:$O$427,9)</f>
        <v>169200</v>
      </c>
      <c r="J119" s="103">
        <f>VLOOKUP($A119,'OI(Volume)'!$A$7:$O$427,11)</f>
        <v>469800</v>
      </c>
      <c r="K119" s="103">
        <f>VLOOKUP($A119,'OI(Volume)'!$A$7:$O$427,12)</f>
        <v>6750</v>
      </c>
      <c r="L119" s="103">
        <f>VLOOKUP($A119,'OI(Value)'!$A$7:$O$306,8,0)</f>
        <v>100</v>
      </c>
      <c r="M119" s="103">
        <f>VLOOKUP($A119,'OI(Value)'!$A$7:$O$306,9,0)</f>
        <v>18</v>
      </c>
      <c r="N119" s="103">
        <f>VLOOKUP($A119,'OI(Value)'!$A$7:$O$306,11,0)</f>
        <v>50</v>
      </c>
      <c r="O119" s="103">
        <f>VLOOKUP($A119,'OI(Value)'!$A$7:$O$306,12,0)</f>
        <v>1</v>
      </c>
      <c r="P119" s="179">
        <f>VLOOKUP(A119,'OI(Value)'!A119:O320,8,0)</f>
        <v>100</v>
      </c>
      <c r="Q119" s="179">
        <f>VLOOKUP(A119,'OI(Value)'!A119:O320,9,0)</f>
        <v>18</v>
      </c>
      <c r="R119" s="179">
        <f>VLOOKUP(A119,'OI(Value)'!A119:O320,11,0)</f>
        <v>50</v>
      </c>
      <c r="S119" s="179">
        <f>VLOOKUP(A119,'OI(Value)'!A119:O320,11,0)</f>
        <v>50</v>
      </c>
    </row>
    <row r="120" spans="1:19" x14ac:dyDescent="0.25">
      <c r="A120" s="105" t="str">
        <f>'Data shares'!C115</f>
        <v>KOTAKBANK</v>
      </c>
      <c r="B120" s="143">
        <f>VLOOKUP($A120,'Data shares'!$C:$FA,118)</f>
        <v>1.1399999999999999</v>
      </c>
      <c r="C120" s="143">
        <f>VLOOKUP($A120,'Data shares'!$C:$FA,119)</f>
        <v>1.17</v>
      </c>
      <c r="D120" s="143">
        <f>VLOOKUP($A120,'Data shares'!$C:$FA,121)*100</f>
        <v>-2.56</v>
      </c>
      <c r="E120" s="143">
        <f>VLOOKUP($A120,'Data shares'!$C:$FA,124)</f>
        <v>0.59</v>
      </c>
      <c r="F120" s="143">
        <f>VLOOKUP($A120,'Data shares'!$C:$FA,125)</f>
        <v>0.56000000000000005</v>
      </c>
      <c r="G120" s="143">
        <f>VLOOKUP($A120,'Data shares'!$C:$FA,127)*100</f>
        <v>5.36</v>
      </c>
      <c r="H120" s="103">
        <f>VLOOKUP($A120,'OI(Volume)'!$A$7:$O$427,8)</f>
        <v>7756000</v>
      </c>
      <c r="I120" s="103">
        <f>VLOOKUP($A120,'OI(Volume)'!$A$7:$O$427,9)</f>
        <v>1626400</v>
      </c>
      <c r="J120" s="103">
        <f>VLOOKUP($A120,'OI(Volume)'!$A$7:$O$427,11)</f>
        <v>8820800</v>
      </c>
      <c r="K120" s="103">
        <f>VLOOKUP($A120,'OI(Volume)'!$A$7:$O$427,12)</f>
        <v>1638800</v>
      </c>
      <c r="L120" s="103">
        <f>VLOOKUP($A120,'OI(Value)'!$A$7:$O$306,8,0)</f>
        <v>1670</v>
      </c>
      <c r="M120" s="103">
        <f>VLOOKUP($A120,'OI(Value)'!$A$7:$O$306,9,0)</f>
        <v>350</v>
      </c>
      <c r="N120" s="103">
        <f>VLOOKUP($A120,'OI(Value)'!$A$7:$O$306,11,0)</f>
        <v>1899</v>
      </c>
      <c r="O120" s="103">
        <f>VLOOKUP($A120,'OI(Value)'!$A$7:$O$306,12,0)</f>
        <v>353</v>
      </c>
      <c r="P120" s="179">
        <f>VLOOKUP(A120,'OI(Value)'!A120:O321,8,0)</f>
        <v>1670</v>
      </c>
      <c r="Q120" s="179">
        <f>VLOOKUP(A120,'OI(Value)'!A120:O321,9,0)</f>
        <v>350</v>
      </c>
      <c r="R120" s="179">
        <f>VLOOKUP(A120,'OI(Value)'!A120:O321,11,0)</f>
        <v>1899</v>
      </c>
      <c r="S120" s="179">
        <f>VLOOKUP(A120,'OI(Value)'!A120:O321,11,0)</f>
        <v>1899</v>
      </c>
    </row>
    <row r="121" spans="1:19" x14ac:dyDescent="0.25">
      <c r="A121" s="105" t="str">
        <f>'Data shares'!C116</f>
        <v>KPITTECH</v>
      </c>
      <c r="B121" s="143">
        <f>VLOOKUP($A121,'Data shares'!$C:$FA,118)</f>
        <v>0.79</v>
      </c>
      <c r="C121" s="143">
        <f>VLOOKUP($A121,'Data shares'!$C:$FA,119)</f>
        <v>0.81</v>
      </c>
      <c r="D121" s="143">
        <f>VLOOKUP($A121,'Data shares'!$C:$FA,121)*100</f>
        <v>-2.4699999999999998</v>
      </c>
      <c r="E121" s="143">
        <f>VLOOKUP($A121,'Data shares'!$C:$FA,124)</f>
        <v>0.74</v>
      </c>
      <c r="F121" s="143">
        <f>VLOOKUP($A121,'Data shares'!$C:$FA,125)</f>
        <v>0.52</v>
      </c>
      <c r="G121" s="143">
        <f>VLOOKUP($A121,'Data shares'!$C:$FA,127)*100</f>
        <v>42.309999999999995</v>
      </c>
      <c r="H121" s="103">
        <f>VLOOKUP($A121,'OI(Volume)'!$A$7:$O$427,8)</f>
        <v>2614000</v>
      </c>
      <c r="I121" s="103">
        <f>VLOOKUP($A121,'OI(Volume)'!$A$7:$O$427,9)</f>
        <v>358800</v>
      </c>
      <c r="J121" s="103">
        <f>VLOOKUP($A121,'OI(Volume)'!$A$7:$O$427,11)</f>
        <v>2073600</v>
      </c>
      <c r="K121" s="103">
        <f>VLOOKUP($A121,'OI(Volume)'!$A$7:$O$427,12)</f>
        <v>248400</v>
      </c>
      <c r="L121" s="103">
        <f>VLOOKUP($A121,'OI(Value)'!$A$7:$O$306,8,0)</f>
        <v>302</v>
      </c>
      <c r="M121" s="103">
        <f>VLOOKUP($A121,'OI(Value)'!$A$7:$O$306,9,0)</f>
        <v>42</v>
      </c>
      <c r="N121" s="103">
        <f>VLOOKUP($A121,'OI(Value)'!$A$7:$O$306,11,0)</f>
        <v>240</v>
      </c>
      <c r="O121" s="103">
        <f>VLOOKUP($A121,'OI(Value)'!$A$7:$O$306,12,0)</f>
        <v>29</v>
      </c>
      <c r="P121" s="179">
        <f>VLOOKUP(A121,'OI(Value)'!A121:O322,8,0)</f>
        <v>302</v>
      </c>
      <c r="Q121" s="179">
        <f>VLOOKUP(A121,'OI(Value)'!A121:O322,9,0)</f>
        <v>42</v>
      </c>
      <c r="R121" s="179">
        <f>VLOOKUP(A121,'OI(Value)'!A121:O322,11,0)</f>
        <v>240</v>
      </c>
      <c r="S121" s="179">
        <f>VLOOKUP(A121,'OI(Value)'!A121:O322,11,0)</f>
        <v>240</v>
      </c>
    </row>
    <row r="122" spans="1:19" x14ac:dyDescent="0.25">
      <c r="A122" s="105" t="str">
        <f>'Data shares'!C117</f>
        <v>LAURUSLABS</v>
      </c>
      <c r="B122" s="143">
        <f>VLOOKUP($A122,'Data shares'!$C:$FA,118)</f>
        <v>0.6</v>
      </c>
      <c r="C122" s="143">
        <f>VLOOKUP($A122,'Data shares'!$C:$FA,119)</f>
        <v>0.63</v>
      </c>
      <c r="D122" s="143">
        <f>VLOOKUP($A122,'Data shares'!$C:$FA,121)*100</f>
        <v>-4.7600000000000007</v>
      </c>
      <c r="E122" s="143">
        <f>VLOOKUP($A122,'Data shares'!$C:$FA,124)</f>
        <v>0.44</v>
      </c>
      <c r="F122" s="143">
        <f>VLOOKUP($A122,'Data shares'!$C:$FA,125)</f>
        <v>0.53</v>
      </c>
      <c r="G122" s="143">
        <f>VLOOKUP($A122,'Data shares'!$C:$FA,127)*100</f>
        <v>-16.98</v>
      </c>
      <c r="H122" s="103">
        <f>VLOOKUP($A122,'OI(Volume)'!$A$7:$O$427,8)</f>
        <v>9593100</v>
      </c>
      <c r="I122" s="103">
        <f>VLOOKUP($A122,'OI(Volume)'!$A$7:$O$427,9)</f>
        <v>491300</v>
      </c>
      <c r="J122" s="103">
        <f>VLOOKUP($A122,'OI(Volume)'!$A$7:$O$427,11)</f>
        <v>5798700</v>
      </c>
      <c r="K122" s="103">
        <f>VLOOKUP($A122,'OI(Volume)'!$A$7:$O$427,12)</f>
        <v>59500</v>
      </c>
      <c r="L122" s="103">
        <f>VLOOKUP($A122,'OI(Value)'!$A$7:$O$306,8,0)</f>
        <v>833</v>
      </c>
      <c r="M122" s="103">
        <f>VLOOKUP($A122,'OI(Value)'!$A$7:$O$306,9,0)</f>
        <v>43</v>
      </c>
      <c r="N122" s="103">
        <f>VLOOKUP($A122,'OI(Value)'!$A$7:$O$306,11,0)</f>
        <v>504</v>
      </c>
      <c r="O122" s="103">
        <f>VLOOKUP($A122,'OI(Value)'!$A$7:$O$306,12,0)</f>
        <v>5</v>
      </c>
      <c r="P122" s="179">
        <f>VLOOKUP(A122,'OI(Value)'!A122:O323,8,0)</f>
        <v>833</v>
      </c>
      <c r="Q122" s="179">
        <f>VLOOKUP(A122,'OI(Value)'!A122:O323,9,0)</f>
        <v>43</v>
      </c>
      <c r="R122" s="179">
        <f>VLOOKUP(A122,'OI(Value)'!A122:O323,11,0)</f>
        <v>504</v>
      </c>
      <c r="S122" s="179">
        <f>VLOOKUP(A122,'OI(Value)'!A122:O323,11,0)</f>
        <v>504</v>
      </c>
    </row>
    <row r="123" spans="1:19" x14ac:dyDescent="0.25">
      <c r="A123" s="105" t="str">
        <f>'Data shares'!C118</f>
        <v>LICHSGFIN</v>
      </c>
      <c r="B123" s="143">
        <f>VLOOKUP($A123,'Data shares'!$C:$FA,118)</f>
        <v>0.79</v>
      </c>
      <c r="C123" s="143">
        <f>VLOOKUP($A123,'Data shares'!$C:$FA,119)</f>
        <v>0.78</v>
      </c>
      <c r="D123" s="143">
        <f>VLOOKUP($A123,'Data shares'!$C:$FA,121)*100</f>
        <v>1.28</v>
      </c>
      <c r="E123" s="143">
        <f>VLOOKUP($A123,'Data shares'!$C:$FA,124)</f>
        <v>0.24</v>
      </c>
      <c r="F123" s="143">
        <f>VLOOKUP($A123,'Data shares'!$C:$FA,125)</f>
        <v>0.31</v>
      </c>
      <c r="G123" s="143">
        <f>VLOOKUP($A123,'Data shares'!$C:$FA,127)*100</f>
        <v>-22.58</v>
      </c>
      <c r="H123" s="103">
        <f>VLOOKUP($A123,'OI(Volume)'!$A$7:$O$427,8)</f>
        <v>6992000</v>
      </c>
      <c r="I123" s="103">
        <f>VLOOKUP($A123,'OI(Volume)'!$A$7:$O$427,9)</f>
        <v>45000</v>
      </c>
      <c r="J123" s="103">
        <f>VLOOKUP($A123,'OI(Volume)'!$A$7:$O$427,11)</f>
        <v>5494000</v>
      </c>
      <c r="K123" s="103">
        <f>VLOOKUP($A123,'OI(Volume)'!$A$7:$O$427,12)</f>
        <v>66000</v>
      </c>
      <c r="L123" s="103">
        <f>VLOOKUP($A123,'OI(Value)'!$A$7:$O$306,8,0)</f>
        <v>406</v>
      </c>
      <c r="M123" s="103">
        <f>VLOOKUP($A123,'OI(Value)'!$A$7:$O$306,9,0)</f>
        <v>3</v>
      </c>
      <c r="N123" s="103">
        <f>VLOOKUP($A123,'OI(Value)'!$A$7:$O$306,11,0)</f>
        <v>319</v>
      </c>
      <c r="O123" s="103">
        <f>VLOOKUP($A123,'OI(Value)'!$A$7:$O$306,12,0)</f>
        <v>4</v>
      </c>
      <c r="P123" s="179">
        <f>VLOOKUP(A123,'OI(Value)'!A123:O324,8,0)</f>
        <v>406</v>
      </c>
      <c r="Q123" s="179">
        <f>VLOOKUP(A123,'OI(Value)'!A123:O324,9,0)</f>
        <v>3</v>
      </c>
      <c r="R123" s="179">
        <f>VLOOKUP(A123,'OI(Value)'!A123:O324,11,0)</f>
        <v>319</v>
      </c>
      <c r="S123" s="179">
        <f>VLOOKUP(A123,'OI(Value)'!A123:O324,11,0)</f>
        <v>319</v>
      </c>
    </row>
    <row r="124" spans="1:19" x14ac:dyDescent="0.25">
      <c r="A124" s="105" t="str">
        <f>'Data shares'!C119</f>
        <v>LICI</v>
      </c>
      <c r="B124" s="143">
        <f>VLOOKUP($A124,'Data shares'!$C:$FA,118)</f>
        <v>0.44</v>
      </c>
      <c r="C124" s="143">
        <f>VLOOKUP($A124,'Data shares'!$C:$FA,119)</f>
        <v>0.44</v>
      </c>
      <c r="D124" s="143">
        <f>VLOOKUP($A124,'Data shares'!$C:$FA,121)*100</f>
        <v>0</v>
      </c>
      <c r="E124" s="143">
        <f>VLOOKUP($A124,'Data shares'!$C:$FA,124)</f>
        <v>0.28000000000000003</v>
      </c>
      <c r="F124" s="143">
        <f>VLOOKUP($A124,'Data shares'!$C:$FA,125)</f>
        <v>0.28999999999999998</v>
      </c>
      <c r="G124" s="143">
        <f>VLOOKUP($A124,'Data shares'!$C:$FA,127)*100</f>
        <v>-3.45</v>
      </c>
      <c r="H124" s="103">
        <f>VLOOKUP($A124,'OI(Volume)'!$A$7:$O$427,8)</f>
        <v>3472700</v>
      </c>
      <c r="I124" s="103">
        <f>VLOOKUP($A124,'OI(Volume)'!$A$7:$O$427,9)</f>
        <v>270900</v>
      </c>
      <c r="J124" s="103">
        <f>VLOOKUP($A124,'OI(Volume)'!$A$7:$O$427,11)</f>
        <v>1513400</v>
      </c>
      <c r="K124" s="103">
        <f>VLOOKUP($A124,'OI(Volume)'!$A$7:$O$427,12)</f>
        <v>96600</v>
      </c>
      <c r="L124" s="103">
        <f>VLOOKUP($A124,'OI(Value)'!$A$7:$O$306,8,0)</f>
        <v>317</v>
      </c>
      <c r="M124" s="103">
        <f>VLOOKUP($A124,'OI(Value)'!$A$7:$O$306,9,0)</f>
        <v>25</v>
      </c>
      <c r="N124" s="103">
        <f>VLOOKUP($A124,'OI(Value)'!$A$7:$O$306,11,0)</f>
        <v>138</v>
      </c>
      <c r="O124" s="103">
        <f>VLOOKUP($A124,'OI(Value)'!$A$7:$O$306,12,0)</f>
        <v>9</v>
      </c>
      <c r="P124" s="179">
        <f>VLOOKUP(A124,'OI(Value)'!A124:O325,8,0)</f>
        <v>317</v>
      </c>
      <c r="Q124" s="179">
        <f>VLOOKUP(A124,'OI(Value)'!A124:O325,9,0)</f>
        <v>25</v>
      </c>
      <c r="R124" s="179">
        <f>VLOOKUP(A124,'OI(Value)'!A124:O325,11,0)</f>
        <v>138</v>
      </c>
      <c r="S124" s="179">
        <f>VLOOKUP(A124,'OI(Value)'!A124:O325,11,0)</f>
        <v>138</v>
      </c>
    </row>
    <row r="125" spans="1:19" x14ac:dyDescent="0.25">
      <c r="A125" s="105" t="str">
        <f>'Data shares'!C120</f>
        <v>LODHA</v>
      </c>
      <c r="B125" s="143">
        <f>VLOOKUP($A125,'Data shares'!$C:$FA,118)</f>
        <v>0.5</v>
      </c>
      <c r="C125" s="143">
        <f>VLOOKUP($A125,'Data shares'!$C:$FA,119)</f>
        <v>0.49</v>
      </c>
      <c r="D125" s="143">
        <f>VLOOKUP($A125,'Data shares'!$C:$FA,121)*100</f>
        <v>2.04</v>
      </c>
      <c r="E125" s="143">
        <f>VLOOKUP($A125,'Data shares'!$C:$FA,124)</f>
        <v>0.27</v>
      </c>
      <c r="F125" s="143">
        <f>VLOOKUP($A125,'Data shares'!$C:$FA,125)</f>
        <v>0.45</v>
      </c>
      <c r="G125" s="143">
        <f>VLOOKUP($A125,'Data shares'!$C:$FA,127)*100</f>
        <v>-40</v>
      </c>
      <c r="H125" s="103">
        <f>VLOOKUP($A125,'OI(Volume)'!$A$7:$O$427,8)</f>
        <v>2619000</v>
      </c>
      <c r="I125" s="103">
        <f>VLOOKUP($A125,'OI(Volume)'!$A$7:$O$427,9)</f>
        <v>216000</v>
      </c>
      <c r="J125" s="103">
        <f>VLOOKUP($A125,'OI(Volume)'!$A$7:$O$427,11)</f>
        <v>1305900</v>
      </c>
      <c r="K125" s="103">
        <f>VLOOKUP($A125,'OI(Volume)'!$A$7:$O$427,12)</f>
        <v>139050</v>
      </c>
      <c r="L125" s="103">
        <f>VLOOKUP($A125,'OI(Value)'!$A$7:$O$306,8,0)</f>
        <v>294</v>
      </c>
      <c r="M125" s="103">
        <f>VLOOKUP($A125,'OI(Value)'!$A$7:$O$306,9,0)</f>
        <v>24</v>
      </c>
      <c r="N125" s="103">
        <f>VLOOKUP($A125,'OI(Value)'!$A$7:$O$306,11,0)</f>
        <v>147</v>
      </c>
      <c r="O125" s="103">
        <f>VLOOKUP($A125,'OI(Value)'!$A$7:$O$306,12,0)</f>
        <v>16</v>
      </c>
      <c r="P125" s="179">
        <f>VLOOKUP(A125,'OI(Value)'!A125:O326,8,0)</f>
        <v>294</v>
      </c>
      <c r="Q125" s="179">
        <f>VLOOKUP(A125,'OI(Value)'!A125:O326,9,0)</f>
        <v>24</v>
      </c>
      <c r="R125" s="179">
        <f>VLOOKUP(A125,'OI(Value)'!A125:O326,11,0)</f>
        <v>147</v>
      </c>
      <c r="S125" s="179">
        <f>VLOOKUP(A125,'OI(Value)'!A125:O326,11,0)</f>
        <v>147</v>
      </c>
    </row>
    <row r="126" spans="1:19" x14ac:dyDescent="0.25">
      <c r="A126" s="105" t="str">
        <f>'Data shares'!C121</f>
        <v>LT</v>
      </c>
      <c r="B126" s="143">
        <f>VLOOKUP($A126,'Data shares'!$C:$FA,118)</f>
        <v>0.5</v>
      </c>
      <c r="C126" s="143">
        <f>VLOOKUP($A126,'Data shares'!$C:$FA,119)</f>
        <v>0.55000000000000004</v>
      </c>
      <c r="D126" s="143">
        <f>VLOOKUP($A126,'Data shares'!$C:$FA,121)*100</f>
        <v>-9.09</v>
      </c>
      <c r="E126" s="143">
        <f>VLOOKUP($A126,'Data shares'!$C:$FA,124)</f>
        <v>0.28000000000000003</v>
      </c>
      <c r="F126" s="143">
        <f>VLOOKUP($A126,'Data shares'!$C:$FA,125)</f>
        <v>0.36</v>
      </c>
      <c r="G126" s="143">
        <f>VLOOKUP($A126,'Data shares'!$C:$FA,127)*100</f>
        <v>-22.220000000000002</v>
      </c>
      <c r="H126" s="103">
        <f>VLOOKUP($A126,'OI(Volume)'!$A$7:$O$427,8)</f>
        <v>5266975</v>
      </c>
      <c r="I126" s="103">
        <f>VLOOKUP($A126,'OI(Volume)'!$A$7:$O$427,9)</f>
        <v>728875</v>
      </c>
      <c r="J126" s="103">
        <f>VLOOKUP($A126,'OI(Volume)'!$A$7:$O$427,11)</f>
        <v>2620450</v>
      </c>
      <c r="K126" s="103">
        <f>VLOOKUP($A126,'OI(Volume)'!$A$7:$O$427,12)</f>
        <v>123550</v>
      </c>
      <c r="L126" s="103">
        <f>VLOOKUP($A126,'OI(Value)'!$A$7:$O$306,8,0)</f>
        <v>1977</v>
      </c>
      <c r="M126" s="103">
        <f>VLOOKUP($A126,'OI(Value)'!$A$7:$O$306,9,0)</f>
        <v>274</v>
      </c>
      <c r="N126" s="103">
        <f>VLOOKUP($A126,'OI(Value)'!$A$7:$O$306,11,0)</f>
        <v>984</v>
      </c>
      <c r="O126" s="103">
        <f>VLOOKUP($A126,'OI(Value)'!$A$7:$O$306,12,0)</f>
        <v>46</v>
      </c>
      <c r="P126" s="179">
        <f>VLOOKUP(A126,'OI(Value)'!A126:O327,8,0)</f>
        <v>1977</v>
      </c>
      <c r="Q126" s="179">
        <f>VLOOKUP(A126,'OI(Value)'!A126:O327,9,0)</f>
        <v>274</v>
      </c>
      <c r="R126" s="179">
        <f>VLOOKUP(A126,'OI(Value)'!A126:O327,11,0)</f>
        <v>984</v>
      </c>
      <c r="S126" s="179">
        <f>VLOOKUP(A126,'OI(Value)'!A126:O327,11,0)</f>
        <v>984</v>
      </c>
    </row>
    <row r="127" spans="1:19" x14ac:dyDescent="0.25">
      <c r="A127" s="105" t="str">
        <f>'Data shares'!C122</f>
        <v>LTF</v>
      </c>
      <c r="B127" s="143">
        <f>VLOOKUP($A127,'Data shares'!$C:$FA,118)</f>
        <v>0.95</v>
      </c>
      <c r="C127" s="143">
        <f>VLOOKUP($A127,'Data shares'!$C:$FA,119)</f>
        <v>1.08</v>
      </c>
      <c r="D127" s="143">
        <f>VLOOKUP($A127,'Data shares'!$C:$FA,121)*100</f>
        <v>-12.04</v>
      </c>
      <c r="E127" s="143">
        <f>VLOOKUP($A127,'Data shares'!$C:$FA,124)</f>
        <v>0.55000000000000004</v>
      </c>
      <c r="F127" s="143">
        <f>VLOOKUP($A127,'Data shares'!$C:$FA,125)</f>
        <v>0.53</v>
      </c>
      <c r="G127" s="143">
        <f>VLOOKUP($A127,'Data shares'!$C:$FA,127)*100</f>
        <v>3.7699999999999996</v>
      </c>
      <c r="H127" s="103">
        <f>VLOOKUP($A127,'OI(Volume)'!$A$7:$O$427,8)</f>
        <v>23465658</v>
      </c>
      <c r="I127" s="103">
        <f>VLOOKUP($A127,'OI(Volume)'!$A$7:$O$427,9)</f>
        <v>2672738</v>
      </c>
      <c r="J127" s="103">
        <f>VLOOKUP($A127,'OI(Volume)'!$A$7:$O$427,11)</f>
        <v>22341234</v>
      </c>
      <c r="K127" s="103">
        <f>VLOOKUP($A127,'OI(Volume)'!$A$7:$O$427,12)</f>
        <v>-17848</v>
      </c>
      <c r="L127" s="103">
        <f>VLOOKUP($A127,'OI(Value)'!$A$7:$O$306,8,0)</f>
        <v>613</v>
      </c>
      <c r="M127" s="103">
        <f>VLOOKUP($A127,'OI(Value)'!$A$7:$O$306,9,0)</f>
        <v>70</v>
      </c>
      <c r="N127" s="103">
        <f>VLOOKUP($A127,'OI(Value)'!$A$7:$O$306,11,0)</f>
        <v>583</v>
      </c>
      <c r="O127" s="103">
        <f>VLOOKUP($A127,'OI(Value)'!$A$7:$O$306,12,0)</f>
        <v>0</v>
      </c>
      <c r="P127" s="179">
        <f>VLOOKUP(A127,'OI(Value)'!A127:O328,8,0)</f>
        <v>613</v>
      </c>
      <c r="Q127" s="179">
        <f>VLOOKUP(A127,'OI(Value)'!A127:O328,9,0)</f>
        <v>70</v>
      </c>
      <c r="R127" s="179">
        <f>VLOOKUP(A127,'OI(Value)'!A127:O328,11,0)</f>
        <v>583</v>
      </c>
      <c r="S127" s="179">
        <f>VLOOKUP(A127,'OI(Value)'!A127:O328,11,0)</f>
        <v>583</v>
      </c>
    </row>
    <row r="128" spans="1:19" x14ac:dyDescent="0.25">
      <c r="A128" s="105" t="str">
        <f>'Data shares'!C123</f>
        <v>LTIM</v>
      </c>
      <c r="B128" s="143">
        <f>VLOOKUP($A128,'Data shares'!$C:$FA,118)</f>
        <v>0.65</v>
      </c>
      <c r="C128" s="143">
        <f>VLOOKUP($A128,'Data shares'!$C:$FA,119)</f>
        <v>0.73</v>
      </c>
      <c r="D128" s="143">
        <f>VLOOKUP($A128,'Data shares'!$C:$FA,121)*100</f>
        <v>-10.96</v>
      </c>
      <c r="E128" s="143">
        <f>VLOOKUP($A128,'Data shares'!$C:$FA,124)</f>
        <v>0.23</v>
      </c>
      <c r="F128" s="143">
        <f>VLOOKUP($A128,'Data shares'!$C:$FA,125)</f>
        <v>0.36</v>
      </c>
      <c r="G128" s="143">
        <f>VLOOKUP($A128,'Data shares'!$C:$FA,127)*100</f>
        <v>-36.11</v>
      </c>
      <c r="H128" s="103">
        <f>VLOOKUP($A128,'OI(Volume)'!$A$7:$O$427,8)</f>
        <v>643200</v>
      </c>
      <c r="I128" s="103">
        <f>VLOOKUP($A128,'OI(Volume)'!$A$7:$O$427,9)</f>
        <v>102900</v>
      </c>
      <c r="J128" s="103">
        <f>VLOOKUP($A128,'OI(Volume)'!$A$7:$O$427,11)</f>
        <v>415500</v>
      </c>
      <c r="K128" s="103">
        <f>VLOOKUP($A128,'OI(Volume)'!$A$7:$O$427,12)</f>
        <v>22350</v>
      </c>
      <c r="L128" s="103">
        <f>VLOOKUP($A128,'OI(Value)'!$A$7:$O$306,8,0)</f>
        <v>339</v>
      </c>
      <c r="M128" s="103">
        <f>VLOOKUP($A128,'OI(Value)'!$A$7:$O$306,9,0)</f>
        <v>54</v>
      </c>
      <c r="N128" s="103">
        <f>VLOOKUP($A128,'OI(Value)'!$A$7:$O$306,11,0)</f>
        <v>219</v>
      </c>
      <c r="O128" s="103">
        <f>VLOOKUP($A128,'OI(Value)'!$A$7:$O$306,12,0)</f>
        <v>12</v>
      </c>
      <c r="P128" s="179">
        <f>VLOOKUP(A128,'OI(Value)'!A128:O329,8,0)</f>
        <v>339</v>
      </c>
      <c r="Q128" s="179">
        <f>VLOOKUP(A128,'OI(Value)'!A128:O329,9,0)</f>
        <v>54</v>
      </c>
      <c r="R128" s="179">
        <f>VLOOKUP(A128,'OI(Value)'!A128:O329,11,0)</f>
        <v>219</v>
      </c>
      <c r="S128" s="179">
        <f>VLOOKUP(A128,'OI(Value)'!A128:O329,11,0)</f>
        <v>219</v>
      </c>
    </row>
    <row r="129" spans="1:19" x14ac:dyDescent="0.25">
      <c r="A129" s="105" t="str">
        <f>'Data shares'!C124</f>
        <v>LUPIN</v>
      </c>
      <c r="B129" s="143">
        <f>VLOOKUP($A129,'Data shares'!$C:$FA,118)</f>
        <v>0.72</v>
      </c>
      <c r="C129" s="143">
        <f>VLOOKUP($A129,'Data shares'!$C:$FA,119)</f>
        <v>0.85</v>
      </c>
      <c r="D129" s="143">
        <f>VLOOKUP($A129,'Data shares'!$C:$FA,121)*100</f>
        <v>-15.290000000000001</v>
      </c>
      <c r="E129" s="143">
        <f>VLOOKUP($A129,'Data shares'!$C:$FA,124)</f>
        <v>0.63</v>
      </c>
      <c r="F129" s="143">
        <f>VLOOKUP($A129,'Data shares'!$C:$FA,125)</f>
        <v>0.59</v>
      </c>
      <c r="G129" s="143">
        <f>VLOOKUP($A129,'Data shares'!$C:$FA,127)*100</f>
        <v>6.78</v>
      </c>
      <c r="H129" s="103">
        <f>VLOOKUP($A129,'OI(Volume)'!$A$7:$O$427,8)</f>
        <v>2558075</v>
      </c>
      <c r="I129" s="103">
        <f>VLOOKUP($A129,'OI(Volume)'!$A$7:$O$427,9)</f>
        <v>832575</v>
      </c>
      <c r="J129" s="103">
        <f>VLOOKUP($A129,'OI(Volume)'!$A$7:$O$427,11)</f>
        <v>1845350</v>
      </c>
      <c r="K129" s="103">
        <f>VLOOKUP($A129,'OI(Volume)'!$A$7:$O$427,12)</f>
        <v>374000</v>
      </c>
      <c r="L129" s="103">
        <f>VLOOKUP($A129,'OI(Value)'!$A$7:$O$306,8,0)</f>
        <v>499</v>
      </c>
      <c r="M129" s="103">
        <f>VLOOKUP($A129,'OI(Value)'!$A$7:$O$306,9,0)</f>
        <v>162</v>
      </c>
      <c r="N129" s="103">
        <f>VLOOKUP($A129,'OI(Value)'!$A$7:$O$306,11,0)</f>
        <v>360</v>
      </c>
      <c r="O129" s="103">
        <f>VLOOKUP($A129,'OI(Value)'!$A$7:$O$306,12,0)</f>
        <v>73</v>
      </c>
      <c r="P129" s="179">
        <f>VLOOKUP(A129,'OI(Value)'!A129:O330,8,0)</f>
        <v>499</v>
      </c>
      <c r="Q129" s="179">
        <f>VLOOKUP(A129,'OI(Value)'!A129:O330,9,0)</f>
        <v>162</v>
      </c>
      <c r="R129" s="179">
        <f>VLOOKUP(A129,'OI(Value)'!A129:O330,11,0)</f>
        <v>360</v>
      </c>
      <c r="S129" s="179">
        <f>VLOOKUP(A129,'OI(Value)'!A129:O330,11,0)</f>
        <v>360</v>
      </c>
    </row>
    <row r="130" spans="1:19" x14ac:dyDescent="0.25">
      <c r="A130" s="105" t="str">
        <f>'Data shares'!C125</f>
        <v>M&amp;M</v>
      </c>
      <c r="B130" s="143">
        <f>VLOOKUP($A130,'Data shares'!$C:$FA,118)</f>
        <v>0.6</v>
      </c>
      <c r="C130" s="143">
        <f>VLOOKUP($A130,'Data shares'!$C:$FA,119)</f>
        <v>0.65</v>
      </c>
      <c r="D130" s="143">
        <f>VLOOKUP($A130,'Data shares'!$C:$FA,121)*100</f>
        <v>-7.6899999999999995</v>
      </c>
      <c r="E130" s="143">
        <f>VLOOKUP($A130,'Data shares'!$C:$FA,124)</f>
        <v>0.42</v>
      </c>
      <c r="F130" s="143">
        <f>VLOOKUP($A130,'Data shares'!$C:$FA,125)</f>
        <v>0.56000000000000005</v>
      </c>
      <c r="G130" s="143">
        <f>VLOOKUP($A130,'Data shares'!$C:$FA,127)*100</f>
        <v>-25</v>
      </c>
      <c r="H130" s="103">
        <f>VLOOKUP($A130,'OI(Volume)'!$A$7:$O$427,8)</f>
        <v>4454600</v>
      </c>
      <c r="I130" s="103">
        <f>VLOOKUP($A130,'OI(Volume)'!$A$7:$O$427,9)</f>
        <v>247200</v>
      </c>
      <c r="J130" s="103">
        <f>VLOOKUP($A130,'OI(Volume)'!$A$7:$O$427,11)</f>
        <v>2681600</v>
      </c>
      <c r="K130" s="103">
        <f>VLOOKUP($A130,'OI(Volume)'!$A$7:$O$427,12)</f>
        <v>-37400</v>
      </c>
      <c r="L130" s="103">
        <f>VLOOKUP($A130,'OI(Value)'!$A$7:$O$306,8,0)</f>
        <v>1556</v>
      </c>
      <c r="M130" s="103">
        <f>VLOOKUP($A130,'OI(Value)'!$A$7:$O$306,9,0)</f>
        <v>86</v>
      </c>
      <c r="N130" s="103">
        <f>VLOOKUP($A130,'OI(Value)'!$A$7:$O$306,11,0)</f>
        <v>936</v>
      </c>
      <c r="O130" s="103">
        <f>VLOOKUP($A130,'OI(Value)'!$A$7:$O$306,12,0)</f>
        <v>-13</v>
      </c>
      <c r="P130" s="179">
        <f>VLOOKUP(A130,'OI(Value)'!A130:O331,8,0)</f>
        <v>1556</v>
      </c>
      <c r="Q130" s="179">
        <f>VLOOKUP(A130,'OI(Value)'!A130:O331,9,0)</f>
        <v>86</v>
      </c>
      <c r="R130" s="179">
        <f>VLOOKUP(A130,'OI(Value)'!A130:O331,11,0)</f>
        <v>936</v>
      </c>
      <c r="S130" s="179">
        <f>VLOOKUP(A130,'OI(Value)'!A130:O331,11,0)</f>
        <v>936</v>
      </c>
    </row>
    <row r="131" spans="1:19" x14ac:dyDescent="0.25">
      <c r="A131" s="105" t="str">
        <f>'Data shares'!C126</f>
        <v>MANAPPURAM</v>
      </c>
      <c r="B131" s="143">
        <f>VLOOKUP($A131,'Data shares'!$C:$FA,118)</f>
        <v>0.5</v>
      </c>
      <c r="C131" s="143">
        <f>VLOOKUP($A131,'Data shares'!$C:$FA,119)</f>
        <v>0.56000000000000005</v>
      </c>
      <c r="D131" s="143">
        <f>VLOOKUP($A131,'Data shares'!$C:$FA,121)*100</f>
        <v>-10.71</v>
      </c>
      <c r="E131" s="143">
        <f>VLOOKUP($A131,'Data shares'!$C:$FA,124)</f>
        <v>0.3</v>
      </c>
      <c r="F131" s="143">
        <f>VLOOKUP($A131,'Data shares'!$C:$FA,125)</f>
        <v>0.33</v>
      </c>
      <c r="G131" s="143">
        <f>VLOOKUP($A131,'Data shares'!$C:$FA,127)*100</f>
        <v>-9.09</v>
      </c>
      <c r="H131" s="103">
        <f>VLOOKUP($A131,'OI(Volume)'!$A$7:$O$427,8)</f>
        <v>9147000</v>
      </c>
      <c r="I131" s="103">
        <f>VLOOKUP($A131,'OI(Volume)'!$A$7:$O$427,9)</f>
        <v>1410000</v>
      </c>
      <c r="J131" s="103">
        <f>VLOOKUP($A131,'OI(Volume)'!$A$7:$O$427,11)</f>
        <v>4608000</v>
      </c>
      <c r="K131" s="103">
        <f>VLOOKUP($A131,'OI(Volume)'!$A$7:$O$427,12)</f>
        <v>273000</v>
      </c>
      <c r="L131" s="103">
        <f>VLOOKUP($A131,'OI(Value)'!$A$7:$O$306,8,0)</f>
        <v>268</v>
      </c>
      <c r="M131" s="103">
        <f>VLOOKUP($A131,'OI(Value)'!$A$7:$O$306,9,0)</f>
        <v>41</v>
      </c>
      <c r="N131" s="103">
        <f>VLOOKUP($A131,'OI(Value)'!$A$7:$O$306,11,0)</f>
        <v>135</v>
      </c>
      <c r="O131" s="103">
        <f>VLOOKUP($A131,'OI(Value)'!$A$7:$O$306,12,0)</f>
        <v>8</v>
      </c>
      <c r="P131" s="179">
        <f>VLOOKUP(A131,'OI(Value)'!A131:O332,8,0)</f>
        <v>268</v>
      </c>
      <c r="Q131" s="179">
        <f>VLOOKUP(A131,'OI(Value)'!A131:O332,9,0)</f>
        <v>41</v>
      </c>
      <c r="R131" s="179">
        <f>VLOOKUP(A131,'OI(Value)'!A131:O332,11,0)</f>
        <v>135</v>
      </c>
      <c r="S131" s="179">
        <f>VLOOKUP(A131,'OI(Value)'!A131:O332,11,0)</f>
        <v>135</v>
      </c>
    </row>
    <row r="132" spans="1:19" x14ac:dyDescent="0.25">
      <c r="A132" s="105" t="str">
        <f>'Data shares'!C127</f>
        <v>MANKIND</v>
      </c>
      <c r="B132" s="143">
        <f>VLOOKUP($A132,'Data shares'!$C:$FA,118)</f>
        <v>0.59</v>
      </c>
      <c r="C132" s="143">
        <f>VLOOKUP($A132,'Data shares'!$C:$FA,119)</f>
        <v>0.65</v>
      </c>
      <c r="D132" s="143">
        <f>VLOOKUP($A132,'Data shares'!$C:$FA,121)*100</f>
        <v>-9.2299999999999986</v>
      </c>
      <c r="E132" s="143">
        <f>VLOOKUP($A132,'Data shares'!$C:$FA,124)</f>
        <v>0.53</v>
      </c>
      <c r="F132" s="143">
        <f>VLOOKUP($A132,'Data shares'!$C:$FA,125)</f>
        <v>0.57999999999999996</v>
      </c>
      <c r="G132" s="143">
        <f>VLOOKUP($A132,'Data shares'!$C:$FA,127)*100</f>
        <v>-8.6199999999999992</v>
      </c>
      <c r="H132" s="103">
        <f>VLOOKUP($A132,'OI(Volume)'!$A$7:$O$427,8)</f>
        <v>484200</v>
      </c>
      <c r="I132" s="103">
        <f>VLOOKUP($A132,'OI(Volume)'!$A$7:$O$427,9)</f>
        <v>60525</v>
      </c>
      <c r="J132" s="103">
        <f>VLOOKUP($A132,'OI(Volume)'!$A$7:$O$427,11)</f>
        <v>287775</v>
      </c>
      <c r="K132" s="103">
        <f>VLOOKUP($A132,'OI(Volume)'!$A$7:$O$427,12)</f>
        <v>11250</v>
      </c>
      <c r="L132" s="103">
        <f>VLOOKUP($A132,'OI(Value)'!$A$7:$O$306,8,0)</f>
        <v>120</v>
      </c>
      <c r="M132" s="103">
        <f>VLOOKUP($A132,'OI(Value)'!$A$7:$O$306,9,0)</f>
        <v>15</v>
      </c>
      <c r="N132" s="103">
        <f>VLOOKUP($A132,'OI(Value)'!$A$7:$O$306,11,0)</f>
        <v>71</v>
      </c>
      <c r="O132" s="103">
        <f>VLOOKUP($A132,'OI(Value)'!$A$7:$O$306,12,0)</f>
        <v>3</v>
      </c>
      <c r="P132" s="179">
        <f>VLOOKUP(A132,'OI(Value)'!A132:O333,8,0)</f>
        <v>120</v>
      </c>
      <c r="Q132" s="179">
        <f>VLOOKUP(A132,'OI(Value)'!A132:O333,9,0)</f>
        <v>15</v>
      </c>
      <c r="R132" s="179">
        <f>VLOOKUP(A132,'OI(Value)'!A132:O333,11,0)</f>
        <v>71</v>
      </c>
      <c r="S132" s="179">
        <f>VLOOKUP(A132,'OI(Value)'!A132:O333,11,0)</f>
        <v>71</v>
      </c>
    </row>
    <row r="133" spans="1:19" x14ac:dyDescent="0.25">
      <c r="A133" s="105" t="str">
        <f>'Data shares'!C128</f>
        <v>MARICO</v>
      </c>
      <c r="B133" s="143">
        <f>VLOOKUP($A133,'Data shares'!$C:$FA,118)</f>
        <v>0.81</v>
      </c>
      <c r="C133" s="143">
        <f>VLOOKUP($A133,'Data shares'!$C:$FA,119)</f>
        <v>0.74</v>
      </c>
      <c r="D133" s="143">
        <f>VLOOKUP($A133,'Data shares'!$C:$FA,121)*100</f>
        <v>9.4600000000000009</v>
      </c>
      <c r="E133" s="143">
        <f>VLOOKUP($A133,'Data shares'!$C:$FA,124)</f>
        <v>0.53</v>
      </c>
      <c r="F133" s="143">
        <f>VLOOKUP($A133,'Data shares'!$C:$FA,125)</f>
        <v>0.4</v>
      </c>
      <c r="G133" s="143">
        <f>VLOOKUP($A133,'Data shares'!$C:$FA,127)*100</f>
        <v>32.5</v>
      </c>
      <c r="H133" s="103">
        <f>VLOOKUP($A133,'OI(Volume)'!$A$7:$O$427,8)</f>
        <v>2797200</v>
      </c>
      <c r="I133" s="103">
        <f>VLOOKUP($A133,'OI(Volume)'!$A$7:$O$427,9)</f>
        <v>-390000</v>
      </c>
      <c r="J133" s="103">
        <f>VLOOKUP($A133,'OI(Volume)'!$A$7:$O$427,11)</f>
        <v>2263200</v>
      </c>
      <c r="K133" s="103">
        <f>VLOOKUP($A133,'OI(Volume)'!$A$7:$O$427,12)</f>
        <v>-88800</v>
      </c>
      <c r="L133" s="103">
        <f>VLOOKUP($A133,'OI(Value)'!$A$7:$O$306,8,0)</f>
        <v>201</v>
      </c>
      <c r="M133" s="103">
        <f>VLOOKUP($A133,'OI(Value)'!$A$7:$O$306,9,0)</f>
        <v>-28</v>
      </c>
      <c r="N133" s="103">
        <f>VLOOKUP($A133,'OI(Value)'!$A$7:$O$306,11,0)</f>
        <v>163</v>
      </c>
      <c r="O133" s="103">
        <f>VLOOKUP($A133,'OI(Value)'!$A$7:$O$306,12,0)</f>
        <v>-6</v>
      </c>
      <c r="P133" s="179">
        <f>VLOOKUP(A133,'OI(Value)'!A133:O334,8,0)</f>
        <v>201</v>
      </c>
      <c r="Q133" s="179">
        <f>VLOOKUP(A133,'OI(Value)'!A133:O334,9,0)</f>
        <v>-28</v>
      </c>
      <c r="R133" s="179">
        <f>VLOOKUP(A133,'OI(Value)'!A133:O334,11,0)</f>
        <v>163</v>
      </c>
      <c r="S133" s="179">
        <f>VLOOKUP(A133,'OI(Value)'!A133:O334,11,0)</f>
        <v>163</v>
      </c>
    </row>
    <row r="134" spans="1:19" x14ac:dyDescent="0.25">
      <c r="A134" s="105" t="str">
        <f>'Data shares'!C129</f>
        <v>MARUTI</v>
      </c>
      <c r="B134" s="143">
        <f>VLOOKUP($A134,'Data shares'!$C:$FA,118)</f>
        <v>0.55000000000000004</v>
      </c>
      <c r="C134" s="143">
        <f>VLOOKUP($A134,'Data shares'!$C:$FA,119)</f>
        <v>0.51</v>
      </c>
      <c r="D134" s="143">
        <f>VLOOKUP($A134,'Data shares'!$C:$FA,121)*100</f>
        <v>7.84</v>
      </c>
      <c r="E134" s="143">
        <f>VLOOKUP($A134,'Data shares'!$C:$FA,124)</f>
        <v>0.43</v>
      </c>
      <c r="F134" s="143">
        <f>VLOOKUP($A134,'Data shares'!$C:$FA,125)</f>
        <v>0.53</v>
      </c>
      <c r="G134" s="143">
        <f>VLOOKUP($A134,'Data shares'!$C:$FA,127)*100</f>
        <v>-18.87</v>
      </c>
      <c r="H134" s="103">
        <f>VLOOKUP($A134,'OI(Volume)'!$A$7:$O$427,8)</f>
        <v>2383850</v>
      </c>
      <c r="I134" s="103">
        <f>VLOOKUP($A134,'OI(Volume)'!$A$7:$O$427,9)</f>
        <v>47050</v>
      </c>
      <c r="J134" s="103">
        <f>VLOOKUP($A134,'OI(Volume)'!$A$7:$O$427,11)</f>
        <v>1303500</v>
      </c>
      <c r="K134" s="103">
        <f>VLOOKUP($A134,'OI(Volume)'!$A$7:$O$427,12)</f>
        <v>105950</v>
      </c>
      <c r="L134" s="103">
        <f>VLOOKUP($A134,'OI(Value)'!$A$7:$O$306,8,0)</f>
        <v>3829</v>
      </c>
      <c r="M134" s="103">
        <f>VLOOKUP($A134,'OI(Value)'!$A$7:$O$306,9,0)</f>
        <v>76</v>
      </c>
      <c r="N134" s="103">
        <f>VLOOKUP($A134,'OI(Value)'!$A$7:$O$306,11,0)</f>
        <v>2094</v>
      </c>
      <c r="O134" s="103">
        <f>VLOOKUP($A134,'OI(Value)'!$A$7:$O$306,12,0)</f>
        <v>170</v>
      </c>
      <c r="P134" s="179">
        <f>VLOOKUP(A134,'OI(Value)'!A134:O335,8,0)</f>
        <v>3829</v>
      </c>
      <c r="Q134" s="179">
        <f>VLOOKUP(A134,'OI(Value)'!A134:O335,9,0)</f>
        <v>76</v>
      </c>
      <c r="R134" s="179">
        <f>VLOOKUP(A134,'OI(Value)'!A134:O335,11,0)</f>
        <v>2094</v>
      </c>
      <c r="S134" s="179">
        <f>VLOOKUP(A134,'OI(Value)'!A134:O335,11,0)</f>
        <v>2094</v>
      </c>
    </row>
    <row r="135" spans="1:19" x14ac:dyDescent="0.25">
      <c r="A135" s="105" t="str">
        <f>'Data shares'!C130</f>
        <v>MAXHEALTH</v>
      </c>
      <c r="B135" s="143">
        <f>VLOOKUP($A135,'Data shares'!$C:$FA,118)</f>
        <v>0.82</v>
      </c>
      <c r="C135" s="143">
        <f>VLOOKUP($A135,'Data shares'!$C:$FA,119)</f>
        <v>0.5</v>
      </c>
      <c r="D135" s="143">
        <f>VLOOKUP($A135,'Data shares'!$C:$FA,121)*100</f>
        <v>64</v>
      </c>
      <c r="E135" s="143">
        <f>VLOOKUP($A135,'Data shares'!$C:$FA,124)</f>
        <v>0.46</v>
      </c>
      <c r="F135" s="143">
        <f>VLOOKUP($A135,'Data shares'!$C:$FA,125)</f>
        <v>0.84</v>
      </c>
      <c r="G135" s="143">
        <f>VLOOKUP($A135,'Data shares'!$C:$FA,127)*100</f>
        <v>-45.24</v>
      </c>
      <c r="H135" s="103">
        <f>VLOOKUP($A135,'OI(Volume)'!$A$7:$O$427,8)</f>
        <v>3564225</v>
      </c>
      <c r="I135" s="103">
        <f>VLOOKUP($A135,'OI(Volume)'!$A$7:$O$427,9)</f>
        <v>-1379175</v>
      </c>
      <c r="J135" s="103">
        <f>VLOOKUP($A135,'OI(Volume)'!$A$7:$O$427,11)</f>
        <v>2924775</v>
      </c>
      <c r="K135" s="103">
        <f>VLOOKUP($A135,'OI(Volume)'!$A$7:$O$427,12)</f>
        <v>459900</v>
      </c>
      <c r="L135" s="103">
        <f>VLOOKUP($A135,'OI(Value)'!$A$7:$O$306,8,0)</f>
        <v>407</v>
      </c>
      <c r="M135" s="103">
        <f>VLOOKUP($A135,'OI(Value)'!$A$7:$O$306,9,0)</f>
        <v>-158</v>
      </c>
      <c r="N135" s="103">
        <f>VLOOKUP($A135,'OI(Value)'!$A$7:$O$306,11,0)</f>
        <v>334</v>
      </c>
      <c r="O135" s="103">
        <f>VLOOKUP($A135,'OI(Value)'!$A$7:$O$306,12,0)</f>
        <v>53</v>
      </c>
      <c r="P135" s="179">
        <f>VLOOKUP(A135,'OI(Value)'!A135:O336,8,0)</f>
        <v>407</v>
      </c>
      <c r="Q135" s="179">
        <f>VLOOKUP(A135,'OI(Value)'!A135:O336,9,0)</f>
        <v>-158</v>
      </c>
      <c r="R135" s="179">
        <f>VLOOKUP(A135,'OI(Value)'!A135:O336,11,0)</f>
        <v>334</v>
      </c>
      <c r="S135" s="179">
        <f>VLOOKUP(A135,'OI(Value)'!A135:O336,11,0)</f>
        <v>334</v>
      </c>
    </row>
    <row r="136" spans="1:19" x14ac:dyDescent="0.25">
      <c r="A136" s="105" t="str">
        <f>'Data shares'!C131</f>
        <v>MAZDOCK</v>
      </c>
      <c r="B136" s="143">
        <f>VLOOKUP($A136,'Data shares'!$C:$FA,118)</f>
        <v>0.61</v>
      </c>
      <c r="C136" s="143">
        <f>VLOOKUP($A136,'Data shares'!$C:$FA,119)</f>
        <v>0.59</v>
      </c>
      <c r="D136" s="143">
        <f>VLOOKUP($A136,'Data shares'!$C:$FA,121)*100</f>
        <v>3.39</v>
      </c>
      <c r="E136" s="143">
        <f>VLOOKUP($A136,'Data shares'!$C:$FA,124)</f>
        <v>0.39</v>
      </c>
      <c r="F136" s="143">
        <f>VLOOKUP($A136,'Data shares'!$C:$FA,125)</f>
        <v>0.25</v>
      </c>
      <c r="G136" s="143">
        <f>VLOOKUP($A136,'Data shares'!$C:$FA,127)*100</f>
        <v>56.000000000000007</v>
      </c>
      <c r="H136" s="103">
        <f>VLOOKUP($A136,'OI(Volume)'!$A$7:$O$427,8)</f>
        <v>1908025</v>
      </c>
      <c r="I136" s="103">
        <f>VLOOKUP($A136,'OI(Volume)'!$A$7:$O$427,9)</f>
        <v>98000</v>
      </c>
      <c r="J136" s="103">
        <f>VLOOKUP($A136,'OI(Volume)'!$A$7:$O$427,11)</f>
        <v>1171975</v>
      </c>
      <c r="K136" s="103">
        <f>VLOOKUP($A136,'OI(Volume)'!$A$7:$O$427,12)</f>
        <v>96425</v>
      </c>
      <c r="L136" s="103">
        <f>VLOOKUP($A136,'OI(Value)'!$A$7:$O$306,8,0)</f>
        <v>554</v>
      </c>
      <c r="M136" s="103">
        <f>VLOOKUP($A136,'OI(Value)'!$A$7:$O$306,9,0)</f>
        <v>28</v>
      </c>
      <c r="N136" s="103">
        <f>VLOOKUP($A136,'OI(Value)'!$A$7:$O$306,11,0)</f>
        <v>340</v>
      </c>
      <c r="O136" s="103">
        <f>VLOOKUP($A136,'OI(Value)'!$A$7:$O$306,12,0)</f>
        <v>28</v>
      </c>
      <c r="P136" s="179">
        <f>VLOOKUP(A136,'OI(Value)'!A136:O337,8,0)</f>
        <v>554</v>
      </c>
      <c r="Q136" s="179">
        <f>VLOOKUP(A136,'OI(Value)'!A136:O337,9,0)</f>
        <v>28</v>
      </c>
      <c r="R136" s="179">
        <f>VLOOKUP(A136,'OI(Value)'!A136:O337,11,0)</f>
        <v>340</v>
      </c>
      <c r="S136" s="179">
        <f>VLOOKUP(A136,'OI(Value)'!A136:O337,11,0)</f>
        <v>340</v>
      </c>
    </row>
    <row r="137" spans="1:19" x14ac:dyDescent="0.25">
      <c r="A137" s="105" t="str">
        <f>'Data shares'!C132</f>
        <v>MCX</v>
      </c>
      <c r="B137" s="143">
        <f>VLOOKUP($A137,'Data shares'!$C:$FA,118)</f>
        <v>0.67</v>
      </c>
      <c r="C137" s="143">
        <f>VLOOKUP($A137,'Data shares'!$C:$FA,119)</f>
        <v>0.69</v>
      </c>
      <c r="D137" s="143">
        <f>VLOOKUP($A137,'Data shares'!$C:$FA,121)*100</f>
        <v>-2.9000000000000004</v>
      </c>
      <c r="E137" s="143">
        <f>VLOOKUP($A137,'Data shares'!$C:$FA,124)</f>
        <v>0.46</v>
      </c>
      <c r="F137" s="143">
        <f>VLOOKUP($A137,'Data shares'!$C:$FA,125)</f>
        <v>0.38</v>
      </c>
      <c r="G137" s="143">
        <f>VLOOKUP($A137,'Data shares'!$C:$FA,127)*100</f>
        <v>21.05</v>
      </c>
      <c r="H137" s="103">
        <f>VLOOKUP($A137,'OI(Volume)'!$A$7:$O$427,8)</f>
        <v>1352500</v>
      </c>
      <c r="I137" s="103">
        <f>VLOOKUP($A137,'OI(Volume)'!$A$7:$O$427,9)</f>
        <v>103375</v>
      </c>
      <c r="J137" s="103">
        <f>VLOOKUP($A137,'OI(Volume)'!$A$7:$O$427,11)</f>
        <v>909000</v>
      </c>
      <c r="K137" s="103">
        <f>VLOOKUP($A137,'OI(Volume)'!$A$7:$O$427,12)</f>
        <v>47625</v>
      </c>
      <c r="L137" s="103">
        <f>VLOOKUP($A137,'OI(Value)'!$A$7:$O$306,8,0)</f>
        <v>1115</v>
      </c>
      <c r="M137" s="103">
        <f>VLOOKUP($A137,'OI(Value)'!$A$7:$O$306,9,0)</f>
        <v>85</v>
      </c>
      <c r="N137" s="103">
        <f>VLOOKUP($A137,'OI(Value)'!$A$7:$O$306,11,0)</f>
        <v>749</v>
      </c>
      <c r="O137" s="103">
        <f>VLOOKUP($A137,'OI(Value)'!$A$7:$O$306,12,0)</f>
        <v>39</v>
      </c>
      <c r="P137" s="179">
        <f>VLOOKUP(A137,'OI(Value)'!A137:O338,8,0)</f>
        <v>1115</v>
      </c>
      <c r="Q137" s="179">
        <f>VLOOKUP(A137,'OI(Value)'!A137:O338,9,0)</f>
        <v>85</v>
      </c>
      <c r="R137" s="179">
        <f>VLOOKUP(A137,'OI(Value)'!A137:O338,11,0)</f>
        <v>749</v>
      </c>
      <c r="S137" s="179">
        <f>VLOOKUP(A137,'OI(Value)'!A137:O338,11,0)</f>
        <v>749</v>
      </c>
    </row>
    <row r="138" spans="1:19" x14ac:dyDescent="0.25">
      <c r="A138" s="105" t="str">
        <f>'Data shares'!C133</f>
        <v>MFSL</v>
      </c>
      <c r="B138" s="143">
        <f>VLOOKUP($A138,'Data shares'!$C:$FA,118)</f>
        <v>0.62</v>
      </c>
      <c r="C138" s="143">
        <f>VLOOKUP($A138,'Data shares'!$C:$FA,119)</f>
        <v>0.66</v>
      </c>
      <c r="D138" s="143">
        <f>VLOOKUP($A138,'Data shares'!$C:$FA,121)*100</f>
        <v>-6.0600000000000005</v>
      </c>
      <c r="E138" s="143">
        <f>VLOOKUP($A138,'Data shares'!$C:$FA,124)</f>
        <v>0.28000000000000003</v>
      </c>
      <c r="F138" s="143">
        <f>VLOOKUP($A138,'Data shares'!$C:$FA,125)</f>
        <v>0.37</v>
      </c>
      <c r="G138" s="143">
        <f>VLOOKUP($A138,'Data shares'!$C:$FA,127)*100</f>
        <v>-24.32</v>
      </c>
      <c r="H138" s="103">
        <f>VLOOKUP($A138,'OI(Volume)'!$A$7:$O$427,8)</f>
        <v>806400</v>
      </c>
      <c r="I138" s="103">
        <f>VLOOKUP($A138,'OI(Volume)'!$A$7:$O$427,9)</f>
        <v>104800</v>
      </c>
      <c r="J138" s="103">
        <f>VLOOKUP($A138,'OI(Volume)'!$A$7:$O$427,11)</f>
        <v>499200</v>
      </c>
      <c r="K138" s="103">
        <f>VLOOKUP($A138,'OI(Volume)'!$A$7:$O$427,12)</f>
        <v>37600</v>
      </c>
      <c r="L138" s="103">
        <f>VLOOKUP($A138,'OI(Value)'!$A$7:$O$306,8,0)</f>
        <v>130</v>
      </c>
      <c r="M138" s="103">
        <f>VLOOKUP($A138,'OI(Value)'!$A$7:$O$306,9,0)</f>
        <v>17</v>
      </c>
      <c r="N138" s="103">
        <f>VLOOKUP($A138,'OI(Value)'!$A$7:$O$306,11,0)</f>
        <v>81</v>
      </c>
      <c r="O138" s="103">
        <f>VLOOKUP($A138,'OI(Value)'!$A$7:$O$306,12,0)</f>
        <v>6</v>
      </c>
      <c r="P138" s="179">
        <f>VLOOKUP(A138,'OI(Value)'!A138:O339,8,0)</f>
        <v>130</v>
      </c>
      <c r="Q138" s="179">
        <f>VLOOKUP(A138,'OI(Value)'!A138:O339,9,0)</f>
        <v>17</v>
      </c>
      <c r="R138" s="179">
        <f>VLOOKUP(A138,'OI(Value)'!A138:O339,11,0)</f>
        <v>81</v>
      </c>
      <c r="S138" s="179">
        <f>VLOOKUP(A138,'OI(Value)'!A138:O339,11,0)</f>
        <v>81</v>
      </c>
    </row>
    <row r="139" spans="1:19" x14ac:dyDescent="0.25">
      <c r="A139" s="105" t="str">
        <f>'Data shares'!C134</f>
        <v>MIDCPNIFTY</v>
      </c>
      <c r="B139" s="143">
        <f>VLOOKUP($A139,'Data shares'!$C:$FA,118)</f>
        <v>1.39</v>
      </c>
      <c r="C139" s="143">
        <f>VLOOKUP($A139,'Data shares'!$C:$FA,119)</f>
        <v>1.36</v>
      </c>
      <c r="D139" s="143">
        <f>VLOOKUP($A139,'Data shares'!$C:$FA,121)*100</f>
        <v>2.21</v>
      </c>
      <c r="E139" s="143">
        <f>VLOOKUP($A139,'Data shares'!$C:$FA,124)</f>
        <v>1.26</v>
      </c>
      <c r="F139" s="143">
        <f>VLOOKUP($A139,'Data shares'!$C:$FA,125)</f>
        <v>1</v>
      </c>
      <c r="G139" s="143">
        <f>VLOOKUP($A139,'Data shares'!$C:$FA,127)*100</f>
        <v>26</v>
      </c>
      <c r="H139" s="103">
        <f>VLOOKUP($A139,'OI(Volume)'!$A$7:$O$427,8)</f>
        <v>4232760</v>
      </c>
      <c r="I139" s="103">
        <f>VLOOKUP($A139,'OI(Volume)'!$A$7:$O$427,9)</f>
        <v>223020</v>
      </c>
      <c r="J139" s="103">
        <f>VLOOKUP($A139,'OI(Volume)'!$A$7:$O$427,11)</f>
        <v>5896660</v>
      </c>
      <c r="K139" s="103">
        <f>VLOOKUP($A139,'OI(Volume)'!$A$7:$O$427,12)</f>
        <v>460180</v>
      </c>
      <c r="L139" s="103">
        <f>VLOOKUP($A139,'OI(Value)'!$A$7:$O$306,8,0)</f>
        <v>5509</v>
      </c>
      <c r="M139" s="103">
        <f>VLOOKUP($A139,'OI(Value)'!$A$7:$O$306,9,0)</f>
        <v>290</v>
      </c>
      <c r="N139" s="103">
        <f>VLOOKUP($A139,'OI(Value)'!$A$7:$O$306,11,0)</f>
        <v>7674</v>
      </c>
      <c r="O139" s="103">
        <f>VLOOKUP($A139,'OI(Value)'!$A$7:$O$306,12,0)</f>
        <v>599</v>
      </c>
      <c r="P139" s="179">
        <f>VLOOKUP(A139,'OI(Value)'!A139:O340,8,0)</f>
        <v>5509</v>
      </c>
      <c r="Q139" s="179">
        <f>VLOOKUP(A139,'OI(Value)'!A139:O340,9,0)</f>
        <v>290</v>
      </c>
      <c r="R139" s="179">
        <f>VLOOKUP(A139,'OI(Value)'!A139:O340,11,0)</f>
        <v>7674</v>
      </c>
      <c r="S139" s="179">
        <f>VLOOKUP(A139,'OI(Value)'!A139:O340,11,0)</f>
        <v>7674</v>
      </c>
    </row>
    <row r="140" spans="1:19" x14ac:dyDescent="0.25">
      <c r="A140" s="105" t="str">
        <f>'Data shares'!C135</f>
        <v>MOTHERSON</v>
      </c>
      <c r="B140" s="143">
        <f>VLOOKUP($A140,'Data shares'!$C:$FA,118)</f>
        <v>0.53</v>
      </c>
      <c r="C140" s="143">
        <f>VLOOKUP($A140,'Data shares'!$C:$FA,119)</f>
        <v>0.54</v>
      </c>
      <c r="D140" s="143">
        <f>VLOOKUP($A140,'Data shares'!$C:$FA,121)*100</f>
        <v>-1.8499999999999999</v>
      </c>
      <c r="E140" s="143">
        <f>VLOOKUP($A140,'Data shares'!$C:$FA,124)</f>
        <v>0.47</v>
      </c>
      <c r="F140" s="143">
        <f>VLOOKUP($A140,'Data shares'!$C:$FA,125)</f>
        <v>0.47</v>
      </c>
      <c r="G140" s="143">
        <f>VLOOKUP($A140,'Data shares'!$C:$FA,127)*100</f>
        <v>0</v>
      </c>
      <c r="H140" s="103">
        <f>VLOOKUP($A140,'OI(Volume)'!$A$7:$O$427,8)</f>
        <v>44993400</v>
      </c>
      <c r="I140" s="103">
        <f>VLOOKUP($A140,'OI(Volume)'!$A$7:$O$427,9)</f>
        <v>2601450</v>
      </c>
      <c r="J140" s="103">
        <f>VLOOKUP($A140,'OI(Volume)'!$A$7:$O$427,11)</f>
        <v>23843550</v>
      </c>
      <c r="K140" s="103">
        <f>VLOOKUP($A140,'OI(Volume)'!$A$7:$O$427,12)</f>
        <v>904050</v>
      </c>
      <c r="L140" s="103">
        <f>VLOOKUP($A140,'OI(Value)'!$A$7:$O$306,8,0)</f>
        <v>481</v>
      </c>
      <c r="M140" s="103">
        <f>VLOOKUP($A140,'OI(Value)'!$A$7:$O$306,9,0)</f>
        <v>28</v>
      </c>
      <c r="N140" s="103">
        <f>VLOOKUP($A140,'OI(Value)'!$A$7:$O$306,11,0)</f>
        <v>255</v>
      </c>
      <c r="O140" s="103">
        <f>VLOOKUP($A140,'OI(Value)'!$A$7:$O$306,12,0)</f>
        <v>10</v>
      </c>
      <c r="P140" s="179">
        <f>VLOOKUP(A140,'OI(Value)'!A140:O341,8,0)</f>
        <v>481</v>
      </c>
      <c r="Q140" s="179">
        <f>VLOOKUP(A140,'OI(Value)'!A140:O341,9,0)</f>
        <v>28</v>
      </c>
      <c r="R140" s="179">
        <f>VLOOKUP(A140,'OI(Value)'!A140:O341,11,0)</f>
        <v>255</v>
      </c>
      <c r="S140" s="179">
        <f>VLOOKUP(A140,'OI(Value)'!A140:O341,11,0)</f>
        <v>255</v>
      </c>
    </row>
    <row r="141" spans="1:19" x14ac:dyDescent="0.25">
      <c r="A141" s="105" t="str">
        <f>'Data shares'!C136</f>
        <v>MPHASIS</v>
      </c>
      <c r="B141" s="143">
        <f>VLOOKUP($A141,'Data shares'!$C:$FA,118)</f>
        <v>0.73</v>
      </c>
      <c r="C141" s="143">
        <f>VLOOKUP($A141,'Data shares'!$C:$FA,119)</f>
        <v>0.75</v>
      </c>
      <c r="D141" s="143">
        <f>VLOOKUP($A141,'Data shares'!$C:$FA,121)*100</f>
        <v>-2.67</v>
      </c>
      <c r="E141" s="143">
        <f>VLOOKUP($A141,'Data shares'!$C:$FA,124)</f>
        <v>0.36</v>
      </c>
      <c r="F141" s="143">
        <f>VLOOKUP($A141,'Data shares'!$C:$FA,125)</f>
        <v>0.36</v>
      </c>
      <c r="G141" s="143">
        <f>VLOOKUP($A141,'Data shares'!$C:$FA,127)*100</f>
        <v>0</v>
      </c>
      <c r="H141" s="103">
        <f>VLOOKUP($A141,'OI(Volume)'!$A$7:$O$427,8)</f>
        <v>801625</v>
      </c>
      <c r="I141" s="103">
        <f>VLOOKUP($A141,'OI(Volume)'!$A$7:$O$427,9)</f>
        <v>52525</v>
      </c>
      <c r="J141" s="103">
        <f>VLOOKUP($A141,'OI(Volume)'!$A$7:$O$427,11)</f>
        <v>588225</v>
      </c>
      <c r="K141" s="103">
        <f>VLOOKUP($A141,'OI(Volume)'!$A$7:$O$427,12)</f>
        <v>24475</v>
      </c>
      <c r="L141" s="103">
        <f>VLOOKUP($A141,'OI(Value)'!$A$7:$O$306,8,0)</f>
        <v>225</v>
      </c>
      <c r="M141" s="103">
        <f>VLOOKUP($A141,'OI(Value)'!$A$7:$O$306,9,0)</f>
        <v>15</v>
      </c>
      <c r="N141" s="103">
        <f>VLOOKUP($A141,'OI(Value)'!$A$7:$O$306,11,0)</f>
        <v>165</v>
      </c>
      <c r="O141" s="103">
        <f>VLOOKUP($A141,'OI(Value)'!$A$7:$O$306,12,0)</f>
        <v>7</v>
      </c>
      <c r="P141" s="179">
        <f>VLOOKUP(A141,'OI(Value)'!A141:O342,8,0)</f>
        <v>225</v>
      </c>
      <c r="Q141" s="179">
        <f>VLOOKUP(A141,'OI(Value)'!A141:O342,9,0)</f>
        <v>15</v>
      </c>
      <c r="R141" s="179">
        <f>VLOOKUP(A141,'OI(Value)'!A141:O342,11,0)</f>
        <v>165</v>
      </c>
      <c r="S141" s="179">
        <f>VLOOKUP(A141,'OI(Value)'!A141:O342,11,0)</f>
        <v>165</v>
      </c>
    </row>
    <row r="142" spans="1:19" x14ac:dyDescent="0.25">
      <c r="A142" s="105" t="str">
        <f>'Data shares'!C137</f>
        <v>MUTHOOTFIN</v>
      </c>
      <c r="B142" s="143">
        <f>VLOOKUP($A142,'Data shares'!$C:$FA,118)</f>
        <v>0.71</v>
      </c>
      <c r="C142" s="143">
        <f>VLOOKUP($A142,'Data shares'!$C:$FA,119)</f>
        <v>0.69</v>
      </c>
      <c r="D142" s="143">
        <f>VLOOKUP($A142,'Data shares'!$C:$FA,121)*100</f>
        <v>2.9000000000000004</v>
      </c>
      <c r="E142" s="143">
        <f>VLOOKUP($A142,'Data shares'!$C:$FA,124)</f>
        <v>0.43</v>
      </c>
      <c r="F142" s="143">
        <f>VLOOKUP($A142,'Data shares'!$C:$FA,125)</f>
        <v>0.68</v>
      </c>
      <c r="G142" s="143">
        <f>VLOOKUP($A142,'Data shares'!$C:$FA,127)*100</f>
        <v>-36.76</v>
      </c>
      <c r="H142" s="103">
        <f>VLOOKUP($A142,'OI(Volume)'!$A$7:$O$427,8)</f>
        <v>1714350</v>
      </c>
      <c r="I142" s="103">
        <f>VLOOKUP($A142,'OI(Volume)'!$A$7:$O$427,9)</f>
        <v>396825</v>
      </c>
      <c r="J142" s="103">
        <f>VLOOKUP($A142,'OI(Volume)'!$A$7:$O$427,11)</f>
        <v>1224575</v>
      </c>
      <c r="K142" s="103">
        <f>VLOOKUP($A142,'OI(Volume)'!$A$7:$O$427,12)</f>
        <v>318725</v>
      </c>
      <c r="L142" s="103">
        <f>VLOOKUP($A142,'OI(Value)'!$A$7:$O$306,8,0)</f>
        <v>554</v>
      </c>
      <c r="M142" s="103">
        <f>VLOOKUP($A142,'OI(Value)'!$A$7:$O$306,9,0)</f>
        <v>128</v>
      </c>
      <c r="N142" s="103">
        <f>VLOOKUP($A142,'OI(Value)'!$A$7:$O$306,11,0)</f>
        <v>396</v>
      </c>
      <c r="O142" s="103">
        <f>VLOOKUP($A142,'OI(Value)'!$A$7:$O$306,12,0)</f>
        <v>103</v>
      </c>
      <c r="P142" s="179">
        <f>VLOOKUP(A142,'OI(Value)'!A142:O343,8,0)</f>
        <v>554</v>
      </c>
      <c r="Q142" s="179">
        <f>VLOOKUP(A142,'OI(Value)'!A142:O343,9,0)</f>
        <v>128</v>
      </c>
      <c r="R142" s="179">
        <f>VLOOKUP(A142,'OI(Value)'!A142:O343,11,0)</f>
        <v>396</v>
      </c>
      <c r="S142" s="179">
        <f>VLOOKUP(A142,'OI(Value)'!A142:O343,11,0)</f>
        <v>396</v>
      </c>
    </row>
    <row r="143" spans="1:19" x14ac:dyDescent="0.25">
      <c r="A143" s="105" t="str">
        <f>'Data shares'!C138</f>
        <v>NATIONALUM</v>
      </c>
      <c r="B143" s="143">
        <f>VLOOKUP($A143,'Data shares'!$C:$FA,118)</f>
        <v>0.65</v>
      </c>
      <c r="C143" s="143">
        <f>VLOOKUP($A143,'Data shares'!$C:$FA,119)</f>
        <v>0.75</v>
      </c>
      <c r="D143" s="143">
        <f>VLOOKUP($A143,'Data shares'!$C:$FA,121)*100</f>
        <v>-13.33</v>
      </c>
      <c r="E143" s="143">
        <f>VLOOKUP($A143,'Data shares'!$C:$FA,124)</f>
        <v>0.45</v>
      </c>
      <c r="F143" s="143">
        <f>VLOOKUP($A143,'Data shares'!$C:$FA,125)</f>
        <v>0.44</v>
      </c>
      <c r="G143" s="143">
        <f>VLOOKUP($A143,'Data shares'!$C:$FA,127)*100</f>
        <v>2.27</v>
      </c>
      <c r="H143" s="103">
        <f>VLOOKUP($A143,'OI(Volume)'!$A$7:$O$427,8)</f>
        <v>29208750</v>
      </c>
      <c r="I143" s="103">
        <f>VLOOKUP($A143,'OI(Volume)'!$A$7:$O$427,9)</f>
        <v>5370000</v>
      </c>
      <c r="J143" s="103">
        <f>VLOOKUP($A143,'OI(Volume)'!$A$7:$O$427,11)</f>
        <v>18843750</v>
      </c>
      <c r="K143" s="103">
        <f>VLOOKUP($A143,'OI(Volume)'!$A$7:$O$427,12)</f>
        <v>926250</v>
      </c>
      <c r="L143" s="103">
        <f>VLOOKUP($A143,'OI(Value)'!$A$7:$O$306,8,0)</f>
        <v>637</v>
      </c>
      <c r="M143" s="103">
        <f>VLOOKUP($A143,'OI(Value)'!$A$7:$O$306,9,0)</f>
        <v>117</v>
      </c>
      <c r="N143" s="103">
        <f>VLOOKUP($A143,'OI(Value)'!$A$7:$O$306,11,0)</f>
        <v>411</v>
      </c>
      <c r="O143" s="103">
        <f>VLOOKUP($A143,'OI(Value)'!$A$7:$O$306,12,0)</f>
        <v>20</v>
      </c>
      <c r="P143" s="179">
        <f>VLOOKUP(A143,'OI(Value)'!A143:O344,8,0)</f>
        <v>637</v>
      </c>
      <c r="Q143" s="179">
        <f>VLOOKUP(A143,'OI(Value)'!A143:O344,9,0)</f>
        <v>117</v>
      </c>
      <c r="R143" s="179">
        <f>VLOOKUP(A143,'OI(Value)'!A143:O344,11,0)</f>
        <v>411</v>
      </c>
      <c r="S143" s="179">
        <f>VLOOKUP(A143,'OI(Value)'!A143:O344,11,0)</f>
        <v>411</v>
      </c>
    </row>
    <row r="144" spans="1:19" x14ac:dyDescent="0.25">
      <c r="A144" s="105" t="str">
        <f>'Data shares'!C139</f>
        <v>NAUKRI</v>
      </c>
      <c r="B144" s="143">
        <f>VLOOKUP($A144,'Data shares'!$C:$FA,118)</f>
        <v>0.78</v>
      </c>
      <c r="C144" s="143">
        <f>VLOOKUP($A144,'Data shares'!$C:$FA,119)</f>
        <v>0.7</v>
      </c>
      <c r="D144" s="143">
        <f>VLOOKUP($A144,'Data shares'!$C:$FA,121)*100</f>
        <v>11.43</v>
      </c>
      <c r="E144" s="143">
        <f>VLOOKUP($A144,'Data shares'!$C:$FA,124)</f>
        <v>0.41</v>
      </c>
      <c r="F144" s="143">
        <f>VLOOKUP($A144,'Data shares'!$C:$FA,125)</f>
        <v>0.54</v>
      </c>
      <c r="G144" s="143">
        <f>VLOOKUP($A144,'Data shares'!$C:$FA,127)*100</f>
        <v>-24.07</v>
      </c>
      <c r="H144" s="103">
        <f>VLOOKUP($A144,'OI(Volume)'!$A$7:$O$427,8)</f>
        <v>1215750</v>
      </c>
      <c r="I144" s="103">
        <f>VLOOKUP($A144,'OI(Volume)'!$A$7:$O$427,9)</f>
        <v>70125</v>
      </c>
      <c r="J144" s="103">
        <f>VLOOKUP($A144,'OI(Volume)'!$A$7:$O$427,11)</f>
        <v>953250</v>
      </c>
      <c r="K144" s="103">
        <f>VLOOKUP($A144,'OI(Volume)'!$A$7:$O$427,12)</f>
        <v>153000</v>
      </c>
      <c r="L144" s="103">
        <f>VLOOKUP($A144,'OI(Value)'!$A$7:$O$306,8,0)</f>
        <v>168</v>
      </c>
      <c r="M144" s="103">
        <f>VLOOKUP($A144,'OI(Value)'!$A$7:$O$306,9,0)</f>
        <v>10</v>
      </c>
      <c r="N144" s="103">
        <f>VLOOKUP($A144,'OI(Value)'!$A$7:$O$306,11,0)</f>
        <v>132</v>
      </c>
      <c r="O144" s="103">
        <f>VLOOKUP($A144,'OI(Value)'!$A$7:$O$306,12,0)</f>
        <v>21</v>
      </c>
      <c r="P144" s="179">
        <f>VLOOKUP(A144,'OI(Value)'!A144:O345,8,0)</f>
        <v>168</v>
      </c>
      <c r="Q144" s="179">
        <f>VLOOKUP(A144,'OI(Value)'!A144:O345,9,0)</f>
        <v>10</v>
      </c>
      <c r="R144" s="179">
        <f>VLOOKUP(A144,'OI(Value)'!A144:O345,11,0)</f>
        <v>132</v>
      </c>
      <c r="S144" s="179">
        <f>VLOOKUP(A144,'OI(Value)'!A144:O345,11,0)</f>
        <v>132</v>
      </c>
    </row>
    <row r="145" spans="1:19" x14ac:dyDescent="0.25">
      <c r="A145" s="105" t="str">
        <f>'Data shares'!C140</f>
        <v>NBCC</v>
      </c>
      <c r="B145" s="143">
        <f>VLOOKUP($A145,'Data shares'!$C:$FA,118)</f>
        <v>0.49</v>
      </c>
      <c r="C145" s="143">
        <f>VLOOKUP($A145,'Data shares'!$C:$FA,119)</f>
        <v>0.59</v>
      </c>
      <c r="D145" s="143">
        <f>VLOOKUP($A145,'Data shares'!$C:$FA,121)*100</f>
        <v>-16.950000000000003</v>
      </c>
      <c r="E145" s="143">
        <f>VLOOKUP($A145,'Data shares'!$C:$FA,124)</f>
        <v>0.33</v>
      </c>
      <c r="F145" s="143">
        <f>VLOOKUP($A145,'Data shares'!$C:$FA,125)</f>
        <v>0.31</v>
      </c>
      <c r="G145" s="143">
        <f>VLOOKUP($A145,'Data shares'!$C:$FA,127)*100</f>
        <v>6.45</v>
      </c>
      <c r="H145" s="103">
        <f>VLOOKUP($A145,'OI(Volume)'!$A$7:$O$427,8)</f>
        <v>21606000</v>
      </c>
      <c r="I145" s="103">
        <f>VLOOKUP($A145,'OI(Volume)'!$A$7:$O$427,9)</f>
        <v>4108000</v>
      </c>
      <c r="J145" s="103">
        <f>VLOOKUP($A145,'OI(Volume)'!$A$7:$O$427,11)</f>
        <v>10614500</v>
      </c>
      <c r="K145" s="103">
        <f>VLOOKUP($A145,'OI(Volume)'!$A$7:$O$427,12)</f>
        <v>260000</v>
      </c>
      <c r="L145" s="103">
        <f>VLOOKUP($A145,'OI(Value)'!$A$7:$O$306,8,0)</f>
        <v>242</v>
      </c>
      <c r="M145" s="103">
        <f>VLOOKUP($A145,'OI(Value)'!$A$7:$O$306,9,0)</f>
        <v>46</v>
      </c>
      <c r="N145" s="103">
        <f>VLOOKUP($A145,'OI(Value)'!$A$7:$O$306,11,0)</f>
        <v>119</v>
      </c>
      <c r="O145" s="103">
        <f>VLOOKUP($A145,'OI(Value)'!$A$7:$O$306,12,0)</f>
        <v>3</v>
      </c>
      <c r="P145" s="179">
        <f>VLOOKUP(A145,'OI(Value)'!A145:O346,8,0)</f>
        <v>242</v>
      </c>
      <c r="Q145" s="179">
        <f>VLOOKUP(A145,'OI(Value)'!A145:O346,9,0)</f>
        <v>46</v>
      </c>
      <c r="R145" s="179">
        <f>VLOOKUP(A145,'OI(Value)'!A145:O346,11,0)</f>
        <v>119</v>
      </c>
      <c r="S145" s="179">
        <f>VLOOKUP(A145,'OI(Value)'!A145:O346,11,0)</f>
        <v>119</v>
      </c>
    </row>
    <row r="146" spans="1:19" x14ac:dyDescent="0.25">
      <c r="A146" s="105" t="str">
        <f>'Data shares'!C141</f>
        <v>NCC</v>
      </c>
      <c r="B146" s="143">
        <f>VLOOKUP($A146,'Data shares'!$C:$FA,118)</f>
        <v>0.68</v>
      </c>
      <c r="C146" s="143">
        <f>VLOOKUP($A146,'Data shares'!$C:$FA,119)</f>
        <v>0.71</v>
      </c>
      <c r="D146" s="143">
        <f>VLOOKUP($A146,'Data shares'!$C:$FA,121)*100</f>
        <v>-4.2299999999999995</v>
      </c>
      <c r="E146" s="143">
        <f>VLOOKUP($A146,'Data shares'!$C:$FA,124)</f>
        <v>0.42</v>
      </c>
      <c r="F146" s="143">
        <f>VLOOKUP($A146,'Data shares'!$C:$FA,125)</f>
        <v>0.51</v>
      </c>
      <c r="G146" s="143">
        <f>VLOOKUP($A146,'Data shares'!$C:$FA,127)*100</f>
        <v>-17.649999999999999</v>
      </c>
      <c r="H146" s="103">
        <f>VLOOKUP($A146,'OI(Volume)'!$A$7:$O$427,8)</f>
        <v>4549500</v>
      </c>
      <c r="I146" s="103">
        <f>VLOOKUP($A146,'OI(Volume)'!$A$7:$O$427,9)</f>
        <v>413100</v>
      </c>
      <c r="J146" s="103">
        <f>VLOOKUP($A146,'OI(Volume)'!$A$7:$O$427,11)</f>
        <v>3088800</v>
      </c>
      <c r="K146" s="103">
        <f>VLOOKUP($A146,'OI(Volume)'!$A$7:$O$427,12)</f>
        <v>145800</v>
      </c>
      <c r="L146" s="103">
        <f>VLOOKUP($A146,'OI(Value)'!$A$7:$O$306,8,0)</f>
        <v>96</v>
      </c>
      <c r="M146" s="103">
        <f>VLOOKUP($A146,'OI(Value)'!$A$7:$O$306,9,0)</f>
        <v>9</v>
      </c>
      <c r="N146" s="103">
        <f>VLOOKUP($A146,'OI(Value)'!$A$7:$O$306,11,0)</f>
        <v>65</v>
      </c>
      <c r="O146" s="103">
        <f>VLOOKUP($A146,'OI(Value)'!$A$7:$O$306,12,0)</f>
        <v>3</v>
      </c>
      <c r="P146" s="179">
        <f>VLOOKUP(A146,'OI(Value)'!A146:O347,8,0)</f>
        <v>96</v>
      </c>
      <c r="Q146" s="179">
        <f>VLOOKUP(A146,'OI(Value)'!A146:O347,9,0)</f>
        <v>9</v>
      </c>
      <c r="R146" s="179">
        <f>VLOOKUP(A146,'OI(Value)'!A146:O347,11,0)</f>
        <v>65</v>
      </c>
      <c r="S146" s="179">
        <f>VLOOKUP(A146,'OI(Value)'!A146:O347,11,0)</f>
        <v>65</v>
      </c>
    </row>
    <row r="147" spans="1:19" x14ac:dyDescent="0.25">
      <c r="A147" s="105" t="str">
        <f>'Data shares'!C142</f>
        <v>NESTLEIND</v>
      </c>
      <c r="B147" s="143">
        <f>VLOOKUP($A147,'Data shares'!$C:$FA,118)</f>
        <v>0.55000000000000004</v>
      </c>
      <c r="C147" s="143">
        <f>VLOOKUP($A147,'Data shares'!$C:$FA,119)</f>
        <v>0.63</v>
      </c>
      <c r="D147" s="143">
        <f>VLOOKUP($A147,'Data shares'!$C:$FA,121)*100</f>
        <v>-12.7</v>
      </c>
      <c r="E147" s="143">
        <f>VLOOKUP($A147,'Data shares'!$C:$FA,124)</f>
        <v>0.46</v>
      </c>
      <c r="F147" s="143">
        <f>VLOOKUP($A147,'Data shares'!$C:$FA,125)</f>
        <v>0.36</v>
      </c>
      <c r="G147" s="143">
        <f>VLOOKUP($A147,'Data shares'!$C:$FA,127)*100</f>
        <v>27.779999999999998</v>
      </c>
      <c r="H147" s="103">
        <f>VLOOKUP($A147,'OI(Volume)'!$A$7:$O$427,8)</f>
        <v>2587500</v>
      </c>
      <c r="I147" s="103">
        <f>VLOOKUP($A147,'OI(Volume)'!$A$7:$O$427,9)</f>
        <v>510500</v>
      </c>
      <c r="J147" s="103">
        <f>VLOOKUP($A147,'OI(Volume)'!$A$7:$O$427,11)</f>
        <v>1418500</v>
      </c>
      <c r="K147" s="103">
        <f>VLOOKUP($A147,'OI(Volume)'!$A$7:$O$427,12)</f>
        <v>106500</v>
      </c>
      <c r="L147" s="103">
        <f>VLOOKUP($A147,'OI(Value)'!$A$7:$O$306,8,0)</f>
        <v>307</v>
      </c>
      <c r="M147" s="103">
        <f>VLOOKUP($A147,'OI(Value)'!$A$7:$O$306,9,0)</f>
        <v>61</v>
      </c>
      <c r="N147" s="103">
        <f>VLOOKUP($A147,'OI(Value)'!$A$7:$O$306,11,0)</f>
        <v>168</v>
      </c>
      <c r="O147" s="103">
        <f>VLOOKUP($A147,'OI(Value)'!$A$7:$O$306,12,0)</f>
        <v>13</v>
      </c>
      <c r="P147" s="179">
        <f>VLOOKUP(A147,'OI(Value)'!A147:O348,8,0)</f>
        <v>307</v>
      </c>
      <c r="Q147" s="179">
        <f>VLOOKUP(A147,'OI(Value)'!A147:O348,9,0)</f>
        <v>61</v>
      </c>
      <c r="R147" s="179">
        <f>VLOOKUP(A147,'OI(Value)'!A147:O348,11,0)</f>
        <v>168</v>
      </c>
      <c r="S147" s="179">
        <f>VLOOKUP(A147,'OI(Value)'!A147:O348,11,0)</f>
        <v>168</v>
      </c>
    </row>
    <row r="148" spans="1:19" x14ac:dyDescent="0.25">
      <c r="A148" s="105" t="str">
        <f>'Data shares'!C143</f>
        <v>NHPC</v>
      </c>
      <c r="B148" s="143">
        <f>VLOOKUP($A148,'Data shares'!$C:$FA,118)</f>
        <v>0.47</v>
      </c>
      <c r="C148" s="143">
        <f>VLOOKUP($A148,'Data shares'!$C:$FA,119)</f>
        <v>0.51</v>
      </c>
      <c r="D148" s="143">
        <f>VLOOKUP($A148,'Data shares'!$C:$FA,121)*100</f>
        <v>-7.84</v>
      </c>
      <c r="E148" s="143">
        <f>VLOOKUP($A148,'Data shares'!$C:$FA,124)</f>
        <v>0.26</v>
      </c>
      <c r="F148" s="143">
        <f>VLOOKUP($A148,'Data shares'!$C:$FA,125)</f>
        <v>0.48</v>
      </c>
      <c r="G148" s="143">
        <f>VLOOKUP($A148,'Data shares'!$C:$FA,127)*100</f>
        <v>-45.83</v>
      </c>
      <c r="H148" s="103">
        <f>VLOOKUP($A148,'OI(Volume)'!$A$7:$O$427,8)</f>
        <v>13830400</v>
      </c>
      <c r="I148" s="103">
        <f>VLOOKUP($A148,'OI(Volume)'!$A$7:$O$427,9)</f>
        <v>1670400</v>
      </c>
      <c r="J148" s="103">
        <f>VLOOKUP($A148,'OI(Volume)'!$A$7:$O$427,11)</f>
        <v>6566400</v>
      </c>
      <c r="K148" s="103">
        <f>VLOOKUP($A148,'OI(Volume)'!$A$7:$O$427,12)</f>
        <v>313600</v>
      </c>
      <c r="L148" s="103">
        <f>VLOOKUP($A148,'OI(Value)'!$A$7:$O$306,8,0)</f>
        <v>120</v>
      </c>
      <c r="M148" s="103">
        <f>VLOOKUP($A148,'OI(Value)'!$A$7:$O$306,9,0)</f>
        <v>15</v>
      </c>
      <c r="N148" s="103">
        <f>VLOOKUP($A148,'OI(Value)'!$A$7:$O$306,11,0)</f>
        <v>57</v>
      </c>
      <c r="O148" s="103">
        <f>VLOOKUP($A148,'OI(Value)'!$A$7:$O$306,12,0)</f>
        <v>3</v>
      </c>
      <c r="P148" s="179">
        <f>VLOOKUP(A148,'OI(Value)'!A148:O349,8,0)</f>
        <v>120</v>
      </c>
      <c r="Q148" s="179">
        <f>VLOOKUP(A148,'OI(Value)'!A148:O349,9,0)</f>
        <v>15</v>
      </c>
      <c r="R148" s="179">
        <f>VLOOKUP(A148,'OI(Value)'!A148:O349,11,0)</f>
        <v>57</v>
      </c>
      <c r="S148" s="179">
        <f>VLOOKUP(A148,'OI(Value)'!A148:O349,11,0)</f>
        <v>57</v>
      </c>
    </row>
    <row r="149" spans="1:19" x14ac:dyDescent="0.25">
      <c r="A149" s="105" t="str">
        <f>'Data shares'!C144</f>
        <v>NIFTY</v>
      </c>
      <c r="B149" s="143">
        <f>VLOOKUP($A149,'Data shares'!$C:$FA,118)</f>
        <v>1.33</v>
      </c>
      <c r="C149" s="143">
        <f>VLOOKUP($A149,'Data shares'!$C:$FA,119)</f>
        <v>1.17</v>
      </c>
      <c r="D149" s="143">
        <f>VLOOKUP($A149,'Data shares'!$C:$FA,121)*100</f>
        <v>13.68</v>
      </c>
      <c r="E149" s="143">
        <f>VLOOKUP($A149,'Data shares'!$C:$FA,124)</f>
        <v>0.88</v>
      </c>
      <c r="F149" s="143">
        <f>VLOOKUP($A149,'Data shares'!$C:$FA,125)</f>
        <v>0.92</v>
      </c>
      <c r="G149" s="143">
        <f>VLOOKUP($A149,'Data shares'!$C:$FA,127)*100</f>
        <v>-4.3499999999999996</v>
      </c>
      <c r="H149" s="103">
        <f>VLOOKUP($A149,'OI(Volume)'!$A$7:$O$427,8)</f>
        <v>255426225</v>
      </c>
      <c r="I149" s="103">
        <f>VLOOKUP($A149,'OI(Volume)'!$A$7:$O$427,9)</f>
        <v>472300</v>
      </c>
      <c r="J149" s="103">
        <f>VLOOKUP($A149,'OI(Volume)'!$A$7:$O$427,11)</f>
        <v>340369400</v>
      </c>
      <c r="K149" s="103">
        <f>VLOOKUP($A149,'OI(Volume)'!$A$7:$O$427,12)</f>
        <v>41510900</v>
      </c>
      <c r="L149" s="103">
        <f>VLOOKUP($A149,'OI(Value)'!$A$7:$O$306,8,0)</f>
        <v>643301</v>
      </c>
      <c r="M149" s="103">
        <f>VLOOKUP($A149,'OI(Value)'!$A$7:$O$306,9,0)</f>
        <v>1190</v>
      </c>
      <c r="N149" s="103">
        <f>VLOOKUP($A149,'OI(Value)'!$A$7:$O$306,11,0)</f>
        <v>857234</v>
      </c>
      <c r="O149" s="103">
        <f>VLOOKUP($A149,'OI(Value)'!$A$7:$O$306,12,0)</f>
        <v>104547</v>
      </c>
      <c r="P149" s="179">
        <f>VLOOKUP(A149,'OI(Value)'!A149:O350,8,0)</f>
        <v>643301</v>
      </c>
      <c r="Q149" s="179">
        <f>VLOOKUP(A149,'OI(Value)'!A149:O350,9,0)</f>
        <v>1190</v>
      </c>
      <c r="R149" s="179">
        <f>VLOOKUP(A149,'OI(Value)'!A149:O350,11,0)</f>
        <v>857234</v>
      </c>
      <c r="S149" s="179">
        <f>VLOOKUP(A149,'OI(Value)'!A149:O350,11,0)</f>
        <v>857234</v>
      </c>
    </row>
    <row r="150" spans="1:19" x14ac:dyDescent="0.25">
      <c r="A150" s="105" t="str">
        <f>'Data shares'!C145</f>
        <v>NIFTYNXT50</v>
      </c>
      <c r="B150" s="143">
        <f>VLOOKUP($A150,'Data shares'!$C:$FA,118)</f>
        <v>0.33</v>
      </c>
      <c r="C150" s="143">
        <f>VLOOKUP($A150,'Data shares'!$C:$FA,119)</f>
        <v>0.28000000000000003</v>
      </c>
      <c r="D150" s="143">
        <f>VLOOKUP($A150,'Data shares'!$C:$FA,121)*100</f>
        <v>17.86</v>
      </c>
      <c r="E150" s="143">
        <f>VLOOKUP($A150,'Data shares'!$C:$FA,124)</f>
        <v>0.79</v>
      </c>
      <c r="F150" s="143">
        <f>VLOOKUP($A150,'Data shares'!$C:$FA,125)</f>
        <v>0.39</v>
      </c>
      <c r="G150" s="143">
        <f>VLOOKUP($A150,'Data shares'!$C:$FA,127)*100</f>
        <v>102.56</v>
      </c>
      <c r="H150" s="103">
        <f>VLOOKUP($A150,'OI(Volume)'!$A$7:$O$427,8)</f>
        <v>2650</v>
      </c>
      <c r="I150" s="103">
        <f>VLOOKUP($A150,'OI(Volume)'!$A$7:$O$427,9)</f>
        <v>525</v>
      </c>
      <c r="J150" s="103">
        <f>VLOOKUP($A150,'OI(Volume)'!$A$7:$O$427,11)</f>
        <v>875</v>
      </c>
      <c r="K150" s="103">
        <f>VLOOKUP($A150,'OI(Volume)'!$A$7:$O$427,12)</f>
        <v>275</v>
      </c>
      <c r="L150" s="103">
        <f>VLOOKUP($A150,'OI(Value)'!$A$7:$O$306,8,0)</f>
        <v>18</v>
      </c>
      <c r="M150" s="103">
        <f>VLOOKUP($A150,'OI(Value)'!$A$7:$O$306,9,0)</f>
        <v>4</v>
      </c>
      <c r="N150" s="103">
        <f>VLOOKUP($A150,'OI(Value)'!$A$7:$O$306,11,0)</f>
        <v>6</v>
      </c>
      <c r="O150" s="103">
        <f>VLOOKUP($A150,'OI(Value)'!$A$7:$O$306,12,0)</f>
        <v>2</v>
      </c>
      <c r="P150" s="179">
        <f>VLOOKUP(A150,'OI(Value)'!A150:O351,8,0)</f>
        <v>18</v>
      </c>
      <c r="Q150" s="179">
        <f>VLOOKUP(A150,'OI(Value)'!A150:O351,9,0)</f>
        <v>4</v>
      </c>
      <c r="R150" s="179">
        <f>VLOOKUP(A150,'OI(Value)'!A150:O351,11,0)</f>
        <v>6</v>
      </c>
      <c r="S150" s="179">
        <f>VLOOKUP(A150,'OI(Value)'!A150:O351,11,0)</f>
        <v>6</v>
      </c>
    </row>
    <row r="151" spans="1:19" x14ac:dyDescent="0.25">
      <c r="A151" s="105" t="str">
        <f>'Data shares'!C146</f>
        <v>NMDC</v>
      </c>
      <c r="B151" s="143">
        <f>VLOOKUP($A151,'Data shares'!$C:$FA,118)</f>
        <v>0.69</v>
      </c>
      <c r="C151" s="143">
        <f>VLOOKUP($A151,'Data shares'!$C:$FA,119)</f>
        <v>0.75</v>
      </c>
      <c r="D151" s="143">
        <f>VLOOKUP($A151,'Data shares'!$C:$FA,121)*100</f>
        <v>-8</v>
      </c>
      <c r="E151" s="143">
        <f>VLOOKUP($A151,'Data shares'!$C:$FA,124)</f>
        <v>0.43</v>
      </c>
      <c r="F151" s="143">
        <f>VLOOKUP($A151,'Data shares'!$C:$FA,125)</f>
        <v>0.41</v>
      </c>
      <c r="G151" s="143">
        <f>VLOOKUP($A151,'Data shares'!$C:$FA,127)*100</f>
        <v>4.88</v>
      </c>
      <c r="H151" s="103">
        <f>VLOOKUP($A151,'OI(Volume)'!$A$7:$O$427,8)</f>
        <v>92475000</v>
      </c>
      <c r="I151" s="103">
        <f>VLOOKUP($A151,'OI(Volume)'!$A$7:$O$427,9)</f>
        <v>10759500</v>
      </c>
      <c r="J151" s="103">
        <f>VLOOKUP($A151,'OI(Volume)'!$A$7:$O$427,11)</f>
        <v>64165500</v>
      </c>
      <c r="K151" s="103">
        <f>VLOOKUP($A151,'OI(Volume)'!$A$7:$O$427,12)</f>
        <v>2970000</v>
      </c>
      <c r="L151" s="103">
        <f>VLOOKUP($A151,'OI(Value)'!$A$7:$O$306,8,0)</f>
        <v>708</v>
      </c>
      <c r="M151" s="103">
        <f>VLOOKUP($A151,'OI(Value)'!$A$7:$O$306,9,0)</f>
        <v>82</v>
      </c>
      <c r="N151" s="103">
        <f>VLOOKUP($A151,'OI(Value)'!$A$7:$O$306,11,0)</f>
        <v>491</v>
      </c>
      <c r="O151" s="103">
        <f>VLOOKUP($A151,'OI(Value)'!$A$7:$O$306,12,0)</f>
        <v>23</v>
      </c>
      <c r="P151" s="179">
        <f>VLOOKUP(A151,'OI(Value)'!A151:O352,8,0)</f>
        <v>708</v>
      </c>
      <c r="Q151" s="179">
        <f>VLOOKUP(A151,'OI(Value)'!A151:O352,9,0)</f>
        <v>82</v>
      </c>
      <c r="R151" s="179">
        <f>VLOOKUP(A151,'OI(Value)'!A151:O352,11,0)</f>
        <v>491</v>
      </c>
      <c r="S151" s="179">
        <f>VLOOKUP(A151,'OI(Value)'!A151:O352,11,0)</f>
        <v>491</v>
      </c>
    </row>
    <row r="152" spans="1:19" x14ac:dyDescent="0.25">
      <c r="A152" s="105" t="str">
        <f>'Data shares'!C147</f>
        <v>NTPC</v>
      </c>
      <c r="B152" s="143">
        <f>VLOOKUP($A152,'Data shares'!$C:$FA,118)</f>
        <v>0.67</v>
      </c>
      <c r="C152" s="143">
        <f>VLOOKUP($A152,'Data shares'!$C:$FA,119)</f>
        <v>0.72</v>
      </c>
      <c r="D152" s="143">
        <f>VLOOKUP($A152,'Data shares'!$C:$FA,121)*100</f>
        <v>-6.94</v>
      </c>
      <c r="E152" s="143">
        <f>VLOOKUP($A152,'Data shares'!$C:$FA,124)</f>
        <v>0.43</v>
      </c>
      <c r="F152" s="143">
        <f>VLOOKUP($A152,'Data shares'!$C:$FA,125)</f>
        <v>0.51</v>
      </c>
      <c r="G152" s="143">
        <f>VLOOKUP($A152,'Data shares'!$C:$FA,127)*100</f>
        <v>-15.690000000000001</v>
      </c>
      <c r="H152" s="103">
        <f>VLOOKUP($A152,'OI(Volume)'!$A$7:$O$427,8)</f>
        <v>23199000</v>
      </c>
      <c r="I152" s="103">
        <f>VLOOKUP($A152,'OI(Volume)'!$A$7:$O$427,9)</f>
        <v>3058500</v>
      </c>
      <c r="J152" s="103">
        <f>VLOOKUP($A152,'OI(Volume)'!$A$7:$O$427,11)</f>
        <v>15549000</v>
      </c>
      <c r="K152" s="103">
        <f>VLOOKUP($A152,'OI(Volume)'!$A$7:$O$427,12)</f>
        <v>1123500</v>
      </c>
      <c r="L152" s="103">
        <f>VLOOKUP($A152,'OI(Value)'!$A$7:$O$306,8,0)</f>
        <v>791</v>
      </c>
      <c r="M152" s="103">
        <f>VLOOKUP($A152,'OI(Value)'!$A$7:$O$306,9,0)</f>
        <v>104</v>
      </c>
      <c r="N152" s="103">
        <f>VLOOKUP($A152,'OI(Value)'!$A$7:$O$306,11,0)</f>
        <v>530</v>
      </c>
      <c r="O152" s="103">
        <f>VLOOKUP($A152,'OI(Value)'!$A$7:$O$306,12,0)</f>
        <v>38</v>
      </c>
      <c r="P152" s="179">
        <f>VLOOKUP(A152,'OI(Value)'!A152:O353,8,0)</f>
        <v>791</v>
      </c>
      <c r="Q152" s="179">
        <f>VLOOKUP(A152,'OI(Value)'!A152:O353,9,0)</f>
        <v>104</v>
      </c>
      <c r="R152" s="179">
        <f>VLOOKUP(A152,'OI(Value)'!A152:O353,11,0)</f>
        <v>530</v>
      </c>
      <c r="S152" s="179">
        <f>VLOOKUP(A152,'OI(Value)'!A152:O353,11,0)</f>
        <v>530</v>
      </c>
    </row>
    <row r="153" spans="1:19" x14ac:dyDescent="0.25">
      <c r="A153" s="105" t="str">
        <f>'Data shares'!C148</f>
        <v>NUVAMA</v>
      </c>
      <c r="B153" s="143">
        <f>VLOOKUP($A153,'Data shares'!$C:$FA,118)</f>
        <v>0.65</v>
      </c>
      <c r="C153" s="143">
        <f>VLOOKUP($A153,'Data shares'!$C:$FA,119)</f>
        <v>0.49</v>
      </c>
      <c r="D153" s="143">
        <f>VLOOKUP($A153,'Data shares'!$C:$FA,121)*100</f>
        <v>32.65</v>
      </c>
      <c r="E153" s="143">
        <f>VLOOKUP($A153,'Data shares'!$C:$FA,124)</f>
        <v>0.39</v>
      </c>
      <c r="F153" s="143">
        <f>VLOOKUP($A153,'Data shares'!$C:$FA,125)</f>
        <v>0.31</v>
      </c>
      <c r="G153" s="143">
        <f>VLOOKUP($A153,'Data shares'!$C:$FA,127)*100</f>
        <v>25.81</v>
      </c>
      <c r="H153" s="103">
        <f>VLOOKUP($A153,'OI(Volume)'!$A$7:$O$427,8)</f>
        <v>241500</v>
      </c>
      <c r="I153" s="103">
        <f>VLOOKUP($A153,'OI(Volume)'!$A$7:$O$427,9)</f>
        <v>-76800</v>
      </c>
      <c r="J153" s="103">
        <f>VLOOKUP($A153,'OI(Volume)'!$A$7:$O$427,11)</f>
        <v>157875</v>
      </c>
      <c r="K153" s="103">
        <f>VLOOKUP($A153,'OI(Volume)'!$A$7:$O$427,12)</f>
        <v>3150</v>
      </c>
      <c r="L153" s="103">
        <f>VLOOKUP($A153,'OI(Value)'!$A$7:$O$306,8,0)</f>
        <v>167</v>
      </c>
      <c r="M153" s="103">
        <f>VLOOKUP($A153,'OI(Value)'!$A$7:$O$306,9,0)</f>
        <v>-53</v>
      </c>
      <c r="N153" s="103">
        <f>VLOOKUP($A153,'OI(Value)'!$A$7:$O$306,11,0)</f>
        <v>109</v>
      </c>
      <c r="O153" s="103">
        <f>VLOOKUP($A153,'OI(Value)'!$A$7:$O$306,12,0)</f>
        <v>2</v>
      </c>
      <c r="P153" s="179">
        <f>VLOOKUP(A153,'OI(Value)'!A153:O354,8,0)</f>
        <v>167</v>
      </c>
      <c r="Q153" s="179">
        <f>VLOOKUP(A153,'OI(Value)'!A153:O354,9,0)</f>
        <v>-53</v>
      </c>
      <c r="R153" s="179">
        <f>VLOOKUP(A153,'OI(Value)'!A153:O354,11,0)</f>
        <v>109</v>
      </c>
      <c r="S153" s="179">
        <f>VLOOKUP(A153,'OI(Value)'!A153:O354,11,0)</f>
        <v>109</v>
      </c>
    </row>
    <row r="154" spans="1:19" x14ac:dyDescent="0.25">
      <c r="A154" s="105" t="str">
        <f>'Data shares'!C149</f>
        <v>NYKAA</v>
      </c>
      <c r="B154" s="143">
        <f>VLOOKUP($A154,'Data shares'!$C:$FA,118)</f>
        <v>0.63</v>
      </c>
      <c r="C154" s="143">
        <f>VLOOKUP($A154,'Data shares'!$C:$FA,119)</f>
        <v>0.51</v>
      </c>
      <c r="D154" s="143">
        <f>VLOOKUP($A154,'Data shares'!$C:$FA,121)*100</f>
        <v>23.53</v>
      </c>
      <c r="E154" s="143">
        <f>VLOOKUP($A154,'Data shares'!$C:$FA,124)</f>
        <v>0.37</v>
      </c>
      <c r="F154" s="143">
        <f>VLOOKUP($A154,'Data shares'!$C:$FA,125)</f>
        <v>0.3</v>
      </c>
      <c r="G154" s="143">
        <f>VLOOKUP($A154,'Data shares'!$C:$FA,127)*100</f>
        <v>23.330000000000002</v>
      </c>
      <c r="H154" s="103">
        <f>VLOOKUP($A154,'OI(Volume)'!$A$7:$O$427,8)</f>
        <v>11993750</v>
      </c>
      <c r="I154" s="103">
        <f>VLOOKUP($A154,'OI(Volume)'!$A$7:$O$427,9)</f>
        <v>4925000</v>
      </c>
      <c r="J154" s="103">
        <f>VLOOKUP($A154,'OI(Volume)'!$A$7:$O$427,11)</f>
        <v>7603125</v>
      </c>
      <c r="K154" s="103">
        <f>VLOOKUP($A154,'OI(Volume)'!$A$7:$O$427,12)</f>
        <v>3990625</v>
      </c>
      <c r="L154" s="103">
        <f>VLOOKUP($A154,'OI(Value)'!$A$7:$O$306,8,0)</f>
        <v>305</v>
      </c>
      <c r="M154" s="103">
        <f>VLOOKUP($A154,'OI(Value)'!$A$7:$O$306,9,0)</f>
        <v>125</v>
      </c>
      <c r="N154" s="103">
        <f>VLOOKUP($A154,'OI(Value)'!$A$7:$O$306,11,0)</f>
        <v>193</v>
      </c>
      <c r="O154" s="103">
        <f>VLOOKUP($A154,'OI(Value)'!$A$7:$O$306,12,0)</f>
        <v>102</v>
      </c>
      <c r="P154" s="179">
        <f>VLOOKUP(A154,'OI(Value)'!A154:O355,8,0)</f>
        <v>305</v>
      </c>
      <c r="Q154" s="179">
        <f>VLOOKUP(A154,'OI(Value)'!A154:O355,9,0)</f>
        <v>125</v>
      </c>
      <c r="R154" s="179">
        <f>VLOOKUP(A154,'OI(Value)'!A154:O355,11,0)</f>
        <v>193</v>
      </c>
      <c r="S154" s="179">
        <f>VLOOKUP(A154,'OI(Value)'!A154:O355,11,0)</f>
        <v>193</v>
      </c>
    </row>
    <row r="155" spans="1:19" x14ac:dyDescent="0.25">
      <c r="A155" s="105" t="str">
        <f>'Data shares'!C150</f>
        <v>OBEROIRLTY</v>
      </c>
      <c r="B155" s="143">
        <f>VLOOKUP($A155,'Data shares'!$C:$FA,118)</f>
        <v>0.76</v>
      </c>
      <c r="C155" s="143">
        <f>VLOOKUP($A155,'Data shares'!$C:$FA,119)</f>
        <v>0.79</v>
      </c>
      <c r="D155" s="143">
        <f>VLOOKUP($A155,'Data shares'!$C:$FA,121)*100</f>
        <v>-3.8</v>
      </c>
      <c r="E155" s="143">
        <f>VLOOKUP($A155,'Data shares'!$C:$FA,124)</f>
        <v>0.25</v>
      </c>
      <c r="F155" s="143">
        <f>VLOOKUP($A155,'Data shares'!$C:$FA,125)</f>
        <v>0.28000000000000003</v>
      </c>
      <c r="G155" s="143">
        <f>VLOOKUP($A155,'Data shares'!$C:$FA,127)*100</f>
        <v>-10.71</v>
      </c>
      <c r="H155" s="103">
        <f>VLOOKUP($A155,'OI(Volume)'!$A$7:$O$427,8)</f>
        <v>848750</v>
      </c>
      <c r="I155" s="103">
        <f>VLOOKUP($A155,'OI(Volume)'!$A$7:$O$427,9)</f>
        <v>55300</v>
      </c>
      <c r="J155" s="103">
        <f>VLOOKUP($A155,'OI(Volume)'!$A$7:$O$427,11)</f>
        <v>643300</v>
      </c>
      <c r="K155" s="103">
        <f>VLOOKUP($A155,'OI(Volume)'!$A$7:$O$427,12)</f>
        <v>15750</v>
      </c>
      <c r="L155" s="103">
        <f>VLOOKUP($A155,'OI(Value)'!$A$7:$O$306,8,0)</f>
        <v>139</v>
      </c>
      <c r="M155" s="103">
        <f>VLOOKUP($A155,'OI(Value)'!$A$7:$O$306,9,0)</f>
        <v>9</v>
      </c>
      <c r="N155" s="103">
        <f>VLOOKUP($A155,'OI(Value)'!$A$7:$O$306,11,0)</f>
        <v>105</v>
      </c>
      <c r="O155" s="103">
        <f>VLOOKUP($A155,'OI(Value)'!$A$7:$O$306,12,0)</f>
        <v>3</v>
      </c>
      <c r="P155" s="179">
        <f>VLOOKUP(A155,'OI(Value)'!A155:O356,8,0)</f>
        <v>139</v>
      </c>
      <c r="Q155" s="179">
        <f>VLOOKUP(A155,'OI(Value)'!A155:O356,9,0)</f>
        <v>9</v>
      </c>
      <c r="R155" s="179">
        <f>VLOOKUP(A155,'OI(Value)'!A155:O356,11,0)</f>
        <v>105</v>
      </c>
      <c r="S155" s="179">
        <f>VLOOKUP(A155,'OI(Value)'!A155:O356,11,0)</f>
        <v>105</v>
      </c>
    </row>
    <row r="156" spans="1:19" x14ac:dyDescent="0.25">
      <c r="A156" s="105" t="str">
        <f>'Data shares'!C151</f>
        <v>OFSS</v>
      </c>
      <c r="B156" s="143">
        <f>VLOOKUP($A156,'Data shares'!$C:$FA,118)</f>
        <v>0.62</v>
      </c>
      <c r="C156" s="143">
        <f>VLOOKUP($A156,'Data shares'!$C:$FA,119)</f>
        <v>0.61</v>
      </c>
      <c r="D156" s="143">
        <f>VLOOKUP($A156,'Data shares'!$C:$FA,121)*100</f>
        <v>1.6400000000000001</v>
      </c>
      <c r="E156" s="143">
        <f>VLOOKUP($A156,'Data shares'!$C:$FA,124)</f>
        <v>0.35</v>
      </c>
      <c r="F156" s="143">
        <f>VLOOKUP($A156,'Data shares'!$C:$FA,125)</f>
        <v>0.34</v>
      </c>
      <c r="G156" s="143">
        <f>VLOOKUP($A156,'Data shares'!$C:$FA,127)*100</f>
        <v>2.94</v>
      </c>
      <c r="H156" s="103">
        <f>VLOOKUP($A156,'OI(Volume)'!$A$7:$O$427,8)</f>
        <v>387375</v>
      </c>
      <c r="I156" s="103">
        <f>VLOOKUP($A156,'OI(Volume)'!$A$7:$O$427,9)</f>
        <v>2925</v>
      </c>
      <c r="J156" s="103">
        <f>VLOOKUP($A156,'OI(Volume)'!$A$7:$O$427,11)</f>
        <v>240975</v>
      </c>
      <c r="K156" s="103">
        <f>VLOOKUP($A156,'OI(Volume)'!$A$7:$O$427,12)</f>
        <v>8100</v>
      </c>
      <c r="L156" s="103">
        <f>VLOOKUP($A156,'OI(Value)'!$A$7:$O$306,8,0)</f>
        <v>354</v>
      </c>
      <c r="M156" s="103">
        <f>VLOOKUP($A156,'OI(Value)'!$A$7:$O$306,9,0)</f>
        <v>3</v>
      </c>
      <c r="N156" s="103">
        <f>VLOOKUP($A156,'OI(Value)'!$A$7:$O$306,11,0)</f>
        <v>220</v>
      </c>
      <c r="O156" s="103">
        <f>VLOOKUP($A156,'OI(Value)'!$A$7:$O$306,12,0)</f>
        <v>7</v>
      </c>
      <c r="P156" s="179">
        <f>VLOOKUP(A156,'OI(Value)'!A156:O357,8,0)</f>
        <v>354</v>
      </c>
      <c r="Q156" s="179">
        <f>VLOOKUP(A156,'OI(Value)'!A156:O357,9,0)</f>
        <v>3</v>
      </c>
      <c r="R156" s="179">
        <f>VLOOKUP(A156,'OI(Value)'!A156:O357,11,0)</f>
        <v>220</v>
      </c>
      <c r="S156" s="179">
        <f>VLOOKUP(A156,'OI(Value)'!A156:O357,11,0)</f>
        <v>220</v>
      </c>
    </row>
    <row r="157" spans="1:19" x14ac:dyDescent="0.25">
      <c r="A157" s="105" t="str">
        <f>'Data shares'!C152</f>
        <v>OIL</v>
      </c>
      <c r="B157" s="143">
        <f>VLOOKUP($A157,'Data shares'!$C:$FA,118)</f>
        <v>0.5</v>
      </c>
      <c r="C157" s="143">
        <f>VLOOKUP($A157,'Data shares'!$C:$FA,119)</f>
        <v>0.46</v>
      </c>
      <c r="D157" s="143">
        <f>VLOOKUP($A157,'Data shares'!$C:$FA,121)*100</f>
        <v>8.6999999999999993</v>
      </c>
      <c r="E157" s="143">
        <f>VLOOKUP($A157,'Data shares'!$C:$FA,124)</f>
        <v>0.34</v>
      </c>
      <c r="F157" s="143">
        <f>VLOOKUP($A157,'Data shares'!$C:$FA,125)</f>
        <v>0.41</v>
      </c>
      <c r="G157" s="143">
        <f>VLOOKUP($A157,'Data shares'!$C:$FA,127)*100</f>
        <v>-17.07</v>
      </c>
      <c r="H157" s="103">
        <f>VLOOKUP($A157,'OI(Volume)'!$A$7:$O$427,8)</f>
        <v>4585000</v>
      </c>
      <c r="I157" s="103">
        <f>VLOOKUP($A157,'OI(Volume)'!$A$7:$O$427,9)</f>
        <v>16800</v>
      </c>
      <c r="J157" s="103">
        <f>VLOOKUP($A157,'OI(Volume)'!$A$7:$O$427,11)</f>
        <v>2311400</v>
      </c>
      <c r="K157" s="103">
        <f>VLOOKUP($A157,'OI(Volume)'!$A$7:$O$427,12)</f>
        <v>210000</v>
      </c>
      <c r="L157" s="103">
        <f>VLOOKUP($A157,'OI(Value)'!$A$7:$O$306,8,0)</f>
        <v>193</v>
      </c>
      <c r="M157" s="103">
        <f>VLOOKUP($A157,'OI(Value)'!$A$7:$O$306,9,0)</f>
        <v>1</v>
      </c>
      <c r="N157" s="103">
        <f>VLOOKUP($A157,'OI(Value)'!$A$7:$O$306,11,0)</f>
        <v>97</v>
      </c>
      <c r="O157" s="103">
        <f>VLOOKUP($A157,'OI(Value)'!$A$7:$O$306,12,0)</f>
        <v>9</v>
      </c>
      <c r="P157" s="179">
        <f>VLOOKUP(A157,'OI(Value)'!A157:O358,8,0)</f>
        <v>193</v>
      </c>
      <c r="Q157" s="179">
        <f>VLOOKUP(A157,'OI(Value)'!A157:O358,9,0)</f>
        <v>1</v>
      </c>
      <c r="R157" s="179">
        <f>VLOOKUP(A157,'OI(Value)'!A157:O358,11,0)</f>
        <v>97</v>
      </c>
      <c r="S157" s="179">
        <f>VLOOKUP(A157,'OI(Value)'!A157:O358,11,0)</f>
        <v>97</v>
      </c>
    </row>
    <row r="158" spans="1:19" x14ac:dyDescent="0.25">
      <c r="A158" s="105" t="str">
        <f>'Data shares'!C153</f>
        <v>ONGC</v>
      </c>
      <c r="B158" s="143">
        <f>VLOOKUP($A158,'Data shares'!$C:$FA,118)</f>
        <v>0.53</v>
      </c>
      <c r="C158" s="143">
        <f>VLOOKUP($A158,'Data shares'!$C:$FA,119)</f>
        <v>0.61</v>
      </c>
      <c r="D158" s="143">
        <f>VLOOKUP($A158,'Data shares'!$C:$FA,121)*100</f>
        <v>-13.11</v>
      </c>
      <c r="E158" s="143">
        <f>VLOOKUP($A158,'Data shares'!$C:$FA,124)</f>
        <v>0.42</v>
      </c>
      <c r="F158" s="143">
        <f>VLOOKUP($A158,'Data shares'!$C:$FA,125)</f>
        <v>0.41</v>
      </c>
      <c r="G158" s="143">
        <f>VLOOKUP($A158,'Data shares'!$C:$FA,127)*100</f>
        <v>2.44</v>
      </c>
      <c r="H158" s="103">
        <f>VLOOKUP($A158,'OI(Volume)'!$A$7:$O$427,8)</f>
        <v>35154000</v>
      </c>
      <c r="I158" s="103">
        <f>VLOOKUP($A158,'OI(Volume)'!$A$7:$O$427,9)</f>
        <v>4205250</v>
      </c>
      <c r="J158" s="103">
        <f>VLOOKUP($A158,'OI(Volume)'!$A$7:$O$427,11)</f>
        <v>18661500</v>
      </c>
      <c r="K158" s="103">
        <f>VLOOKUP($A158,'OI(Volume)'!$A$7:$O$427,12)</f>
        <v>-252000</v>
      </c>
      <c r="L158" s="103">
        <f>VLOOKUP($A158,'OI(Value)'!$A$7:$O$306,8,0)</f>
        <v>869</v>
      </c>
      <c r="M158" s="103">
        <f>VLOOKUP($A158,'OI(Value)'!$A$7:$O$306,9,0)</f>
        <v>104</v>
      </c>
      <c r="N158" s="103">
        <f>VLOOKUP($A158,'OI(Value)'!$A$7:$O$306,11,0)</f>
        <v>461</v>
      </c>
      <c r="O158" s="103">
        <f>VLOOKUP($A158,'OI(Value)'!$A$7:$O$306,12,0)</f>
        <v>-6</v>
      </c>
      <c r="P158" s="179">
        <f>VLOOKUP(A158,'OI(Value)'!A158:O359,8,0)</f>
        <v>869</v>
      </c>
      <c r="Q158" s="179">
        <f>VLOOKUP(A158,'OI(Value)'!A158:O359,9,0)</f>
        <v>104</v>
      </c>
      <c r="R158" s="179">
        <f>VLOOKUP(A158,'OI(Value)'!A158:O359,11,0)</f>
        <v>461</v>
      </c>
      <c r="S158" s="179">
        <f>VLOOKUP(A158,'OI(Value)'!A158:O359,11,0)</f>
        <v>461</v>
      </c>
    </row>
    <row r="159" spans="1:19" x14ac:dyDescent="0.25">
      <c r="A159" s="105" t="str">
        <f>'Data shares'!C154</f>
        <v>PAGEIND</v>
      </c>
      <c r="B159" s="143">
        <f>VLOOKUP($A159,'Data shares'!$C:$FA,118)</f>
        <v>0.45</v>
      </c>
      <c r="C159" s="143">
        <f>VLOOKUP($A159,'Data shares'!$C:$FA,119)</f>
        <v>0.46</v>
      </c>
      <c r="D159" s="143">
        <f>VLOOKUP($A159,'Data shares'!$C:$FA,121)*100</f>
        <v>-2.17</v>
      </c>
      <c r="E159" s="143">
        <f>VLOOKUP($A159,'Data shares'!$C:$FA,124)</f>
        <v>0.15</v>
      </c>
      <c r="F159" s="143">
        <f>VLOOKUP($A159,'Data shares'!$C:$FA,125)</f>
        <v>0.26</v>
      </c>
      <c r="G159" s="143">
        <f>VLOOKUP($A159,'Data shares'!$C:$FA,127)*100</f>
        <v>-42.309999999999995</v>
      </c>
      <c r="H159" s="103">
        <f>VLOOKUP($A159,'OI(Volume)'!$A$7:$O$427,8)</f>
        <v>65820</v>
      </c>
      <c r="I159" s="103">
        <f>VLOOKUP($A159,'OI(Volume)'!$A$7:$O$427,9)</f>
        <v>7005</v>
      </c>
      <c r="J159" s="103">
        <f>VLOOKUP($A159,'OI(Volume)'!$A$7:$O$427,11)</f>
        <v>29370</v>
      </c>
      <c r="K159" s="103">
        <f>VLOOKUP($A159,'OI(Volume)'!$A$7:$O$427,12)</f>
        <v>2040</v>
      </c>
      <c r="L159" s="103">
        <f>VLOOKUP($A159,'OI(Value)'!$A$7:$O$306,8,0)</f>
        <v>275</v>
      </c>
      <c r="M159" s="103">
        <f>VLOOKUP($A159,'OI(Value)'!$A$7:$O$306,9,0)</f>
        <v>29</v>
      </c>
      <c r="N159" s="103">
        <f>VLOOKUP($A159,'OI(Value)'!$A$7:$O$306,11,0)</f>
        <v>123</v>
      </c>
      <c r="O159" s="103">
        <f>VLOOKUP($A159,'OI(Value)'!$A$7:$O$306,12,0)</f>
        <v>9</v>
      </c>
      <c r="P159" s="179">
        <f>VLOOKUP(A159,'OI(Value)'!A159:O360,8,0)</f>
        <v>275</v>
      </c>
      <c r="Q159" s="179">
        <f>VLOOKUP(A159,'OI(Value)'!A159:O360,9,0)</f>
        <v>29</v>
      </c>
      <c r="R159" s="179">
        <f>VLOOKUP(A159,'OI(Value)'!A159:O360,11,0)</f>
        <v>123</v>
      </c>
      <c r="S159" s="179">
        <f>VLOOKUP(A159,'OI(Value)'!A159:O360,11,0)</f>
        <v>123</v>
      </c>
    </row>
    <row r="160" spans="1:19" x14ac:dyDescent="0.25">
      <c r="A160" s="105" t="str">
        <f>'Data shares'!C155</f>
        <v>PATANJALI</v>
      </c>
      <c r="B160" s="143">
        <f>VLOOKUP($A160,'Data shares'!$C:$FA,118)</f>
        <v>0.53</v>
      </c>
      <c r="C160" s="143">
        <f>VLOOKUP($A160,'Data shares'!$C:$FA,119)</f>
        <v>0.66</v>
      </c>
      <c r="D160" s="143">
        <f>VLOOKUP($A160,'Data shares'!$C:$FA,121)*100</f>
        <v>-19.7</v>
      </c>
      <c r="E160" s="143">
        <f>VLOOKUP($A160,'Data shares'!$C:$FA,124)</f>
        <v>0.36</v>
      </c>
      <c r="F160" s="143">
        <f>VLOOKUP($A160,'Data shares'!$C:$FA,125)</f>
        <v>0.62</v>
      </c>
      <c r="G160" s="143">
        <f>VLOOKUP($A160,'Data shares'!$C:$FA,127)*100</f>
        <v>-41.94</v>
      </c>
      <c r="H160" s="103">
        <f>VLOOKUP($A160,'OI(Volume)'!$A$7:$O$427,8)</f>
        <v>4182300</v>
      </c>
      <c r="I160" s="103">
        <f>VLOOKUP($A160,'OI(Volume)'!$A$7:$O$427,9)</f>
        <v>868500</v>
      </c>
      <c r="J160" s="103">
        <f>VLOOKUP($A160,'OI(Volume)'!$A$7:$O$427,11)</f>
        <v>2227500</v>
      </c>
      <c r="K160" s="103">
        <f>VLOOKUP($A160,'OI(Volume)'!$A$7:$O$427,12)</f>
        <v>45900</v>
      </c>
      <c r="L160" s="103">
        <f>VLOOKUP($A160,'OI(Value)'!$A$7:$O$306,8,0)</f>
        <v>251</v>
      </c>
      <c r="M160" s="103">
        <f>VLOOKUP($A160,'OI(Value)'!$A$7:$O$306,9,0)</f>
        <v>52</v>
      </c>
      <c r="N160" s="103">
        <f>VLOOKUP($A160,'OI(Value)'!$A$7:$O$306,11,0)</f>
        <v>134</v>
      </c>
      <c r="O160" s="103">
        <f>VLOOKUP($A160,'OI(Value)'!$A$7:$O$306,12,0)</f>
        <v>3</v>
      </c>
      <c r="P160" s="179">
        <f>VLOOKUP(A160,'OI(Value)'!A160:O361,8,0)</f>
        <v>251</v>
      </c>
      <c r="Q160" s="179">
        <f>VLOOKUP(A160,'OI(Value)'!A160:O361,9,0)</f>
        <v>52</v>
      </c>
      <c r="R160" s="179">
        <f>VLOOKUP(A160,'OI(Value)'!A160:O361,11,0)</f>
        <v>134</v>
      </c>
      <c r="S160" s="179">
        <f>VLOOKUP(A160,'OI(Value)'!A160:O361,11,0)</f>
        <v>134</v>
      </c>
    </row>
    <row r="161" spans="1:19" x14ac:dyDescent="0.25">
      <c r="A161" s="105" t="str">
        <f>'Data shares'!C156</f>
        <v>PAYTM</v>
      </c>
      <c r="B161" s="143">
        <f>VLOOKUP($A161,'Data shares'!$C:$FA,118)</f>
        <v>0.92</v>
      </c>
      <c r="C161" s="143">
        <f>VLOOKUP($A161,'Data shares'!$C:$FA,119)</f>
        <v>0.89</v>
      </c>
      <c r="D161" s="143">
        <f>VLOOKUP($A161,'Data shares'!$C:$FA,121)*100</f>
        <v>3.37</v>
      </c>
      <c r="E161" s="143">
        <f>VLOOKUP($A161,'Data shares'!$C:$FA,124)</f>
        <v>0.51</v>
      </c>
      <c r="F161" s="143">
        <f>VLOOKUP($A161,'Data shares'!$C:$FA,125)</f>
        <v>0.42</v>
      </c>
      <c r="G161" s="143">
        <f>VLOOKUP($A161,'Data shares'!$C:$FA,127)*100</f>
        <v>21.43</v>
      </c>
      <c r="H161" s="103">
        <f>VLOOKUP($A161,'OI(Volume)'!$A$7:$O$427,8)</f>
        <v>5428075</v>
      </c>
      <c r="I161" s="103">
        <f>VLOOKUP($A161,'OI(Volume)'!$A$7:$O$427,9)</f>
        <v>409625</v>
      </c>
      <c r="J161" s="103">
        <f>VLOOKUP($A161,'OI(Volume)'!$A$7:$O$427,11)</f>
        <v>4998150</v>
      </c>
      <c r="K161" s="103">
        <f>VLOOKUP($A161,'OI(Volume)'!$A$7:$O$427,12)</f>
        <v>556075</v>
      </c>
      <c r="L161" s="103">
        <f>VLOOKUP($A161,'OI(Value)'!$A$7:$O$306,8,0)</f>
        <v>667</v>
      </c>
      <c r="M161" s="103">
        <f>VLOOKUP($A161,'OI(Value)'!$A$7:$O$306,9,0)</f>
        <v>50</v>
      </c>
      <c r="N161" s="103">
        <f>VLOOKUP($A161,'OI(Value)'!$A$7:$O$306,11,0)</f>
        <v>614</v>
      </c>
      <c r="O161" s="103">
        <f>VLOOKUP($A161,'OI(Value)'!$A$7:$O$306,12,0)</f>
        <v>68</v>
      </c>
      <c r="P161" s="179">
        <f>VLOOKUP(A161,'OI(Value)'!A161:O362,8,0)</f>
        <v>667</v>
      </c>
      <c r="Q161" s="179">
        <f>VLOOKUP(A161,'OI(Value)'!A161:O362,9,0)</f>
        <v>50</v>
      </c>
      <c r="R161" s="179">
        <f>VLOOKUP(A161,'OI(Value)'!A161:O362,11,0)</f>
        <v>614</v>
      </c>
      <c r="S161" s="179">
        <f>VLOOKUP(A161,'OI(Value)'!A161:O362,11,0)</f>
        <v>614</v>
      </c>
    </row>
    <row r="162" spans="1:19" x14ac:dyDescent="0.25">
      <c r="A162" s="105" t="str">
        <f>'Data shares'!C157</f>
        <v>PERSISTENT</v>
      </c>
      <c r="B162" s="143">
        <f>VLOOKUP($A162,'Data shares'!$C:$FA,118)</f>
        <v>0.68</v>
      </c>
      <c r="C162" s="143">
        <f>VLOOKUP($A162,'Data shares'!$C:$FA,119)</f>
        <v>0.68</v>
      </c>
      <c r="D162" s="143">
        <f>VLOOKUP($A162,'Data shares'!$C:$FA,121)*100</f>
        <v>0</v>
      </c>
      <c r="E162" s="143">
        <f>VLOOKUP($A162,'Data shares'!$C:$FA,124)</f>
        <v>0.44</v>
      </c>
      <c r="F162" s="143">
        <f>VLOOKUP($A162,'Data shares'!$C:$FA,125)</f>
        <v>0.39</v>
      </c>
      <c r="G162" s="143">
        <f>VLOOKUP($A162,'Data shares'!$C:$FA,127)*100</f>
        <v>12.82</v>
      </c>
      <c r="H162" s="103">
        <f>VLOOKUP($A162,'OI(Volume)'!$A$7:$O$427,8)</f>
        <v>748900</v>
      </c>
      <c r="I162" s="103">
        <f>VLOOKUP($A162,'OI(Volume)'!$A$7:$O$427,9)</f>
        <v>26600</v>
      </c>
      <c r="J162" s="103">
        <f>VLOOKUP($A162,'OI(Volume)'!$A$7:$O$427,11)</f>
        <v>509100</v>
      </c>
      <c r="K162" s="103">
        <f>VLOOKUP($A162,'OI(Volume)'!$A$7:$O$427,12)</f>
        <v>20900</v>
      </c>
      <c r="L162" s="103">
        <f>VLOOKUP($A162,'OI(Value)'!$A$7:$O$306,8,0)</f>
        <v>390</v>
      </c>
      <c r="M162" s="103">
        <f>VLOOKUP($A162,'OI(Value)'!$A$7:$O$306,9,0)</f>
        <v>14</v>
      </c>
      <c r="N162" s="103">
        <f>VLOOKUP($A162,'OI(Value)'!$A$7:$O$306,11,0)</f>
        <v>265</v>
      </c>
      <c r="O162" s="103">
        <f>VLOOKUP($A162,'OI(Value)'!$A$7:$O$306,12,0)</f>
        <v>11</v>
      </c>
      <c r="P162" s="179">
        <f>VLOOKUP(A162,'OI(Value)'!A162:O363,8,0)</f>
        <v>390</v>
      </c>
      <c r="Q162" s="179">
        <f>VLOOKUP(A162,'OI(Value)'!A162:O363,9,0)</f>
        <v>14</v>
      </c>
      <c r="R162" s="179">
        <f>VLOOKUP(A162,'OI(Value)'!A162:O363,11,0)</f>
        <v>265</v>
      </c>
      <c r="S162" s="179">
        <f>VLOOKUP(A162,'OI(Value)'!A162:O363,11,0)</f>
        <v>265</v>
      </c>
    </row>
    <row r="163" spans="1:19" x14ac:dyDescent="0.25">
      <c r="A163" s="105" t="str">
        <f>'Data shares'!C158</f>
        <v>PETRONET</v>
      </c>
      <c r="B163" s="143">
        <f>VLOOKUP($A163,'Data shares'!$C:$FA,118)</f>
        <v>1.04</v>
      </c>
      <c r="C163" s="143">
        <f>VLOOKUP($A163,'Data shares'!$C:$FA,119)</f>
        <v>1.17</v>
      </c>
      <c r="D163" s="143">
        <f>VLOOKUP($A163,'Data shares'!$C:$FA,121)*100</f>
        <v>-11.110000000000001</v>
      </c>
      <c r="E163" s="143">
        <f>VLOOKUP($A163,'Data shares'!$C:$FA,124)</f>
        <v>0.24</v>
      </c>
      <c r="F163" s="143">
        <f>VLOOKUP($A163,'Data shares'!$C:$FA,125)</f>
        <v>0.6</v>
      </c>
      <c r="G163" s="143">
        <f>VLOOKUP($A163,'Data shares'!$C:$FA,127)*100</f>
        <v>-60</v>
      </c>
      <c r="H163" s="103">
        <f>VLOOKUP($A163,'OI(Volume)'!$A$7:$O$427,8)</f>
        <v>13726800</v>
      </c>
      <c r="I163" s="103">
        <f>VLOOKUP($A163,'OI(Volume)'!$A$7:$O$427,9)</f>
        <v>2151000</v>
      </c>
      <c r="J163" s="103">
        <f>VLOOKUP($A163,'OI(Volume)'!$A$7:$O$427,11)</f>
        <v>14209200</v>
      </c>
      <c r="K163" s="103">
        <f>VLOOKUP($A163,'OI(Volume)'!$A$7:$O$427,12)</f>
        <v>721800</v>
      </c>
      <c r="L163" s="103">
        <f>VLOOKUP($A163,'OI(Value)'!$A$7:$O$306,8,0)</f>
        <v>387</v>
      </c>
      <c r="M163" s="103">
        <f>VLOOKUP($A163,'OI(Value)'!$A$7:$O$306,9,0)</f>
        <v>61</v>
      </c>
      <c r="N163" s="103">
        <f>VLOOKUP($A163,'OI(Value)'!$A$7:$O$306,11,0)</f>
        <v>401</v>
      </c>
      <c r="O163" s="103">
        <f>VLOOKUP($A163,'OI(Value)'!$A$7:$O$306,12,0)</f>
        <v>20</v>
      </c>
      <c r="P163" s="179">
        <f>VLOOKUP(A163,'OI(Value)'!A163:O364,8,0)</f>
        <v>387</v>
      </c>
      <c r="Q163" s="179">
        <f>VLOOKUP(A163,'OI(Value)'!A163:O364,9,0)</f>
        <v>61</v>
      </c>
      <c r="R163" s="179">
        <f>VLOOKUP(A163,'OI(Value)'!A163:O364,11,0)</f>
        <v>401</v>
      </c>
      <c r="S163" s="179">
        <f>VLOOKUP(A163,'OI(Value)'!A163:O364,11,0)</f>
        <v>401</v>
      </c>
    </row>
    <row r="164" spans="1:19" x14ac:dyDescent="0.25">
      <c r="A164" s="105" t="str">
        <f>'Data shares'!C159</f>
        <v>PFC</v>
      </c>
      <c r="B164" s="143">
        <f>VLOOKUP($A164,'Data shares'!$C:$FA,118)</f>
        <v>0.79</v>
      </c>
      <c r="C164" s="143">
        <f>VLOOKUP($A164,'Data shares'!$C:$FA,119)</f>
        <v>0.84</v>
      </c>
      <c r="D164" s="143">
        <f>VLOOKUP($A164,'Data shares'!$C:$FA,121)*100</f>
        <v>-5.9499999999999993</v>
      </c>
      <c r="E164" s="143">
        <f>VLOOKUP($A164,'Data shares'!$C:$FA,124)</f>
        <v>0.48</v>
      </c>
      <c r="F164" s="143">
        <f>VLOOKUP($A164,'Data shares'!$C:$FA,125)</f>
        <v>0.51</v>
      </c>
      <c r="G164" s="143">
        <f>VLOOKUP($A164,'Data shares'!$C:$FA,127)*100</f>
        <v>-5.88</v>
      </c>
      <c r="H164" s="103">
        <f>VLOOKUP($A164,'OI(Volume)'!$A$7:$O$427,8)</f>
        <v>19072300</v>
      </c>
      <c r="I164" s="103">
        <f>VLOOKUP($A164,'OI(Volume)'!$A$7:$O$427,9)</f>
        <v>3094000</v>
      </c>
      <c r="J164" s="103">
        <f>VLOOKUP($A164,'OI(Volume)'!$A$7:$O$427,11)</f>
        <v>15130700</v>
      </c>
      <c r="K164" s="103">
        <f>VLOOKUP($A164,'OI(Volume)'!$A$7:$O$427,12)</f>
        <v>1669200</v>
      </c>
      <c r="L164" s="103">
        <f>VLOOKUP($A164,'OI(Value)'!$A$7:$O$306,8,0)</f>
        <v>777</v>
      </c>
      <c r="M164" s="103">
        <f>VLOOKUP($A164,'OI(Value)'!$A$7:$O$306,9,0)</f>
        <v>126</v>
      </c>
      <c r="N164" s="103">
        <f>VLOOKUP($A164,'OI(Value)'!$A$7:$O$306,11,0)</f>
        <v>617</v>
      </c>
      <c r="O164" s="103">
        <f>VLOOKUP($A164,'OI(Value)'!$A$7:$O$306,12,0)</f>
        <v>68</v>
      </c>
      <c r="P164" s="179">
        <f>VLOOKUP(A164,'OI(Value)'!A164:O365,8,0)</f>
        <v>777</v>
      </c>
      <c r="Q164" s="179">
        <f>VLOOKUP(A164,'OI(Value)'!A164:O365,9,0)</f>
        <v>126</v>
      </c>
      <c r="R164" s="179">
        <f>VLOOKUP(A164,'OI(Value)'!A164:O365,11,0)</f>
        <v>617</v>
      </c>
      <c r="S164" s="179">
        <f>VLOOKUP(A164,'OI(Value)'!A164:O365,11,0)</f>
        <v>617</v>
      </c>
    </row>
    <row r="165" spans="1:19" x14ac:dyDescent="0.25">
      <c r="A165" s="105" t="str">
        <f>'Data shares'!C160</f>
        <v>PGEL</v>
      </c>
      <c r="B165" s="143">
        <f>VLOOKUP($A165,'Data shares'!$C:$FA,118)</f>
        <v>0.5</v>
      </c>
      <c r="C165" s="143">
        <f>VLOOKUP($A165,'Data shares'!$C:$FA,119)</f>
        <v>0.5</v>
      </c>
      <c r="D165" s="143">
        <f>VLOOKUP($A165,'Data shares'!$C:$FA,121)*100</f>
        <v>0</v>
      </c>
      <c r="E165" s="143">
        <f>VLOOKUP($A165,'Data shares'!$C:$FA,124)</f>
        <v>0.4</v>
      </c>
      <c r="F165" s="143">
        <f>VLOOKUP($A165,'Data shares'!$C:$FA,125)</f>
        <v>0.28999999999999998</v>
      </c>
      <c r="G165" s="143">
        <f>VLOOKUP($A165,'Data shares'!$C:$FA,127)*100</f>
        <v>37.93</v>
      </c>
      <c r="H165" s="103">
        <f>VLOOKUP($A165,'OI(Volume)'!$A$7:$O$427,8)</f>
        <v>3976000</v>
      </c>
      <c r="I165" s="103">
        <f>VLOOKUP($A165,'OI(Volume)'!$A$7:$O$427,9)</f>
        <v>457800</v>
      </c>
      <c r="J165" s="103">
        <f>VLOOKUP($A165,'OI(Volume)'!$A$7:$O$427,11)</f>
        <v>1988700</v>
      </c>
      <c r="K165" s="103">
        <f>VLOOKUP($A165,'OI(Volume)'!$A$7:$O$427,12)</f>
        <v>245700</v>
      </c>
      <c r="L165" s="103">
        <f>VLOOKUP($A165,'OI(Value)'!$A$7:$O$306,8,0)</f>
        <v>207</v>
      </c>
      <c r="M165" s="103">
        <f>VLOOKUP($A165,'OI(Value)'!$A$7:$O$306,9,0)</f>
        <v>24</v>
      </c>
      <c r="N165" s="103">
        <f>VLOOKUP($A165,'OI(Value)'!$A$7:$O$306,11,0)</f>
        <v>104</v>
      </c>
      <c r="O165" s="103">
        <f>VLOOKUP($A165,'OI(Value)'!$A$7:$O$306,12,0)</f>
        <v>13</v>
      </c>
      <c r="P165" s="179">
        <f>VLOOKUP(A165,'OI(Value)'!A165:O366,8,0)</f>
        <v>207</v>
      </c>
      <c r="Q165" s="179">
        <f>VLOOKUP(A165,'OI(Value)'!A165:O366,9,0)</f>
        <v>24</v>
      </c>
      <c r="R165" s="179">
        <f>VLOOKUP(A165,'OI(Value)'!A165:O366,11,0)</f>
        <v>104</v>
      </c>
      <c r="S165" s="179">
        <f>VLOOKUP(A165,'OI(Value)'!A165:O366,11,0)</f>
        <v>104</v>
      </c>
    </row>
    <row r="166" spans="1:19" x14ac:dyDescent="0.25">
      <c r="A166" s="105" t="str">
        <f>'Data shares'!C161</f>
        <v>PHOENIXLTD</v>
      </c>
      <c r="B166" s="143">
        <f>VLOOKUP($A166,'Data shares'!$C:$FA,118)</f>
        <v>0.55000000000000004</v>
      </c>
      <c r="C166" s="143">
        <f>VLOOKUP($A166,'Data shares'!$C:$FA,119)</f>
        <v>0.54</v>
      </c>
      <c r="D166" s="143">
        <f>VLOOKUP($A166,'Data shares'!$C:$FA,121)*100</f>
        <v>1.8499999999999999</v>
      </c>
      <c r="E166" s="143">
        <f>VLOOKUP($A166,'Data shares'!$C:$FA,124)</f>
        <v>0.24</v>
      </c>
      <c r="F166" s="143">
        <f>VLOOKUP($A166,'Data shares'!$C:$FA,125)</f>
        <v>0.53</v>
      </c>
      <c r="G166" s="143">
        <f>VLOOKUP($A166,'Data shares'!$C:$FA,127)*100</f>
        <v>-54.72</v>
      </c>
      <c r="H166" s="103">
        <f>VLOOKUP($A166,'OI(Volume)'!$A$7:$O$427,8)</f>
        <v>575750</v>
      </c>
      <c r="I166" s="103">
        <f>VLOOKUP($A166,'OI(Volume)'!$A$7:$O$427,9)</f>
        <v>85400</v>
      </c>
      <c r="J166" s="103">
        <f>VLOOKUP($A166,'OI(Volume)'!$A$7:$O$427,11)</f>
        <v>318150</v>
      </c>
      <c r="K166" s="103">
        <f>VLOOKUP($A166,'OI(Volume)'!$A$7:$O$427,12)</f>
        <v>52500</v>
      </c>
      <c r="L166" s="103">
        <f>VLOOKUP($A166,'OI(Value)'!$A$7:$O$306,8,0)</f>
        <v>92</v>
      </c>
      <c r="M166" s="103">
        <f>VLOOKUP($A166,'OI(Value)'!$A$7:$O$306,9,0)</f>
        <v>14</v>
      </c>
      <c r="N166" s="103">
        <f>VLOOKUP($A166,'OI(Value)'!$A$7:$O$306,11,0)</f>
        <v>51</v>
      </c>
      <c r="O166" s="103">
        <f>VLOOKUP($A166,'OI(Value)'!$A$7:$O$306,12,0)</f>
        <v>8</v>
      </c>
      <c r="P166" s="179">
        <f>VLOOKUP(A166,'OI(Value)'!A166:O367,8,0)</f>
        <v>92</v>
      </c>
      <c r="Q166" s="179">
        <f>VLOOKUP(A166,'OI(Value)'!A166:O367,9,0)</f>
        <v>14</v>
      </c>
      <c r="R166" s="179">
        <f>VLOOKUP(A166,'OI(Value)'!A166:O367,11,0)</f>
        <v>51</v>
      </c>
      <c r="S166" s="179">
        <f>VLOOKUP(A166,'OI(Value)'!A166:O367,11,0)</f>
        <v>51</v>
      </c>
    </row>
    <row r="167" spans="1:19" x14ac:dyDescent="0.25">
      <c r="A167" s="105" t="str">
        <f>'Data shares'!C162</f>
        <v>PIDILITIND</v>
      </c>
      <c r="B167" s="143">
        <f>VLOOKUP($A167,'Data shares'!$C:$FA,118)</f>
        <v>0.74</v>
      </c>
      <c r="C167" s="143">
        <f>VLOOKUP($A167,'Data shares'!$C:$FA,119)</f>
        <v>0.74</v>
      </c>
      <c r="D167" s="143">
        <f>VLOOKUP($A167,'Data shares'!$C:$FA,121)*100</f>
        <v>0</v>
      </c>
      <c r="E167" s="143">
        <f>VLOOKUP($A167,'Data shares'!$C:$FA,124)</f>
        <v>0.53</v>
      </c>
      <c r="F167" s="143">
        <f>VLOOKUP($A167,'Data shares'!$C:$FA,125)</f>
        <v>0.35</v>
      </c>
      <c r="G167" s="143">
        <f>VLOOKUP($A167,'Data shares'!$C:$FA,127)*100</f>
        <v>51.43</v>
      </c>
      <c r="H167" s="103">
        <f>VLOOKUP($A167,'OI(Volume)'!$A$7:$O$427,8)</f>
        <v>1003000</v>
      </c>
      <c r="I167" s="103">
        <f>VLOOKUP($A167,'OI(Volume)'!$A$7:$O$427,9)</f>
        <v>23000</v>
      </c>
      <c r="J167" s="103">
        <f>VLOOKUP($A167,'OI(Volume)'!$A$7:$O$427,11)</f>
        <v>738000</v>
      </c>
      <c r="K167" s="103">
        <f>VLOOKUP($A167,'OI(Volume)'!$A$7:$O$427,12)</f>
        <v>17000</v>
      </c>
      <c r="L167" s="103">
        <f>VLOOKUP($A167,'OI(Value)'!$A$7:$O$306,8,0)</f>
        <v>150</v>
      </c>
      <c r="M167" s="103">
        <f>VLOOKUP($A167,'OI(Value)'!$A$7:$O$306,9,0)</f>
        <v>3</v>
      </c>
      <c r="N167" s="103">
        <f>VLOOKUP($A167,'OI(Value)'!$A$7:$O$306,11,0)</f>
        <v>110</v>
      </c>
      <c r="O167" s="103">
        <f>VLOOKUP($A167,'OI(Value)'!$A$7:$O$306,12,0)</f>
        <v>3</v>
      </c>
      <c r="P167" s="179">
        <f>VLOOKUP(A167,'OI(Value)'!A167:O368,8,0)</f>
        <v>150</v>
      </c>
      <c r="Q167" s="179">
        <f>VLOOKUP(A167,'OI(Value)'!A167:O368,9,0)</f>
        <v>3</v>
      </c>
      <c r="R167" s="179">
        <f>VLOOKUP(A167,'OI(Value)'!A167:O368,11,0)</f>
        <v>110</v>
      </c>
      <c r="S167" s="179">
        <f>VLOOKUP(A167,'OI(Value)'!A167:O368,11,0)</f>
        <v>110</v>
      </c>
    </row>
    <row r="168" spans="1:19" x14ac:dyDescent="0.25">
      <c r="A168" s="105" t="str">
        <f>'Data shares'!C163</f>
        <v>PIIND</v>
      </c>
      <c r="B168" s="143">
        <f>VLOOKUP($A168,'Data shares'!$C:$FA,118)</f>
        <v>0.91</v>
      </c>
      <c r="C168" s="143">
        <f>VLOOKUP($A168,'Data shares'!$C:$FA,119)</f>
        <v>0.87</v>
      </c>
      <c r="D168" s="143">
        <f>VLOOKUP($A168,'Data shares'!$C:$FA,121)*100</f>
        <v>4.5999999999999996</v>
      </c>
      <c r="E168" s="143">
        <f>VLOOKUP($A168,'Data shares'!$C:$FA,124)</f>
        <v>0.5</v>
      </c>
      <c r="F168" s="143">
        <f>VLOOKUP($A168,'Data shares'!$C:$FA,125)</f>
        <v>0.56999999999999995</v>
      </c>
      <c r="G168" s="143">
        <f>VLOOKUP($A168,'Data shares'!$C:$FA,127)*100</f>
        <v>-12.280000000000001</v>
      </c>
      <c r="H168" s="103">
        <f>VLOOKUP($A168,'OI(Volume)'!$A$7:$O$427,8)</f>
        <v>273875</v>
      </c>
      <c r="I168" s="103">
        <f>VLOOKUP($A168,'OI(Volume)'!$A$7:$O$427,9)</f>
        <v>5950</v>
      </c>
      <c r="J168" s="103">
        <f>VLOOKUP($A168,'OI(Volume)'!$A$7:$O$427,11)</f>
        <v>247975</v>
      </c>
      <c r="K168" s="103">
        <f>VLOOKUP($A168,'OI(Volume)'!$A$7:$O$427,12)</f>
        <v>16100</v>
      </c>
      <c r="L168" s="103">
        <f>VLOOKUP($A168,'OI(Value)'!$A$7:$O$306,8,0)</f>
        <v>99</v>
      </c>
      <c r="M168" s="103">
        <f>VLOOKUP($A168,'OI(Value)'!$A$7:$O$306,9,0)</f>
        <v>2</v>
      </c>
      <c r="N168" s="103">
        <f>VLOOKUP($A168,'OI(Value)'!$A$7:$O$306,11,0)</f>
        <v>90</v>
      </c>
      <c r="O168" s="103">
        <f>VLOOKUP($A168,'OI(Value)'!$A$7:$O$306,12,0)</f>
        <v>6</v>
      </c>
      <c r="P168" s="179">
        <f>VLOOKUP(A168,'OI(Value)'!A168:O369,8,0)</f>
        <v>99</v>
      </c>
      <c r="Q168" s="179">
        <f>VLOOKUP(A168,'OI(Value)'!A168:O369,9,0)</f>
        <v>2</v>
      </c>
      <c r="R168" s="179">
        <f>VLOOKUP(A168,'OI(Value)'!A168:O369,11,0)</f>
        <v>90</v>
      </c>
      <c r="S168" s="179">
        <f>VLOOKUP(A168,'OI(Value)'!A168:O369,11,0)</f>
        <v>90</v>
      </c>
    </row>
    <row r="169" spans="1:19" x14ac:dyDescent="0.25">
      <c r="A169" s="105" t="str">
        <f>'Data shares'!C164</f>
        <v>PNB</v>
      </c>
      <c r="B169" s="143">
        <f>VLOOKUP($A169,'Data shares'!$C:$FA,118)</f>
        <v>0.71</v>
      </c>
      <c r="C169" s="143">
        <f>VLOOKUP($A169,'Data shares'!$C:$FA,119)</f>
        <v>0.74</v>
      </c>
      <c r="D169" s="143">
        <f>VLOOKUP($A169,'Data shares'!$C:$FA,121)*100</f>
        <v>-4.05</v>
      </c>
      <c r="E169" s="143">
        <f>VLOOKUP($A169,'Data shares'!$C:$FA,124)</f>
        <v>0.42</v>
      </c>
      <c r="F169" s="143">
        <f>VLOOKUP($A169,'Data shares'!$C:$FA,125)</f>
        <v>0.45</v>
      </c>
      <c r="G169" s="143">
        <f>VLOOKUP($A169,'Data shares'!$C:$FA,127)*100</f>
        <v>-6.67</v>
      </c>
      <c r="H169" s="103">
        <f>VLOOKUP($A169,'OI(Volume)'!$A$7:$O$427,8)</f>
        <v>107840000</v>
      </c>
      <c r="I169" s="103">
        <f>VLOOKUP($A169,'OI(Volume)'!$A$7:$O$427,9)</f>
        <v>9040000</v>
      </c>
      <c r="J169" s="103">
        <f>VLOOKUP($A169,'OI(Volume)'!$A$7:$O$427,11)</f>
        <v>76136000</v>
      </c>
      <c r="K169" s="103">
        <f>VLOOKUP($A169,'OI(Volume)'!$A$7:$O$427,12)</f>
        <v>2632000</v>
      </c>
      <c r="L169" s="103">
        <f>VLOOKUP($A169,'OI(Value)'!$A$7:$O$306,8,0)</f>
        <v>1243</v>
      </c>
      <c r="M169" s="103">
        <f>VLOOKUP($A169,'OI(Value)'!$A$7:$O$306,9,0)</f>
        <v>104</v>
      </c>
      <c r="N169" s="103">
        <f>VLOOKUP($A169,'OI(Value)'!$A$7:$O$306,11,0)</f>
        <v>877</v>
      </c>
      <c r="O169" s="103">
        <f>VLOOKUP($A169,'OI(Value)'!$A$7:$O$306,12,0)</f>
        <v>30</v>
      </c>
      <c r="P169" s="179">
        <f>VLOOKUP(A169,'OI(Value)'!A169:O370,8,0)</f>
        <v>1243</v>
      </c>
      <c r="Q169" s="179">
        <f>VLOOKUP(A169,'OI(Value)'!A169:O370,9,0)</f>
        <v>104</v>
      </c>
      <c r="R169" s="179">
        <f>VLOOKUP(A169,'OI(Value)'!A169:O370,11,0)</f>
        <v>877</v>
      </c>
      <c r="S169" s="179">
        <f>VLOOKUP(A169,'OI(Value)'!A169:O370,11,0)</f>
        <v>877</v>
      </c>
    </row>
    <row r="170" spans="1:19" x14ac:dyDescent="0.25">
      <c r="A170" s="105" t="str">
        <f>'Data shares'!C165</f>
        <v>PNBHOUSING</v>
      </c>
      <c r="B170" s="143">
        <f>VLOOKUP($A170,'Data shares'!$C:$FA,118)</f>
        <v>0.64</v>
      </c>
      <c r="C170" s="143">
        <f>VLOOKUP($A170,'Data shares'!$C:$FA,119)</f>
        <v>0.65</v>
      </c>
      <c r="D170" s="143">
        <f>VLOOKUP($A170,'Data shares'!$C:$FA,121)*100</f>
        <v>-1.54</v>
      </c>
      <c r="E170" s="143">
        <f>VLOOKUP($A170,'Data shares'!$C:$FA,124)</f>
        <v>0.42</v>
      </c>
      <c r="F170" s="143">
        <f>VLOOKUP($A170,'Data shares'!$C:$FA,125)</f>
        <v>0.67</v>
      </c>
      <c r="G170" s="143">
        <f>VLOOKUP($A170,'Data shares'!$C:$FA,127)*100</f>
        <v>-37.31</v>
      </c>
      <c r="H170" s="103">
        <f>VLOOKUP($A170,'OI(Volume)'!$A$7:$O$427,8)</f>
        <v>3285100</v>
      </c>
      <c r="I170" s="103">
        <f>VLOOKUP($A170,'OI(Volume)'!$A$7:$O$427,9)</f>
        <v>237900</v>
      </c>
      <c r="J170" s="103">
        <f>VLOOKUP($A170,'OI(Volume)'!$A$7:$O$427,11)</f>
        <v>2118350</v>
      </c>
      <c r="K170" s="103">
        <f>VLOOKUP($A170,'OI(Volume)'!$A$7:$O$427,12)</f>
        <v>131950</v>
      </c>
      <c r="L170" s="103">
        <f>VLOOKUP($A170,'OI(Value)'!$A$7:$O$306,8,0)</f>
        <v>296</v>
      </c>
      <c r="M170" s="103">
        <f>VLOOKUP($A170,'OI(Value)'!$A$7:$O$306,9,0)</f>
        <v>21</v>
      </c>
      <c r="N170" s="103">
        <f>VLOOKUP($A170,'OI(Value)'!$A$7:$O$306,11,0)</f>
        <v>191</v>
      </c>
      <c r="O170" s="103">
        <f>VLOOKUP($A170,'OI(Value)'!$A$7:$O$306,12,0)</f>
        <v>12</v>
      </c>
      <c r="P170" s="179">
        <f>VLOOKUP(A170,'OI(Value)'!A170:O371,8,0)</f>
        <v>296</v>
      </c>
      <c r="Q170" s="179">
        <f>VLOOKUP(A170,'OI(Value)'!A170:O371,9,0)</f>
        <v>21</v>
      </c>
      <c r="R170" s="179">
        <f>VLOOKUP(A170,'OI(Value)'!A170:O371,11,0)</f>
        <v>191</v>
      </c>
      <c r="S170" s="179">
        <f>VLOOKUP(A170,'OI(Value)'!A170:O371,11,0)</f>
        <v>191</v>
      </c>
    </row>
    <row r="171" spans="1:19" x14ac:dyDescent="0.25">
      <c r="A171" s="105" t="str">
        <f>'Data shares'!C166</f>
        <v>POLICYBZR</v>
      </c>
      <c r="B171" s="143">
        <f>VLOOKUP($A171,'Data shares'!$C:$FA,118)</f>
        <v>0.93</v>
      </c>
      <c r="C171" s="143">
        <f>VLOOKUP($A171,'Data shares'!$C:$FA,119)</f>
        <v>1.1100000000000001</v>
      </c>
      <c r="D171" s="143">
        <f>VLOOKUP($A171,'Data shares'!$C:$FA,121)*100</f>
        <v>-16.220000000000002</v>
      </c>
      <c r="E171" s="143">
        <f>VLOOKUP($A171,'Data shares'!$C:$FA,124)</f>
        <v>0.71</v>
      </c>
      <c r="F171" s="143">
        <f>VLOOKUP($A171,'Data shares'!$C:$FA,125)</f>
        <v>1.43</v>
      </c>
      <c r="G171" s="143">
        <f>VLOOKUP($A171,'Data shares'!$C:$FA,127)*100</f>
        <v>-50.349999999999994</v>
      </c>
      <c r="H171" s="103">
        <f>VLOOKUP($A171,'OI(Volume)'!$A$7:$O$427,8)</f>
        <v>864850</v>
      </c>
      <c r="I171" s="103">
        <f>VLOOKUP($A171,'OI(Volume)'!$A$7:$O$427,9)</f>
        <v>74200</v>
      </c>
      <c r="J171" s="103">
        <f>VLOOKUP($A171,'OI(Volume)'!$A$7:$O$427,11)</f>
        <v>800450</v>
      </c>
      <c r="K171" s="103">
        <f>VLOOKUP($A171,'OI(Volume)'!$A$7:$O$427,12)</f>
        <v>-77350</v>
      </c>
      <c r="L171" s="103">
        <f>VLOOKUP($A171,'OI(Value)'!$A$7:$O$306,8,0)</f>
        <v>150</v>
      </c>
      <c r="M171" s="103">
        <f>VLOOKUP($A171,'OI(Value)'!$A$7:$O$306,9,0)</f>
        <v>13</v>
      </c>
      <c r="N171" s="103">
        <f>VLOOKUP($A171,'OI(Value)'!$A$7:$O$306,11,0)</f>
        <v>139</v>
      </c>
      <c r="O171" s="103">
        <f>VLOOKUP($A171,'OI(Value)'!$A$7:$O$306,12,0)</f>
        <v>-13</v>
      </c>
      <c r="P171" s="179">
        <f>VLOOKUP(A171,'OI(Value)'!A171:O372,8,0)</f>
        <v>150</v>
      </c>
      <c r="Q171" s="179">
        <f>VLOOKUP(A171,'OI(Value)'!A171:O372,9,0)</f>
        <v>13</v>
      </c>
      <c r="R171" s="179">
        <f>VLOOKUP(A171,'OI(Value)'!A171:O372,11,0)</f>
        <v>139</v>
      </c>
      <c r="S171" s="179">
        <f>VLOOKUP(A171,'OI(Value)'!A171:O372,11,0)</f>
        <v>139</v>
      </c>
    </row>
    <row r="172" spans="1:19" x14ac:dyDescent="0.25">
      <c r="A172" s="105" t="str">
        <f>'Data shares'!C167</f>
        <v>POLYCAB</v>
      </c>
      <c r="B172" s="143">
        <f>VLOOKUP($A172,'Data shares'!$C:$FA,118)</f>
        <v>0.63</v>
      </c>
      <c r="C172" s="143">
        <f>VLOOKUP($A172,'Data shares'!$C:$FA,119)</f>
        <v>0.6</v>
      </c>
      <c r="D172" s="143">
        <f>VLOOKUP($A172,'Data shares'!$C:$FA,121)*100</f>
        <v>5</v>
      </c>
      <c r="E172" s="143">
        <f>VLOOKUP($A172,'Data shares'!$C:$FA,124)</f>
        <v>0.37</v>
      </c>
      <c r="F172" s="143">
        <f>VLOOKUP($A172,'Data shares'!$C:$FA,125)</f>
        <v>0.47</v>
      </c>
      <c r="G172" s="143">
        <f>VLOOKUP($A172,'Data shares'!$C:$FA,127)*100</f>
        <v>-21.279999999999998</v>
      </c>
      <c r="H172" s="103">
        <f>VLOOKUP($A172,'OI(Volume)'!$A$7:$O$427,8)</f>
        <v>530125</v>
      </c>
      <c r="I172" s="103">
        <f>VLOOKUP($A172,'OI(Volume)'!$A$7:$O$427,9)</f>
        <v>147500</v>
      </c>
      <c r="J172" s="103">
        <f>VLOOKUP($A172,'OI(Volume)'!$A$7:$O$427,11)</f>
        <v>332125</v>
      </c>
      <c r="K172" s="103">
        <f>VLOOKUP($A172,'OI(Volume)'!$A$7:$O$427,12)</f>
        <v>102250</v>
      </c>
      <c r="L172" s="103">
        <f>VLOOKUP($A172,'OI(Value)'!$A$7:$O$306,8,0)</f>
        <v>405</v>
      </c>
      <c r="M172" s="103">
        <f>VLOOKUP($A172,'OI(Value)'!$A$7:$O$306,9,0)</f>
        <v>113</v>
      </c>
      <c r="N172" s="103">
        <f>VLOOKUP($A172,'OI(Value)'!$A$7:$O$306,11,0)</f>
        <v>254</v>
      </c>
      <c r="O172" s="103">
        <f>VLOOKUP($A172,'OI(Value)'!$A$7:$O$306,12,0)</f>
        <v>78</v>
      </c>
      <c r="P172" s="179">
        <f>VLOOKUP(A172,'OI(Value)'!A172:O373,8,0)</f>
        <v>405</v>
      </c>
      <c r="Q172" s="179">
        <f>VLOOKUP(A172,'OI(Value)'!A172:O373,9,0)</f>
        <v>113</v>
      </c>
      <c r="R172" s="179">
        <f>VLOOKUP(A172,'OI(Value)'!A172:O373,11,0)</f>
        <v>254</v>
      </c>
      <c r="S172" s="179">
        <f>VLOOKUP(A172,'OI(Value)'!A172:O373,11,0)</f>
        <v>254</v>
      </c>
    </row>
    <row r="173" spans="1:19" x14ac:dyDescent="0.25">
      <c r="A173" s="105" t="str">
        <f>'Data shares'!C168</f>
        <v>POWERGRID</v>
      </c>
      <c r="B173" s="143">
        <f>VLOOKUP($A173,'Data shares'!$C:$FA,118)</f>
        <v>0.68</v>
      </c>
      <c r="C173" s="143">
        <f>VLOOKUP($A173,'Data shares'!$C:$FA,119)</f>
        <v>0.72</v>
      </c>
      <c r="D173" s="143">
        <f>VLOOKUP($A173,'Data shares'!$C:$FA,121)*100</f>
        <v>-5.56</v>
      </c>
      <c r="E173" s="143">
        <f>VLOOKUP($A173,'Data shares'!$C:$FA,124)</f>
        <v>0.47</v>
      </c>
      <c r="F173" s="143">
        <f>VLOOKUP($A173,'Data shares'!$C:$FA,125)</f>
        <v>0.39</v>
      </c>
      <c r="G173" s="143">
        <f>VLOOKUP($A173,'Data shares'!$C:$FA,127)*100</f>
        <v>20.51</v>
      </c>
      <c r="H173" s="103">
        <f>VLOOKUP($A173,'OI(Volume)'!$A$7:$O$427,8)</f>
        <v>23322500</v>
      </c>
      <c r="I173" s="103">
        <f>VLOOKUP($A173,'OI(Volume)'!$A$7:$O$427,9)</f>
        <v>2498500</v>
      </c>
      <c r="J173" s="103">
        <f>VLOOKUP($A173,'OI(Volume)'!$A$7:$O$427,11)</f>
        <v>15844100</v>
      </c>
      <c r="K173" s="103">
        <f>VLOOKUP($A173,'OI(Volume)'!$A$7:$O$427,12)</f>
        <v>881600</v>
      </c>
      <c r="L173" s="103">
        <f>VLOOKUP($A173,'OI(Value)'!$A$7:$O$306,8,0)</f>
        <v>671</v>
      </c>
      <c r="M173" s="103">
        <f>VLOOKUP($A173,'OI(Value)'!$A$7:$O$306,9,0)</f>
        <v>72</v>
      </c>
      <c r="N173" s="103">
        <f>VLOOKUP($A173,'OI(Value)'!$A$7:$O$306,11,0)</f>
        <v>456</v>
      </c>
      <c r="O173" s="103">
        <f>VLOOKUP($A173,'OI(Value)'!$A$7:$O$306,12,0)</f>
        <v>25</v>
      </c>
    </row>
    <row r="174" spans="1:19" x14ac:dyDescent="0.25">
      <c r="A174" s="105" t="str">
        <f>'Data shares'!C169</f>
        <v>POWERINDIA</v>
      </c>
      <c r="B174" s="143">
        <f>VLOOKUP($A174,'Data shares'!$C:$FA,118)</f>
        <v>0.17</v>
      </c>
      <c r="C174" s="143">
        <f>VLOOKUP($A174,'Data shares'!$C:$FA,119)</f>
        <v>0.12</v>
      </c>
      <c r="D174" s="143">
        <f>VLOOKUP($A174,'Data shares'!$C:$FA,121)*100</f>
        <v>41.67</v>
      </c>
      <c r="E174" s="143">
        <f>VLOOKUP($A174,'Data shares'!$C:$FA,124)</f>
        <v>0.3</v>
      </c>
      <c r="F174" s="143">
        <f>VLOOKUP($A174,'Data shares'!$C:$FA,125)</f>
        <v>0.15</v>
      </c>
      <c r="G174" s="143">
        <f>VLOOKUP($A174,'Data shares'!$C:$FA,127)*100</f>
        <v>100</v>
      </c>
      <c r="H174" s="103">
        <f>VLOOKUP($A174,'OI(Volume)'!$A$7:$O$427,8)</f>
        <v>17050</v>
      </c>
      <c r="I174" s="103">
        <f>VLOOKUP($A174,'OI(Volume)'!$A$7:$O$427,9)</f>
        <v>4150</v>
      </c>
      <c r="J174" s="103">
        <f>VLOOKUP($A174,'OI(Volume)'!$A$7:$O$427,11)</f>
        <v>2900</v>
      </c>
      <c r="K174" s="103">
        <f>VLOOKUP($A174,'OI(Volume)'!$A$7:$O$427,12)</f>
        <v>1400</v>
      </c>
      <c r="L174" s="103">
        <f>VLOOKUP($A174,'OI(Value)'!$A$7:$O$306,8,0)</f>
        <v>31</v>
      </c>
      <c r="M174" s="103">
        <f>VLOOKUP($A174,'OI(Value)'!$A$7:$O$306,9,0)</f>
        <v>8</v>
      </c>
      <c r="N174" s="103">
        <f>VLOOKUP($A174,'OI(Value)'!$A$7:$O$306,11,0)</f>
        <v>5</v>
      </c>
      <c r="O174" s="103">
        <f>VLOOKUP($A174,'OI(Value)'!$A$7:$O$306,12,0)</f>
        <v>3</v>
      </c>
    </row>
    <row r="175" spans="1:19" x14ac:dyDescent="0.25">
      <c r="A175" s="105" t="str">
        <f>'Data shares'!C170</f>
        <v>PPLPHARMA</v>
      </c>
      <c r="B175" s="143">
        <f>VLOOKUP($A175,'Data shares'!$C:$FA,118)</f>
        <v>0.42</v>
      </c>
      <c r="C175" s="143">
        <f>VLOOKUP($A175,'Data shares'!$C:$FA,119)</f>
        <v>0.42</v>
      </c>
      <c r="D175" s="143">
        <f>VLOOKUP($A175,'Data shares'!$C:$FA,121)*100</f>
        <v>0</v>
      </c>
      <c r="E175" s="143">
        <f>VLOOKUP($A175,'Data shares'!$C:$FA,124)</f>
        <v>0.61</v>
      </c>
      <c r="F175" s="143">
        <f>VLOOKUP($A175,'Data shares'!$C:$FA,125)</f>
        <v>0.47</v>
      </c>
      <c r="G175" s="143">
        <f>VLOOKUP($A175,'Data shares'!$C:$FA,127)*100</f>
        <v>29.79</v>
      </c>
      <c r="H175" s="103">
        <f>VLOOKUP($A175,'OI(Volume)'!$A$7:$O$427,8)</f>
        <v>9497500</v>
      </c>
      <c r="I175" s="103">
        <f>VLOOKUP($A175,'OI(Volume)'!$A$7:$O$427,9)</f>
        <v>1057500</v>
      </c>
      <c r="J175" s="103">
        <f>VLOOKUP($A175,'OI(Volume)'!$A$7:$O$427,11)</f>
        <v>4012500</v>
      </c>
      <c r="K175" s="103">
        <f>VLOOKUP($A175,'OI(Volume)'!$A$7:$O$427,12)</f>
        <v>442500</v>
      </c>
      <c r="L175" s="103">
        <f>VLOOKUP($A175,'OI(Value)'!$A$7:$O$306,8,0)</f>
        <v>187</v>
      </c>
      <c r="M175" s="103">
        <f>VLOOKUP($A175,'OI(Value)'!$A$7:$O$306,9,0)</f>
        <v>21</v>
      </c>
      <c r="N175" s="103">
        <f>VLOOKUP($A175,'OI(Value)'!$A$7:$O$306,11,0)</f>
        <v>79</v>
      </c>
      <c r="O175" s="103">
        <f>VLOOKUP($A175,'OI(Value)'!$A$7:$O$306,12,0)</f>
        <v>9</v>
      </c>
    </row>
    <row r="176" spans="1:19" x14ac:dyDescent="0.25">
      <c r="A176" s="105" t="str">
        <f>'Data shares'!C171</f>
        <v>PRESTIGE</v>
      </c>
      <c r="B176" s="143">
        <f>VLOOKUP($A176,'Data shares'!$C:$FA,118)</f>
        <v>0.86</v>
      </c>
      <c r="C176" s="143">
        <f>VLOOKUP($A176,'Data shares'!$C:$FA,119)</f>
        <v>0.96</v>
      </c>
      <c r="D176" s="143">
        <f>VLOOKUP($A176,'Data shares'!$C:$FA,121)*100</f>
        <v>-10.42</v>
      </c>
      <c r="E176" s="143">
        <f>VLOOKUP($A176,'Data shares'!$C:$FA,124)</f>
        <v>0.49</v>
      </c>
      <c r="F176" s="143">
        <f>VLOOKUP($A176,'Data shares'!$C:$FA,125)</f>
        <v>0.62</v>
      </c>
      <c r="G176" s="143">
        <f>VLOOKUP($A176,'Data shares'!$C:$FA,127)*100</f>
        <v>-20.97</v>
      </c>
      <c r="H176" s="103">
        <f>VLOOKUP($A176,'OI(Volume)'!$A$7:$O$427,8)</f>
        <v>937800</v>
      </c>
      <c r="I176" s="103">
        <f>VLOOKUP($A176,'OI(Volume)'!$A$7:$O$427,9)</f>
        <v>129600</v>
      </c>
      <c r="J176" s="103">
        <f>VLOOKUP($A176,'OI(Volume)'!$A$7:$O$427,11)</f>
        <v>810900</v>
      </c>
      <c r="K176" s="103">
        <f>VLOOKUP($A176,'OI(Volume)'!$A$7:$O$427,12)</f>
        <v>31950</v>
      </c>
      <c r="L176" s="103">
        <f>VLOOKUP($A176,'OI(Value)'!$A$7:$O$306,8,0)</f>
        <v>145</v>
      </c>
      <c r="M176" s="103">
        <f>VLOOKUP($A176,'OI(Value)'!$A$7:$O$306,9,0)</f>
        <v>20</v>
      </c>
      <c r="N176" s="103">
        <f>VLOOKUP($A176,'OI(Value)'!$A$7:$O$306,11,0)</f>
        <v>126</v>
      </c>
      <c r="O176" s="103">
        <f>VLOOKUP($A176,'OI(Value)'!$A$7:$O$306,12,0)</f>
        <v>5</v>
      </c>
    </row>
    <row r="177" spans="1:15" x14ac:dyDescent="0.25">
      <c r="A177" s="105" t="str">
        <f>'Data shares'!C172</f>
        <v>RBLBANK</v>
      </c>
      <c r="B177" s="143">
        <f>VLOOKUP($A177,'Data shares'!$C:$FA,118)</f>
        <v>0.42</v>
      </c>
      <c r="C177" s="143">
        <f>VLOOKUP($A177,'Data shares'!$C:$FA,119)</f>
        <v>0.42</v>
      </c>
      <c r="D177" s="143">
        <f>VLOOKUP($A177,'Data shares'!$C:$FA,121)*100</f>
        <v>0</v>
      </c>
      <c r="E177" s="143">
        <f>VLOOKUP($A177,'Data shares'!$C:$FA,124)</f>
        <v>0.35</v>
      </c>
      <c r="F177" s="143">
        <f>VLOOKUP($A177,'Data shares'!$C:$FA,125)</f>
        <v>0.24</v>
      </c>
      <c r="G177" s="143">
        <f>VLOOKUP($A177,'Data shares'!$C:$FA,127)*100</f>
        <v>45.83</v>
      </c>
      <c r="H177" s="103">
        <f>VLOOKUP($A177,'OI(Volume)'!$A$7:$O$427,8)</f>
        <v>25520650</v>
      </c>
      <c r="I177" s="103">
        <f>VLOOKUP($A177,'OI(Volume)'!$A$7:$O$427,9)</f>
        <v>-723900</v>
      </c>
      <c r="J177" s="103">
        <f>VLOOKUP($A177,'OI(Volume)'!$A$7:$O$427,11)</f>
        <v>10782300</v>
      </c>
      <c r="K177" s="103">
        <f>VLOOKUP($A177,'OI(Volume)'!$A$7:$O$427,12)</f>
        <v>-250825</v>
      </c>
      <c r="L177" s="103">
        <f>VLOOKUP($A177,'OI(Value)'!$A$7:$O$306,8,0)</f>
        <v>709</v>
      </c>
      <c r="M177" s="103">
        <f>VLOOKUP($A177,'OI(Value)'!$A$7:$O$306,9,0)</f>
        <v>-20</v>
      </c>
      <c r="N177" s="103">
        <f>VLOOKUP($A177,'OI(Value)'!$A$7:$O$306,11,0)</f>
        <v>300</v>
      </c>
      <c r="O177" s="103">
        <f>VLOOKUP($A177,'OI(Value)'!$A$7:$O$306,12,0)</f>
        <v>-7</v>
      </c>
    </row>
    <row r="178" spans="1:15" x14ac:dyDescent="0.25">
      <c r="A178" s="105" t="str">
        <f>'Data shares'!C173</f>
        <v>RECLTD</v>
      </c>
      <c r="B178" s="143">
        <f>VLOOKUP($A178,'Data shares'!$C:$FA,118)</f>
        <v>0.97</v>
      </c>
      <c r="C178" s="143">
        <f>VLOOKUP($A178,'Data shares'!$C:$FA,119)</f>
        <v>0.98</v>
      </c>
      <c r="D178" s="143">
        <f>VLOOKUP($A178,'Data shares'!$C:$FA,121)*100</f>
        <v>-1.02</v>
      </c>
      <c r="E178" s="143">
        <f>VLOOKUP($A178,'Data shares'!$C:$FA,124)</f>
        <v>0.62</v>
      </c>
      <c r="F178" s="143">
        <f>VLOOKUP($A178,'Data shares'!$C:$FA,125)</f>
        <v>0.53</v>
      </c>
      <c r="G178" s="143">
        <f>VLOOKUP($A178,'Data shares'!$C:$FA,127)*100</f>
        <v>16.98</v>
      </c>
      <c r="H178" s="103">
        <f>VLOOKUP($A178,'OI(Volume)'!$A$7:$O$427,8)</f>
        <v>21992475</v>
      </c>
      <c r="I178" s="103">
        <f>VLOOKUP($A178,'OI(Volume)'!$A$7:$O$427,9)</f>
        <v>1415250</v>
      </c>
      <c r="J178" s="103">
        <f>VLOOKUP($A178,'OI(Volume)'!$A$7:$O$427,11)</f>
        <v>21337125</v>
      </c>
      <c r="K178" s="103">
        <f>VLOOKUP($A178,'OI(Volume)'!$A$7:$O$427,12)</f>
        <v>1257150</v>
      </c>
      <c r="L178" s="103">
        <f>VLOOKUP($A178,'OI(Value)'!$A$7:$O$306,8,0)</f>
        <v>835</v>
      </c>
      <c r="M178" s="103">
        <f>VLOOKUP($A178,'OI(Value)'!$A$7:$O$306,9,0)</f>
        <v>54</v>
      </c>
      <c r="N178" s="103">
        <f>VLOOKUP($A178,'OI(Value)'!$A$7:$O$306,11,0)</f>
        <v>810</v>
      </c>
      <c r="O178" s="103">
        <f>VLOOKUP($A178,'OI(Value)'!$A$7:$O$306,12,0)</f>
        <v>48</v>
      </c>
    </row>
    <row r="179" spans="1:15" x14ac:dyDescent="0.25">
      <c r="A179" s="105" t="str">
        <f>'Data shares'!C174</f>
        <v>RELIANCE</v>
      </c>
      <c r="B179" s="143">
        <f>VLOOKUP($A179,'Data shares'!$C:$FA,118)</f>
        <v>0.8</v>
      </c>
      <c r="C179" s="143">
        <f>VLOOKUP($A179,'Data shares'!$C:$FA,119)</f>
        <v>0.78</v>
      </c>
      <c r="D179" s="143">
        <f>VLOOKUP($A179,'Data shares'!$C:$FA,121)*100</f>
        <v>2.56</v>
      </c>
      <c r="E179" s="143">
        <f>VLOOKUP($A179,'Data shares'!$C:$FA,124)</f>
        <v>0.5</v>
      </c>
      <c r="F179" s="143">
        <f>VLOOKUP($A179,'Data shares'!$C:$FA,125)</f>
        <v>0.57999999999999996</v>
      </c>
      <c r="G179" s="143">
        <f>VLOOKUP($A179,'Data shares'!$C:$FA,127)*100</f>
        <v>-13.79</v>
      </c>
      <c r="H179" s="103">
        <f>VLOOKUP($A179,'OI(Volume)'!$A$7:$O$427,8)</f>
        <v>42472500</v>
      </c>
      <c r="I179" s="103">
        <f>VLOOKUP($A179,'OI(Volume)'!$A$7:$O$427,9)</f>
        <v>707500</v>
      </c>
      <c r="J179" s="103">
        <f>VLOOKUP($A179,'OI(Volume)'!$A$7:$O$427,11)</f>
        <v>33771500</v>
      </c>
      <c r="K179" s="103">
        <f>VLOOKUP($A179,'OI(Volume)'!$A$7:$O$427,12)</f>
        <v>1333000</v>
      </c>
      <c r="L179" s="103">
        <f>VLOOKUP($A179,'OI(Value)'!$A$7:$O$306,8,0)</f>
        <v>5875</v>
      </c>
      <c r="M179" s="103">
        <f>VLOOKUP($A179,'OI(Value)'!$A$7:$O$306,9,0)</f>
        <v>98</v>
      </c>
      <c r="N179" s="103">
        <f>VLOOKUP($A179,'OI(Value)'!$A$7:$O$306,11,0)</f>
        <v>4671</v>
      </c>
      <c r="O179" s="103">
        <f>VLOOKUP($A179,'OI(Value)'!$A$7:$O$306,12,0)</f>
        <v>184</v>
      </c>
    </row>
    <row r="180" spans="1:15" x14ac:dyDescent="0.25">
      <c r="A180" s="105" t="str">
        <f>'Data shares'!C175</f>
        <v>RVNL</v>
      </c>
      <c r="B180" s="143">
        <f>VLOOKUP($A180,'Data shares'!$C:$FA,118)</f>
        <v>0.43</v>
      </c>
      <c r="C180" s="143">
        <f>VLOOKUP($A180,'Data shares'!$C:$FA,119)</f>
        <v>0.45</v>
      </c>
      <c r="D180" s="143">
        <f>VLOOKUP($A180,'Data shares'!$C:$FA,121)*100</f>
        <v>-4.4400000000000004</v>
      </c>
      <c r="E180" s="143">
        <f>VLOOKUP($A180,'Data shares'!$C:$FA,124)</f>
        <v>0.2</v>
      </c>
      <c r="F180" s="143">
        <f>VLOOKUP($A180,'Data shares'!$C:$FA,125)</f>
        <v>0.24</v>
      </c>
      <c r="G180" s="143">
        <f>VLOOKUP($A180,'Data shares'!$C:$FA,127)*100</f>
        <v>-16.669999999999998</v>
      </c>
      <c r="H180" s="103">
        <f>VLOOKUP($A180,'OI(Volume)'!$A$7:$O$427,8)</f>
        <v>13216500</v>
      </c>
      <c r="I180" s="103">
        <f>VLOOKUP($A180,'OI(Volume)'!$A$7:$O$427,9)</f>
        <v>858000</v>
      </c>
      <c r="J180" s="103">
        <f>VLOOKUP($A180,'OI(Volume)'!$A$7:$O$427,11)</f>
        <v>5693875</v>
      </c>
      <c r="K180" s="103">
        <f>VLOOKUP($A180,'OI(Volume)'!$A$7:$O$427,12)</f>
        <v>155375</v>
      </c>
      <c r="L180" s="103">
        <f>VLOOKUP($A180,'OI(Value)'!$A$7:$O$306,8,0)</f>
        <v>451</v>
      </c>
      <c r="M180" s="103">
        <f>VLOOKUP($A180,'OI(Value)'!$A$7:$O$306,9,0)</f>
        <v>29</v>
      </c>
      <c r="N180" s="103">
        <f>VLOOKUP($A180,'OI(Value)'!$A$7:$O$306,11,0)</f>
        <v>194</v>
      </c>
      <c r="O180" s="103">
        <f>VLOOKUP($A180,'OI(Value)'!$A$7:$O$306,12,0)</f>
        <v>5</v>
      </c>
    </row>
    <row r="181" spans="1:15" x14ac:dyDescent="0.25">
      <c r="A181" s="105" t="str">
        <f>'Data shares'!C176</f>
        <v>SAIL</v>
      </c>
      <c r="B181" s="143">
        <f>VLOOKUP($A181,'Data shares'!$C:$FA,118)</f>
        <v>0.5</v>
      </c>
      <c r="C181" s="143">
        <f>VLOOKUP($A181,'Data shares'!$C:$FA,119)</f>
        <v>0.5</v>
      </c>
      <c r="D181" s="143">
        <f>VLOOKUP($A181,'Data shares'!$C:$FA,121)*100</f>
        <v>0</v>
      </c>
      <c r="E181" s="143">
        <f>VLOOKUP($A181,'Data shares'!$C:$FA,124)</f>
        <v>0.5</v>
      </c>
      <c r="F181" s="143">
        <f>VLOOKUP($A181,'Data shares'!$C:$FA,125)</f>
        <v>0.38</v>
      </c>
      <c r="G181" s="143">
        <f>VLOOKUP($A181,'Data shares'!$C:$FA,127)*100</f>
        <v>31.580000000000002</v>
      </c>
      <c r="H181" s="103">
        <f>VLOOKUP($A181,'OI(Volume)'!$A$7:$O$427,8)</f>
        <v>42821700</v>
      </c>
      <c r="I181" s="103">
        <f>VLOOKUP($A181,'OI(Volume)'!$A$7:$O$427,9)</f>
        <v>6138200</v>
      </c>
      <c r="J181" s="103">
        <f>VLOOKUP($A181,'OI(Volume)'!$A$7:$O$427,11)</f>
        <v>21206400</v>
      </c>
      <c r="K181" s="103">
        <f>VLOOKUP($A181,'OI(Volume)'!$A$7:$O$427,12)</f>
        <v>2871700</v>
      </c>
      <c r="L181" s="103">
        <f>VLOOKUP($A181,'OI(Value)'!$A$7:$O$306,8,0)</f>
        <v>571</v>
      </c>
      <c r="M181" s="103">
        <f>VLOOKUP($A181,'OI(Value)'!$A$7:$O$306,9,0)</f>
        <v>82</v>
      </c>
      <c r="N181" s="103">
        <f>VLOOKUP($A181,'OI(Value)'!$A$7:$O$306,11,0)</f>
        <v>283</v>
      </c>
      <c r="O181" s="103">
        <f>VLOOKUP($A181,'OI(Value)'!$A$7:$O$306,12,0)</f>
        <v>38</v>
      </c>
    </row>
    <row r="182" spans="1:15" x14ac:dyDescent="0.25">
      <c r="A182" s="105" t="str">
        <f>'Data shares'!C177</f>
        <v>SAMMAANCAP</v>
      </c>
      <c r="B182" s="143">
        <f>VLOOKUP($A182,'Data shares'!$C:$FA,118)</f>
        <v>1.04</v>
      </c>
      <c r="C182" s="143">
        <f>VLOOKUP($A182,'Data shares'!$C:$FA,119)</f>
        <v>0.94</v>
      </c>
      <c r="D182" s="143">
        <f>VLOOKUP($A182,'Data shares'!$C:$FA,121)*100</f>
        <v>10.639999999999999</v>
      </c>
      <c r="E182" s="143">
        <f>VLOOKUP($A182,'Data shares'!$C:$FA,124)</f>
        <v>0.7</v>
      </c>
      <c r="F182" s="143">
        <f>VLOOKUP($A182,'Data shares'!$C:$FA,125)</f>
        <v>0.25</v>
      </c>
      <c r="G182" s="143">
        <f>VLOOKUP($A182,'Data shares'!$C:$FA,127)*100</f>
        <v>180</v>
      </c>
      <c r="H182" s="103">
        <f>VLOOKUP($A182,'OI(Volume)'!$A$7:$O$427,8)</f>
        <v>25460300</v>
      </c>
      <c r="I182" s="103">
        <f>VLOOKUP($A182,'OI(Volume)'!$A$7:$O$427,9)</f>
        <v>8875200</v>
      </c>
      <c r="J182" s="103">
        <f>VLOOKUP($A182,'OI(Volume)'!$A$7:$O$427,11)</f>
        <v>26354700</v>
      </c>
      <c r="K182" s="103">
        <f>VLOOKUP($A182,'OI(Volume)'!$A$7:$O$427,12)</f>
        <v>10818800</v>
      </c>
      <c r="L182" s="103">
        <f>VLOOKUP($A182,'OI(Value)'!$A$7:$O$306,8,0)</f>
        <v>411</v>
      </c>
      <c r="M182" s="103">
        <f>VLOOKUP($A182,'OI(Value)'!$A$7:$O$306,9,0)</f>
        <v>143</v>
      </c>
      <c r="N182" s="103">
        <f>VLOOKUP($A182,'OI(Value)'!$A$7:$O$306,11,0)</f>
        <v>425</v>
      </c>
      <c r="O182" s="103">
        <f>VLOOKUP($A182,'OI(Value)'!$A$7:$O$306,12,0)</f>
        <v>175</v>
      </c>
    </row>
    <row r="183" spans="1:15" x14ac:dyDescent="0.25">
      <c r="A183" s="105" t="str">
        <f>'Data shares'!C178</f>
        <v>SBICARD</v>
      </c>
      <c r="B183" s="143">
        <f>VLOOKUP($A183,'Data shares'!$C:$FA,118)</f>
        <v>0.6</v>
      </c>
      <c r="C183" s="143">
        <f>VLOOKUP($A183,'Data shares'!$C:$FA,119)</f>
        <v>0.51</v>
      </c>
      <c r="D183" s="143">
        <f>VLOOKUP($A183,'Data shares'!$C:$FA,121)*100</f>
        <v>17.649999999999999</v>
      </c>
      <c r="E183" s="143">
        <f>VLOOKUP($A183,'Data shares'!$C:$FA,124)</f>
        <v>0.37</v>
      </c>
      <c r="F183" s="143">
        <f>VLOOKUP($A183,'Data shares'!$C:$FA,125)</f>
        <v>0.3</v>
      </c>
      <c r="G183" s="143">
        <f>VLOOKUP($A183,'Data shares'!$C:$FA,127)*100</f>
        <v>23.330000000000002</v>
      </c>
      <c r="H183" s="103">
        <f>VLOOKUP($A183,'OI(Volume)'!$A$7:$O$427,8)</f>
        <v>5237600</v>
      </c>
      <c r="I183" s="103">
        <f>VLOOKUP($A183,'OI(Volume)'!$A$7:$O$427,9)</f>
        <v>96800</v>
      </c>
      <c r="J183" s="103">
        <f>VLOOKUP($A183,'OI(Volume)'!$A$7:$O$427,11)</f>
        <v>3136800</v>
      </c>
      <c r="K183" s="103">
        <f>VLOOKUP($A183,'OI(Volume)'!$A$7:$O$427,12)</f>
        <v>504800</v>
      </c>
      <c r="L183" s="103">
        <f>VLOOKUP($A183,'OI(Value)'!$A$7:$O$306,8,0)</f>
        <v>466</v>
      </c>
      <c r="M183" s="103">
        <f>VLOOKUP($A183,'OI(Value)'!$A$7:$O$306,9,0)</f>
        <v>9</v>
      </c>
      <c r="N183" s="103">
        <f>VLOOKUP($A183,'OI(Value)'!$A$7:$O$306,11,0)</f>
        <v>279</v>
      </c>
      <c r="O183" s="103">
        <f>VLOOKUP($A183,'OI(Value)'!$A$7:$O$306,12,0)</f>
        <v>45</v>
      </c>
    </row>
    <row r="184" spans="1:15" x14ac:dyDescent="0.25">
      <c r="A184" s="105" t="str">
        <f>'Data shares'!C179</f>
        <v>SBILIFE</v>
      </c>
      <c r="B184" s="143">
        <f>VLOOKUP($A184,'Data shares'!$C:$FA,118)</f>
        <v>0.4</v>
      </c>
      <c r="C184" s="143">
        <f>VLOOKUP($A184,'Data shares'!$C:$FA,119)</f>
        <v>0.41</v>
      </c>
      <c r="D184" s="143">
        <f>VLOOKUP($A184,'Data shares'!$C:$FA,121)*100</f>
        <v>-2.44</v>
      </c>
      <c r="E184" s="143">
        <f>VLOOKUP($A184,'Data shares'!$C:$FA,124)</f>
        <v>0.46</v>
      </c>
      <c r="F184" s="143">
        <f>VLOOKUP($A184,'Data shares'!$C:$FA,125)</f>
        <v>0.3</v>
      </c>
      <c r="G184" s="143">
        <f>VLOOKUP($A184,'Data shares'!$C:$FA,127)*100</f>
        <v>53.33</v>
      </c>
      <c r="H184" s="103">
        <f>VLOOKUP($A184,'OI(Volume)'!$A$7:$O$427,8)</f>
        <v>1806375</v>
      </c>
      <c r="I184" s="103">
        <f>VLOOKUP($A184,'OI(Volume)'!$A$7:$O$427,9)</f>
        <v>225750</v>
      </c>
      <c r="J184" s="103">
        <f>VLOOKUP($A184,'OI(Volume)'!$A$7:$O$427,11)</f>
        <v>723000</v>
      </c>
      <c r="K184" s="103">
        <f>VLOOKUP($A184,'OI(Volume)'!$A$7:$O$427,12)</f>
        <v>71250</v>
      </c>
      <c r="L184" s="103">
        <f>VLOOKUP($A184,'OI(Value)'!$A$7:$O$306,8,0)</f>
        <v>321</v>
      </c>
      <c r="M184" s="103">
        <f>VLOOKUP($A184,'OI(Value)'!$A$7:$O$306,9,0)</f>
        <v>40</v>
      </c>
      <c r="N184" s="103">
        <f>VLOOKUP($A184,'OI(Value)'!$A$7:$O$306,11,0)</f>
        <v>128</v>
      </c>
      <c r="O184" s="103">
        <f>VLOOKUP($A184,'OI(Value)'!$A$7:$O$306,12,0)</f>
        <v>13</v>
      </c>
    </row>
    <row r="185" spans="1:15" x14ac:dyDescent="0.25">
      <c r="A185" s="105" t="str">
        <f>'Data shares'!C180</f>
        <v>SBIN</v>
      </c>
      <c r="B185" s="143">
        <f>VLOOKUP($A185,'Data shares'!$C:$FA,118)</f>
        <v>0.63</v>
      </c>
      <c r="C185" s="143">
        <f>VLOOKUP($A185,'Data shares'!$C:$FA,119)</f>
        <v>0.61</v>
      </c>
      <c r="D185" s="143">
        <f>VLOOKUP($A185,'Data shares'!$C:$FA,121)*100</f>
        <v>3.2800000000000002</v>
      </c>
      <c r="E185" s="143">
        <f>VLOOKUP($A185,'Data shares'!$C:$FA,124)</f>
        <v>0.56999999999999995</v>
      </c>
      <c r="F185" s="143">
        <f>VLOOKUP($A185,'Data shares'!$C:$FA,125)</f>
        <v>0.63</v>
      </c>
      <c r="G185" s="143">
        <f>VLOOKUP($A185,'Data shares'!$C:$FA,127)*100</f>
        <v>-9.5200000000000014</v>
      </c>
      <c r="H185" s="103">
        <f>VLOOKUP($A185,'OI(Volume)'!$A$7:$O$427,8)</f>
        <v>39601500</v>
      </c>
      <c r="I185" s="103">
        <f>VLOOKUP($A185,'OI(Volume)'!$A$7:$O$427,9)</f>
        <v>1852500</v>
      </c>
      <c r="J185" s="103">
        <f>VLOOKUP($A185,'OI(Volume)'!$A$7:$O$427,11)</f>
        <v>24998250</v>
      </c>
      <c r="K185" s="103">
        <f>VLOOKUP($A185,'OI(Volume)'!$A$7:$O$427,12)</f>
        <v>1941750</v>
      </c>
      <c r="L185" s="103">
        <f>VLOOKUP($A185,'OI(Value)'!$A$7:$O$306,8,0)</f>
        <v>3476</v>
      </c>
      <c r="M185" s="103">
        <f>VLOOKUP($A185,'OI(Value)'!$A$7:$O$306,9,0)</f>
        <v>163</v>
      </c>
      <c r="N185" s="103">
        <f>VLOOKUP($A185,'OI(Value)'!$A$7:$O$306,11,0)</f>
        <v>2194</v>
      </c>
      <c r="O185" s="103">
        <f>VLOOKUP($A185,'OI(Value)'!$A$7:$O$306,12,0)</f>
        <v>170</v>
      </c>
    </row>
    <row r="186" spans="1:15" x14ac:dyDescent="0.25">
      <c r="A186" s="105" t="str">
        <f>'Data shares'!C181</f>
        <v>SHREECEM</v>
      </c>
      <c r="B186" s="143">
        <f>VLOOKUP($A186,'Data shares'!$C:$FA,118)</f>
        <v>0.71</v>
      </c>
      <c r="C186" s="143">
        <f>VLOOKUP($A186,'Data shares'!$C:$FA,119)</f>
        <v>0.74</v>
      </c>
      <c r="D186" s="143">
        <f>VLOOKUP($A186,'Data shares'!$C:$FA,121)*100</f>
        <v>-4.05</v>
      </c>
      <c r="E186" s="143">
        <f>VLOOKUP($A186,'Data shares'!$C:$FA,124)</f>
        <v>0.3</v>
      </c>
      <c r="F186" s="143">
        <f>VLOOKUP($A186,'Data shares'!$C:$FA,125)</f>
        <v>0.37</v>
      </c>
      <c r="G186" s="143">
        <f>VLOOKUP($A186,'Data shares'!$C:$FA,127)*100</f>
        <v>-18.920000000000002</v>
      </c>
      <c r="H186" s="103">
        <f>VLOOKUP($A186,'OI(Volume)'!$A$7:$O$427,8)</f>
        <v>25425</v>
      </c>
      <c r="I186" s="103">
        <f>VLOOKUP($A186,'OI(Volume)'!$A$7:$O$427,9)</f>
        <v>4150</v>
      </c>
      <c r="J186" s="103">
        <f>VLOOKUP($A186,'OI(Volume)'!$A$7:$O$427,11)</f>
        <v>18025</v>
      </c>
      <c r="K186" s="103">
        <f>VLOOKUP($A186,'OI(Volume)'!$A$7:$O$427,12)</f>
        <v>2275</v>
      </c>
      <c r="L186" s="103">
        <f>VLOOKUP($A186,'OI(Value)'!$A$7:$O$306,8,0)</f>
        <v>75</v>
      </c>
      <c r="M186" s="103">
        <f>VLOOKUP($A186,'OI(Value)'!$A$7:$O$306,9,0)</f>
        <v>12</v>
      </c>
      <c r="N186" s="103">
        <f>VLOOKUP($A186,'OI(Value)'!$A$7:$O$306,11,0)</f>
        <v>53</v>
      </c>
      <c r="O186" s="103">
        <f>VLOOKUP($A186,'OI(Value)'!$A$7:$O$306,12,0)</f>
        <v>7</v>
      </c>
    </row>
    <row r="187" spans="1:15" x14ac:dyDescent="0.25">
      <c r="A187" s="105" t="str">
        <f>'Data shares'!C182</f>
        <v>SHRIRAMFIN</v>
      </c>
      <c r="B187" s="143">
        <f>VLOOKUP($A187,'Data shares'!$C:$FA,118)</f>
        <v>0.88</v>
      </c>
      <c r="C187" s="143">
        <f>VLOOKUP($A187,'Data shares'!$C:$FA,119)</f>
        <v>0.81</v>
      </c>
      <c r="D187" s="143">
        <f>VLOOKUP($A187,'Data shares'!$C:$FA,121)*100</f>
        <v>8.64</v>
      </c>
      <c r="E187" s="143">
        <f>VLOOKUP($A187,'Data shares'!$C:$FA,124)</f>
        <v>0.44</v>
      </c>
      <c r="F187" s="143">
        <f>VLOOKUP($A187,'Data shares'!$C:$FA,125)</f>
        <v>0.56999999999999995</v>
      </c>
      <c r="G187" s="143">
        <f>VLOOKUP($A187,'Data shares'!$C:$FA,127)*100</f>
        <v>-22.81</v>
      </c>
      <c r="H187" s="103">
        <f>VLOOKUP($A187,'OI(Volume)'!$A$7:$O$427,8)</f>
        <v>7751700</v>
      </c>
      <c r="I187" s="103">
        <f>VLOOKUP($A187,'OI(Volume)'!$A$7:$O$427,9)</f>
        <v>1523775</v>
      </c>
      <c r="J187" s="103">
        <f>VLOOKUP($A187,'OI(Volume)'!$A$7:$O$427,11)</f>
        <v>6820275</v>
      </c>
      <c r="K187" s="103">
        <f>VLOOKUP($A187,'OI(Volume)'!$A$7:$O$427,12)</f>
        <v>1789425</v>
      </c>
      <c r="L187" s="103">
        <f>VLOOKUP($A187,'OI(Value)'!$A$7:$O$306,8,0)</f>
        <v>523</v>
      </c>
      <c r="M187" s="103">
        <f>VLOOKUP($A187,'OI(Value)'!$A$7:$O$306,9,0)</f>
        <v>103</v>
      </c>
      <c r="N187" s="103">
        <f>VLOOKUP($A187,'OI(Value)'!$A$7:$O$306,11,0)</f>
        <v>460</v>
      </c>
      <c r="O187" s="103">
        <f>VLOOKUP($A187,'OI(Value)'!$A$7:$O$306,12,0)</f>
        <v>121</v>
      </c>
    </row>
    <row r="188" spans="1:15" x14ac:dyDescent="0.25">
      <c r="A188" s="105" t="str">
        <f>'Data shares'!C183</f>
        <v>SIEMENS</v>
      </c>
      <c r="B188" s="143">
        <f>VLOOKUP($A188,'Data shares'!$C:$FA,118)</f>
        <v>0.55000000000000004</v>
      </c>
      <c r="C188" s="143">
        <f>VLOOKUP($A188,'Data shares'!$C:$FA,119)</f>
        <v>0.45</v>
      </c>
      <c r="D188" s="143">
        <f>VLOOKUP($A188,'Data shares'!$C:$FA,121)*100</f>
        <v>22.220000000000002</v>
      </c>
      <c r="E188" s="143">
        <f>VLOOKUP($A188,'Data shares'!$C:$FA,124)</f>
        <v>0.31</v>
      </c>
      <c r="F188" s="143">
        <f>VLOOKUP($A188,'Data shares'!$C:$FA,125)</f>
        <v>0.4</v>
      </c>
      <c r="G188" s="143">
        <f>VLOOKUP($A188,'Data shares'!$C:$FA,127)*100</f>
        <v>-22.5</v>
      </c>
      <c r="H188" s="103">
        <f>VLOOKUP($A188,'OI(Volume)'!$A$7:$O$427,8)</f>
        <v>703625</v>
      </c>
      <c r="I188" s="103">
        <f>VLOOKUP($A188,'OI(Volume)'!$A$7:$O$427,9)</f>
        <v>83750</v>
      </c>
      <c r="J188" s="103">
        <f>VLOOKUP($A188,'OI(Volume)'!$A$7:$O$427,11)</f>
        <v>385500</v>
      </c>
      <c r="K188" s="103">
        <f>VLOOKUP($A188,'OI(Volume)'!$A$7:$O$427,12)</f>
        <v>107375</v>
      </c>
      <c r="L188" s="103">
        <f>VLOOKUP($A188,'OI(Value)'!$A$7:$O$306,8,0)</f>
        <v>230</v>
      </c>
      <c r="M188" s="103">
        <f>VLOOKUP($A188,'OI(Value)'!$A$7:$O$306,9,0)</f>
        <v>27</v>
      </c>
      <c r="N188" s="103">
        <f>VLOOKUP($A188,'OI(Value)'!$A$7:$O$306,11,0)</f>
        <v>126</v>
      </c>
      <c r="O188" s="103">
        <f>VLOOKUP($A188,'OI(Value)'!$A$7:$O$306,12,0)</f>
        <v>35</v>
      </c>
    </row>
    <row r="189" spans="1:15" x14ac:dyDescent="0.25">
      <c r="A189" s="105" t="str">
        <f>'Data shares'!C184</f>
        <v>SOLARINDS</v>
      </c>
      <c r="B189" s="143">
        <f>VLOOKUP($A189,'Data shares'!$C:$FA,118)</f>
        <v>0.69</v>
      </c>
      <c r="C189" s="143">
        <f>VLOOKUP($A189,'Data shares'!$C:$FA,119)</f>
        <v>0.6</v>
      </c>
      <c r="D189" s="143">
        <f>VLOOKUP($A189,'Data shares'!$C:$FA,121)*100</f>
        <v>15</v>
      </c>
      <c r="E189" s="143">
        <f>VLOOKUP($A189,'Data shares'!$C:$FA,124)</f>
        <v>0.38</v>
      </c>
      <c r="F189" s="143">
        <f>VLOOKUP($A189,'Data shares'!$C:$FA,125)</f>
        <v>0.25</v>
      </c>
      <c r="G189" s="143">
        <f>VLOOKUP($A189,'Data shares'!$C:$FA,127)*100</f>
        <v>52</v>
      </c>
      <c r="H189" s="103">
        <f>VLOOKUP($A189,'OI(Volume)'!$A$7:$O$427,8)</f>
        <v>703625</v>
      </c>
      <c r="I189" s="103">
        <f>VLOOKUP($A189,'OI(Volume)'!$A$7:$O$427,9)</f>
        <v>83750</v>
      </c>
      <c r="J189" s="103">
        <f>VLOOKUP($A189,'OI(Volume)'!$A$7:$O$427,11)</f>
        <v>385500</v>
      </c>
      <c r="K189" s="103">
        <f>VLOOKUP($A189,'OI(Volume)'!$A$7:$O$427,12)</f>
        <v>107375</v>
      </c>
      <c r="L189" s="103"/>
      <c r="M189" s="103"/>
      <c r="N189" s="103"/>
      <c r="O189" s="103"/>
    </row>
    <row r="190" spans="1:15" x14ac:dyDescent="0.25">
      <c r="A190" s="105" t="str">
        <f>'Data shares'!C216</f>
        <v>ZYDUSLIFE</v>
      </c>
      <c r="B190" s="143">
        <f>VLOOKUP($A190,'Data shares'!$C:$FA,118)</f>
        <v>0.7</v>
      </c>
      <c r="C190" s="143">
        <f>VLOOKUP($A190,'Data shares'!$C:$FA,119)</f>
        <v>0.81</v>
      </c>
      <c r="D190" s="143">
        <f>VLOOKUP($A190,'Data shares'!$C:$FA,121)*100</f>
        <v>-13.58</v>
      </c>
      <c r="E190" s="143">
        <f>VLOOKUP($A190,'Data shares'!$C:$FA,124)</f>
        <v>0.38</v>
      </c>
      <c r="F190" s="143">
        <f>VLOOKUP($A190,'Data shares'!$C:$FA,125)</f>
        <v>0.83</v>
      </c>
      <c r="G190" s="143">
        <f>VLOOKUP($A190,'Data shares'!$C:$FA,127)*100</f>
        <v>-54.22</v>
      </c>
      <c r="H190" s="103">
        <f>VLOOKUP($A190,'OI(Volume)'!$A$7:$O$427,8)</f>
        <v>0</v>
      </c>
      <c r="I190" s="103">
        <f>VLOOKUP($A190,'OI(Volume)'!$A$7:$O$427,9)</f>
        <v>0</v>
      </c>
      <c r="J190" s="103">
        <f>VLOOKUP($A190,'OI(Volume)'!$A$7:$O$427,11)</f>
        <v>0</v>
      </c>
      <c r="K190" s="103">
        <f>VLOOKUP($A190,'OI(Volume)'!$A$7:$O$427,12)</f>
        <v>0</v>
      </c>
      <c r="L190" s="103">
        <f>VLOOKUP($A190,'OI(Value)'!$A$7:$O$306,8,0)</f>
        <v>222</v>
      </c>
      <c r="M190" s="103">
        <f>VLOOKUP($A190,'OI(Value)'!$A$7:$O$306,9,0)</f>
        <v>31</v>
      </c>
      <c r="N190" s="103">
        <f>VLOOKUP($A190,'OI(Value)'!$A$7:$O$306,11,0)</f>
        <v>154</v>
      </c>
      <c r="O190" s="103">
        <f>VLOOKUP($A190,'OI(Value)'!$A$7:$O$306,12,0)</f>
        <v>0</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4451757706</v>
      </c>
      <c r="I192" s="135">
        <f t="shared" si="0"/>
        <v>578660488</v>
      </c>
      <c r="J192" s="135">
        <f t="shared" si="0"/>
        <v>2856297207</v>
      </c>
      <c r="K192" s="135">
        <f t="shared" si="0"/>
        <v>285835145</v>
      </c>
      <c r="L192" s="135">
        <f t="shared" si="0"/>
        <v>854488</v>
      </c>
      <c r="M192" s="135">
        <f t="shared" si="0"/>
        <v>19445</v>
      </c>
      <c r="N192" s="135">
        <f t="shared" si="0"/>
        <v>1044165</v>
      </c>
      <c r="O192" s="135">
        <f t="shared" si="0"/>
        <v>118439</v>
      </c>
    </row>
    <row r="193" spans="1:15" x14ac:dyDescent="0.25">
      <c r="A193" s="126" t="s">
        <v>415</v>
      </c>
      <c r="B193" s="136"/>
      <c r="C193" s="136"/>
      <c r="D193" s="136"/>
      <c r="E193" s="136"/>
      <c r="F193" s="136"/>
      <c r="G193" s="136"/>
      <c r="H193" s="137">
        <f>H192/10000000</f>
        <v>445.17577060000002</v>
      </c>
      <c r="I193" s="137">
        <f>I192/10000000</f>
        <v>57.866048800000002</v>
      </c>
      <c r="J193" s="137">
        <f>J192/10000000</f>
        <v>285.62972070000001</v>
      </c>
      <c r="K193" s="137">
        <f>K192/10000000</f>
        <v>28.5835145</v>
      </c>
      <c r="L193" s="138">
        <f>L192</f>
        <v>854488</v>
      </c>
      <c r="M193" s="138">
        <f>M192</f>
        <v>19445</v>
      </c>
      <c r="N193" s="138">
        <f>N192</f>
        <v>1044165</v>
      </c>
      <c r="O193" s="138">
        <f>O192</f>
        <v>118439</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2025-10-07T03:23:34Z</dcterms:modified>
</cp:coreProperties>
</file>